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g" sheetId="13" state="visible" r:id="rId1"/>
    <sheet name="neg-all" sheetId="14" state="visible" r:id="rId2"/>
    <sheet name="pos" sheetId="15" state="visible" r:id="rId3"/>
    <sheet name="pos-all" sheetId="16" state="visible" r:id="rId4"/>
  </sheets>
</workbook>
</file>

<file path=xl/sharedStrings.xml><?xml version="1.0" encoding="utf-8"?>
<sst xmlns="http://schemas.openxmlformats.org/spreadsheetml/2006/main" count="23374" uniqueCount="23374">
  <si>
    <t xml:space="preserve">ID</t>
  </si>
  <si>
    <t xml:space="preserve">mz</t>
  </si>
  <si>
    <t xml:space="preserve">Adduct Mass</t>
  </si>
  <si>
    <t xml:space="preserve">ppm</t>
  </si>
  <si>
    <t xml:space="preserve">Formula</t>
  </si>
  <si>
    <t xml:space="preserve">Adduct</t>
  </si>
  <si>
    <t xml:space="preserve">Metabolites</t>
  </si>
  <si>
    <t xml:space="preserve">cid</t>
  </si>
  <si>
    <t xml:space="preserve">HMDB</t>
  </si>
  <si>
    <t xml:space="preserve">METLIN</t>
  </si>
  <si>
    <t xml:space="preserve">Lipidmaps</t>
  </si>
  <si>
    <t xml:space="preserve">KEGG</t>
  </si>
  <si>
    <t xml:space="preserve">ChEBI</t>
  </si>
  <si>
    <t xml:space="preserve">PubChem</t>
  </si>
  <si>
    <t xml:space="preserve">CAS</t>
  </si>
  <si>
    <t xml:space="preserve">smiles</t>
  </si>
  <si>
    <t xml:space="preserve">InChIKey</t>
  </si>
  <si>
    <t xml:space="preserve">Super Class</t>
  </si>
  <si>
    <t xml:space="preserve">Class</t>
  </si>
  <si>
    <t xml:space="preserve">Sub Class</t>
  </si>
  <si>
    <t xml:space="preserve">level</t>
  </si>
  <si>
    <t xml:space="preserve">num</t>
  </si>
  <si>
    <t xml:space="preserve">72.00941</t>
  </si>
  <si>
    <t xml:space="preserve">CHN</t>
  </si>
  <si>
    <t xml:space="preserve">M+FA-H</t>
  </si>
  <si>
    <t xml:space="preserve">Hydrogen cyanide</t>
  </si>
  <si>
    <t xml:space="preserve">82217</t>
  </si>
  <si>
    <t xml:space="preserve">HMDB0060292</t>
  </si>
  <si>
    <t xml:space="preserve">91002</t>
  </si>
  <si>
    <t xml:space="preserve"/>
  </si>
  <si>
    <t xml:space="preserve">C01326</t>
  </si>
  <si>
    <t xml:space="preserve">18407</t>
  </si>
  <si>
    <t xml:space="preserve">768</t>
  </si>
  <si>
    <t xml:space="preserve">74-90-8</t>
  </si>
  <si>
    <t xml:space="preserve">C#N</t>
  </si>
  <si>
    <t xml:space="preserve">LELOWRISYMNNSU-UHFFFAOYSA-N</t>
  </si>
  <si>
    <t xml:space="preserve">Organic nitrogen compounds</t>
  </si>
  <si>
    <t xml:space="preserve">Organonitrogen compounds</t>
  </si>
  <si>
    <t xml:space="preserve">Organic cyanides</t>
  </si>
  <si>
    <t xml:space="preserve">*</t>
  </si>
  <si>
    <t xml:space="preserve">72.99178</t>
  </si>
  <si>
    <t xml:space="preserve">C2H4O4</t>
  </si>
  <si>
    <t xml:space="preserve">M-H2O-H</t>
  </si>
  <si>
    <t xml:space="preserve">Hydroxymethyl hydrogen carbonate</t>
  </si>
  <si>
    <t xml:space="preserve">200894</t>
  </si>
  <si>
    <t xml:space="preserve">HMDB0245465</t>
  </si>
  <si>
    <t xml:space="preserve">19357252</t>
  </si>
  <si>
    <t xml:space="preserve">OCOC(O)=O</t>
  </si>
  <si>
    <t xml:space="preserve">DAXMOHXHMXTTQF-UHFFFAOYSA-N</t>
  </si>
  <si>
    <t xml:space="preserve">Organic acids and derivatives</t>
  </si>
  <si>
    <t xml:space="preserve">Organic carbonic acids and derivatives</t>
  </si>
  <si>
    <t xml:space="preserve">Carbonic acid monoesters</t>
  </si>
  <si>
    <t xml:space="preserve">73.02863</t>
  </si>
  <si>
    <t xml:space="preserve">C3H8O3</t>
  </si>
  <si>
    <t xml:space="preserve">Glycerol</t>
  </si>
  <si>
    <t xml:space="preserve">46888</t>
  </si>
  <si>
    <t xml:space="preserve">HMDB0000131</t>
  </si>
  <si>
    <t xml:space="preserve">105</t>
  </si>
  <si>
    <t xml:space="preserve">C00116</t>
  </si>
  <si>
    <t xml:space="preserve">17754</t>
  </si>
  <si>
    <t xml:space="preserve">753</t>
  </si>
  <si>
    <t xml:space="preserve">56-81-5</t>
  </si>
  <si>
    <t xml:space="preserve">OCC(O)CO</t>
  </si>
  <si>
    <t xml:space="preserve">PEDCQBHIVMGVHV-UHFFFAOYSA-N</t>
  </si>
  <si>
    <t xml:space="preserve">Organic oxygen compounds</t>
  </si>
  <si>
    <t xml:space="preserve">Organooxygen compounds</t>
  </si>
  <si>
    <t xml:space="preserve">Carbohydrates and carbohydrate conjugates</t>
  </si>
  <si>
    <t xml:space="preserve">74.02376</t>
  </si>
  <si>
    <t xml:space="preserve">C2H7NO3</t>
  </si>
  <si>
    <t xml:space="preserve">2-Aminoethane-1,1,1-triol; Tri-hydroxymethylaminomethane</t>
  </si>
  <si>
    <t xml:space="preserve">202582; 212543</t>
  </si>
  <si>
    <t xml:space="preserve">HMDB0247334; HMDB0259134</t>
  </si>
  <si>
    <t xml:space="preserve">; </t>
  </si>
  <si>
    <t xml:space="preserve">17840933; </t>
  </si>
  <si>
    <t xml:space="preserve">NCC(O)(O)O; CNC(O)(O)O</t>
  </si>
  <si>
    <t xml:space="preserve">HKLYDUXIXBVZOQ-UHFFFAOYSA-N; FYFFGSSZFBZTAH-UHFFFAOYSA-N</t>
  </si>
  <si>
    <t xml:space="preserve">Organic acids and derivatives; Organic oxygen compounds</t>
  </si>
  <si>
    <t xml:space="preserve">Orthocarboxylic acid derivatives; Organooxygen compounds</t>
  </si>
  <si>
    <t xml:space="preserve">Unclassified; Ortho acids</t>
  </si>
  <si>
    <t xml:space="preserve">75.00908</t>
  </si>
  <si>
    <t xml:space="preserve">CH2O</t>
  </si>
  <si>
    <t xml:space="preserve">Formaldehyde</t>
  </si>
  <si>
    <t xml:space="preserve">47579</t>
  </si>
  <si>
    <t xml:space="preserve">HMDB0001426</t>
  </si>
  <si>
    <t xml:space="preserve">3198</t>
  </si>
  <si>
    <t xml:space="preserve">C00067</t>
  </si>
  <si>
    <t xml:space="preserve">16842</t>
  </si>
  <si>
    <t xml:space="preserve">712</t>
  </si>
  <si>
    <t xml:space="preserve">50-00-0</t>
  </si>
  <si>
    <t xml:space="preserve">C=O</t>
  </si>
  <si>
    <t xml:space="preserve">WSFSSNUMVMOOMR-UHFFFAOYSA-N</t>
  </si>
  <si>
    <t xml:space="preserve">Carbonyl compounds</t>
  </si>
  <si>
    <t xml:space="preserve">83.04934</t>
  </si>
  <si>
    <t xml:space="preserve">C5H10O2</t>
  </si>
  <si>
    <t xml:space="preserve">Isovaleric acid; Ethylmethylacetic acid; Valeric acid</t>
  </si>
  <si>
    <t xml:space="preserve">271; 167; 52</t>
  </si>
  <si>
    <t xml:space="preserve">HMDB0000718; HMDB0002176; HMDB0000892</t>
  </si>
  <si>
    <t xml:space="preserve">109; 108; 110</t>
  </si>
  <si>
    <t xml:space="preserve">LMFA01020181; LMFA01020072; LMFA01010005</t>
  </si>
  <si>
    <t xml:space="preserve">C08262; C18319; C00803</t>
  </si>
  <si>
    <t xml:space="preserve">28484; 37070; 17418</t>
  </si>
  <si>
    <t xml:space="preserve">10430; 8314; 7991</t>
  </si>
  <si>
    <t xml:space="preserve">503-74-2; 116-53-0; 109-52-4</t>
  </si>
  <si>
    <t xml:space="preserve">CC(C)CC(=O)O; C(C)C(C)C(=O)O; CCCCC(=O)O</t>
  </si>
  <si>
    <t xml:space="preserve">GWYFCOCPABKNJV-UHFFFAOYSA-N; WLAMNBDJUVNPJU-UHFFFAOYSA-N; NQPDZGIKBAWPEJ-UHFFFAOYSA-N</t>
  </si>
  <si>
    <t xml:space="preserve">Lipids and lipid-like molecules; Lipids and lipid-like molecules; Lipids and lipid-like molecules</t>
  </si>
  <si>
    <t xml:space="preserve">Fatty Acyls; Fatty Acyls; Fatty Acyls</t>
  </si>
  <si>
    <t xml:space="preserve">Fatty acids and conjugates; Fatty acids and conjugates; Fatty acids and conjugates</t>
  </si>
  <si>
    <t xml:space="preserve">84.04437</t>
  </si>
  <si>
    <t xml:space="preserve">C4H7NO</t>
  </si>
  <si>
    <t xml:space="preserve">M-H</t>
  </si>
  <si>
    <t xml:space="preserve">Acetone cyanohydrin; 2-Pyrrolidinone</t>
  </si>
  <si>
    <t xml:space="preserve">82326; 47775</t>
  </si>
  <si>
    <t xml:space="preserve">HMDB0060427; HMDB0002039</t>
  </si>
  <si>
    <t xml:space="preserve">63623; 6452</t>
  </si>
  <si>
    <t xml:space="preserve">C02659; C11118</t>
  </si>
  <si>
    <t xml:space="preserve">15348; 36592</t>
  </si>
  <si>
    <t xml:space="preserve">6406; 12025</t>
  </si>
  <si>
    <t xml:space="preserve">75-86-5; 616-45-5</t>
  </si>
  <si>
    <t xml:space="preserve">CC(C)(O)C#N; O=C1CCCN1</t>
  </si>
  <si>
    <t xml:space="preserve">MWFMGBPGAXYFAR-UHFFFAOYSA-N; HNJBEVLQSNELDL-UHFFFAOYSA-N</t>
  </si>
  <si>
    <t xml:space="preserve">Organic oxygen compounds; Organoheterocyclic compounds</t>
  </si>
  <si>
    <t xml:space="preserve">Organooxygen compounds; Pyrrolidines</t>
  </si>
  <si>
    <t xml:space="preserve">Alcohols and polyols; Pyrrolidones</t>
  </si>
  <si>
    <t xml:space="preserve">85.02926</t>
  </si>
  <si>
    <t xml:space="preserve">C4H6O2</t>
  </si>
  <si>
    <t xml:space="preserve">But-2-enoic acid; gamma-Butyrolactone; Diacetyl</t>
  </si>
  <si>
    <t xml:space="preserve">692; 7745; 9838</t>
  </si>
  <si>
    <t xml:space="preserve">HMDB0010720; HMDB0000549; HMDB0003407</t>
  </si>
  <si>
    <t xml:space="preserve">34861; 5533; 6921</t>
  </si>
  <si>
    <t xml:space="preserve">LMFA01030195; LMFA07040004; LMFA12000012</t>
  </si>
  <si>
    <t xml:space="preserve">C01771; C01770; C00741</t>
  </si>
  <si>
    <t xml:space="preserve">41131; 42639; 16583</t>
  </si>
  <si>
    <t xml:space="preserve">637090; 7302; 650</t>
  </si>
  <si>
    <t xml:space="preserve">3724-65-0; 96-48-0; 431-03-8</t>
  </si>
  <si>
    <t xml:space="preserve">C(=C/C)\C(=O)O; C1(OCCC1)=O; CC(=O)C(=O)C</t>
  </si>
  <si>
    <t xml:space="preserve">LDHQCZJRKDOVOX-NSCUHMNNSA-N; YEJRWHAVMIAJKC-UHFFFAOYSA-N; QSJXEFYPDANLFS-UHFFFAOYSA-N</t>
  </si>
  <si>
    <t xml:space="preserve">Lipids and lipid-like molecules; Organoheterocyclic compounds; Organic oxygen compounds</t>
  </si>
  <si>
    <t xml:space="preserve">Fatty Acyls; Lactones; Organooxygen compounds</t>
  </si>
  <si>
    <t xml:space="preserve">Fatty acids and conjugates; Gamma butyrolactones; Carbonyl compounds</t>
  </si>
  <si>
    <t xml:space="preserve">87.00760</t>
  </si>
  <si>
    <t xml:space="preserve">C2H2O</t>
  </si>
  <si>
    <t xml:space="preserve">Ketene; Ethynol</t>
  </si>
  <si>
    <t xml:space="preserve">206542; 206613</t>
  </si>
  <si>
    <t xml:space="preserve">HMDB0252013; HMDB0252091</t>
  </si>
  <si>
    <t xml:space="preserve">326950; </t>
  </si>
  <si>
    <t xml:space="preserve">48003; </t>
  </si>
  <si>
    <t xml:space="preserve">10038; 123441</t>
  </si>
  <si>
    <t xml:space="preserve">C=C=O; OC#C</t>
  </si>
  <si>
    <t xml:space="preserve">CCGKOQOJPYTBIH-UHFFFAOYSA-N; QFXZANXYUCUTQH-UHFFFAOYSA-N</t>
  </si>
  <si>
    <t xml:space="preserve">Organic oxygen compounds; Organic oxygen compounds</t>
  </si>
  <si>
    <t xml:space="preserve">Organooxygen compounds; Organooxygen compounds</t>
  </si>
  <si>
    <t xml:space="preserve">Ketenes; Ynols</t>
  </si>
  <si>
    <t xml:space="preserve">88.04035</t>
  </si>
  <si>
    <t xml:space="preserve">C3H7NO2</t>
  </si>
  <si>
    <t xml:space="preserve">beta-Alanine</t>
  </si>
  <si>
    <t xml:space="preserve">46848</t>
  </si>
  <si>
    <t xml:space="preserve">HMDB0000056</t>
  </si>
  <si>
    <t xml:space="preserve">36</t>
  </si>
  <si>
    <t xml:space="preserve">C00099</t>
  </si>
  <si>
    <t xml:space="preserve">16958</t>
  </si>
  <si>
    <t xml:space="preserve">239</t>
  </si>
  <si>
    <t xml:space="preserve">107-95-9</t>
  </si>
  <si>
    <t xml:space="preserve">NCCC(O)=O</t>
  </si>
  <si>
    <t xml:space="preserve">UCMIRNVEIXFBKS-UHFFFAOYSA-N</t>
  </si>
  <si>
    <t xml:space="preserve">Carboxylic acids and derivatives</t>
  </si>
  <si>
    <t xml:space="preserve">Amino acids, peptides, and analogues</t>
  </si>
  <si>
    <t xml:space="preserve">88.98840</t>
  </si>
  <si>
    <t xml:space="preserve">C2H2O4</t>
  </si>
  <si>
    <t xml:space="preserve">Oxalic acid</t>
  </si>
  <si>
    <t xml:space="preserve">47909</t>
  </si>
  <si>
    <t xml:space="preserve">HMDB0002329</t>
  </si>
  <si>
    <t xml:space="preserve">113</t>
  </si>
  <si>
    <t xml:space="preserve">C00209</t>
  </si>
  <si>
    <t xml:space="preserve">16995</t>
  </si>
  <si>
    <t xml:space="preserve">971</t>
  </si>
  <si>
    <t xml:space="preserve">144-62-7</t>
  </si>
  <si>
    <t xml:space="preserve">OC(=O)C(O)=O</t>
  </si>
  <si>
    <t xml:space="preserve">MUBZPKHOEPUJKR-UHFFFAOYSA-N</t>
  </si>
  <si>
    <t xml:space="preserve">Dicarboxylic acids and derivatives</t>
  </si>
  <si>
    <t xml:space="preserve">91.02152</t>
  </si>
  <si>
    <t xml:space="preserve">C3H8OS</t>
  </si>
  <si>
    <t xml:space="preserve">Cibulins; 2-(Methylthio)ethanol</t>
  </si>
  <si>
    <t xml:space="preserve">55121; 56775</t>
  </si>
  <si>
    <t xml:space="preserve">HMDB0030299; HMDB0032425</t>
  </si>
  <si>
    <t xml:space="preserve">86871; 88449</t>
  </si>
  <si>
    <t xml:space="preserve">91018; 63861</t>
  </si>
  <si>
    <t xml:space="preserve">20514207; 78925</t>
  </si>
  <si>
    <t xml:space="preserve">; 5271-38-5</t>
  </si>
  <si>
    <t xml:space="preserve">CCCSO; CSCCO</t>
  </si>
  <si>
    <t xml:space="preserve">LYNBNVDYPNEWHG-UHFFFAOYSA-N; WBBPRCNXBQTYLF-UHFFFAOYSA-N</t>
  </si>
  <si>
    <t xml:space="preserve">Organic acids and derivatives; Organosulfur compounds</t>
  </si>
  <si>
    <t xml:space="preserve">Organosulfenic acids and derivatives; Thioethers</t>
  </si>
  <si>
    <t xml:space="preserve">Organosulfenic acids; Dialkylthioethers</t>
  </si>
  <si>
    <t xml:space="preserve">93.03576</t>
  </si>
  <si>
    <t xml:space="preserve">C2H5F</t>
  </si>
  <si>
    <t xml:space="preserve">Fluoroethane</t>
  </si>
  <si>
    <t xml:space="preserve">206868</t>
  </si>
  <si>
    <t xml:space="preserve">HMDB0252377</t>
  </si>
  <si>
    <t xml:space="preserve">336755</t>
  </si>
  <si>
    <t xml:space="preserve">9620</t>
  </si>
  <si>
    <t xml:space="preserve">CCF</t>
  </si>
  <si>
    <t xml:space="preserve">UHCBBWUQDAVSMS-UHFFFAOYSA-N</t>
  </si>
  <si>
    <t xml:space="preserve">Organohalogen compounds</t>
  </si>
  <si>
    <t xml:space="preserve">Organofluorides</t>
  </si>
  <si>
    <t xml:space="preserve">Unclassified</t>
  </si>
  <si>
    <t xml:space="preserve">94.98059</t>
  </si>
  <si>
    <t xml:space="preserve">CH4O3S</t>
  </si>
  <si>
    <t xml:space="preserve">Mesylate</t>
  </si>
  <si>
    <t xml:space="preserve">197038</t>
  </si>
  <si>
    <t xml:space="preserve">HMDB0240280</t>
  </si>
  <si>
    <t xml:space="preserve">68873</t>
  </si>
  <si>
    <t xml:space="preserve">C11145</t>
  </si>
  <si>
    <t xml:space="preserve">27376</t>
  </si>
  <si>
    <t xml:space="preserve">6395</t>
  </si>
  <si>
    <t xml:space="preserve">75-75-2</t>
  </si>
  <si>
    <t xml:space="preserve">CS(O)(=O)=O</t>
  </si>
  <si>
    <t xml:space="preserve">AFVFQIVMOAPDHO-UHFFFAOYSA-N</t>
  </si>
  <si>
    <t xml:space="preserve">Organic sulfonic acids and derivatives</t>
  </si>
  <si>
    <t xml:space="preserve">Organosulfonic acids and derivatives</t>
  </si>
  <si>
    <t xml:space="preserve">95.02567</t>
  </si>
  <si>
    <t xml:space="preserve">C4H4N2O</t>
  </si>
  <si>
    <t xml:space="preserve">2-Hydroxypyrazine; 3(2H)-Pyridazinone; 5-Hydroxypyrimidine</t>
  </si>
  <si>
    <t xml:space="preserve">200607; 201481; 202131</t>
  </si>
  <si>
    <t xml:space="preserve">HMDB0245166; HMDB0246116; HMDB0246813</t>
  </si>
  <si>
    <t xml:space="preserve">335338; ; </t>
  </si>
  <si>
    <t xml:space="preserve">; ; </t>
  </si>
  <si>
    <t xml:space="preserve">72758; 68153; 565855</t>
  </si>
  <si>
    <t xml:space="preserve">O=C1NC=CN=C1; O=C1NN=CC=C1; OC1=CN=CN=C1</t>
  </si>
  <si>
    <t xml:space="preserve">HUTNOYOBQPAKIA-UHFFFAOYSA-N; AAILEWXSEQLMNI-UHFFFAOYSA-N; LTXJLQINBYSQFU-UHFFFAOYSA-N</t>
  </si>
  <si>
    <t xml:space="preserve">Organoheterocyclic compounds; Organoheterocyclic compounds; Organoheterocyclic compounds</t>
  </si>
  <si>
    <t xml:space="preserve">Diazines; Diazines; Diazines</t>
  </si>
  <si>
    <t xml:space="preserve">Pyrazines; Pyridazines and derivatives; Pyrimidines and pyrimidine derivatives</t>
  </si>
  <si>
    <t xml:space="preserve">96.96128</t>
  </si>
  <si>
    <t xml:space="preserve">C2H4Cl2</t>
  </si>
  <si>
    <t xml:space="preserve">1,2-Dichloroethane; 1,1-Dichloroethane</t>
  </si>
  <si>
    <t xml:space="preserve">54497; 199547</t>
  </si>
  <si>
    <t xml:space="preserve">HMDB0029571; HMDB0244020</t>
  </si>
  <si>
    <t xml:space="preserve">66520; 72092</t>
  </si>
  <si>
    <t xml:space="preserve">C06752; C18247</t>
  </si>
  <si>
    <t xml:space="preserve">27789; </t>
  </si>
  <si>
    <t xml:space="preserve">11; 6365</t>
  </si>
  <si>
    <t xml:space="preserve">107-06-2; 75-34-3</t>
  </si>
  <si>
    <t xml:space="preserve">ClCCCl; CC(Cl)Cl</t>
  </si>
  <si>
    <t xml:space="preserve">WSLDOOZREJYCGB-UHFFFAOYSA-N; SCYULBFZEHDVBN-UHFFFAOYSA-N</t>
  </si>
  <si>
    <t xml:space="preserve">Organohalogen compounds; Organohalogen compounds</t>
  </si>
  <si>
    <t xml:space="preserve">Organochlorides; Organochlorides</t>
  </si>
  <si>
    <t xml:space="preserve">Unclassified; Unclassified</t>
  </si>
  <si>
    <t xml:space="preserve">96.96886</t>
  </si>
  <si>
    <t xml:space="preserve">C2H4O2</t>
  </si>
  <si>
    <t xml:space="preserve">M+K-2H</t>
  </si>
  <si>
    <t xml:space="preserve">Acetic acid; Glycolaldehyde</t>
  </si>
  <si>
    <t xml:space="preserve">49; 48070</t>
  </si>
  <si>
    <t xml:space="preserve">HMDB0000042; HMDB0003344</t>
  </si>
  <si>
    <t xml:space="preserve">3206; 3205</t>
  </si>
  <si>
    <t xml:space="preserve">LMFA01010002; </t>
  </si>
  <si>
    <t xml:space="preserve">C00033; C00266</t>
  </si>
  <si>
    <t xml:space="preserve">15366; 17071</t>
  </si>
  <si>
    <t xml:space="preserve">176; 756</t>
  </si>
  <si>
    <t xml:space="preserve">64-19-7; 141-46-8</t>
  </si>
  <si>
    <t xml:space="preserve">CC(=O)O; OCC=O</t>
  </si>
  <si>
    <t xml:space="preserve">QTBSBXVTEAMEQO-UHFFFAOYSA-N; WGCNASOHLSPBMP-UHFFFAOYSA-N</t>
  </si>
  <si>
    <t xml:space="preserve">Carboxylic acids and derivatives; Organooxygen compounds</t>
  </si>
  <si>
    <t xml:space="preserve">Carboxylic acids; Carbonyl compounds</t>
  </si>
  <si>
    <t xml:space="preserve">99.00766</t>
  </si>
  <si>
    <t xml:space="preserve">C4H4O3</t>
  </si>
  <si>
    <t xml:space="preserve">Succinic anhydride</t>
  </si>
  <si>
    <t xml:space="preserve">56827</t>
  </si>
  <si>
    <t xml:space="preserve">HMDB0032523</t>
  </si>
  <si>
    <t xml:space="preserve">24050</t>
  </si>
  <si>
    <t xml:space="preserve">C19524</t>
  </si>
  <si>
    <t xml:space="preserve">36595</t>
  </si>
  <si>
    <t xml:space="preserve">7922</t>
  </si>
  <si>
    <t xml:space="preserve">108-30-5</t>
  </si>
  <si>
    <t xml:space="preserve">O=C1CCC(=O)O1</t>
  </si>
  <si>
    <t xml:space="preserve">RINCXYDBBGOEEQ-UHFFFAOYSA-N</t>
  </si>
  <si>
    <t xml:space="preserve">101.02295</t>
  </si>
  <si>
    <t xml:space="preserve">C4H8O4</t>
  </si>
  <si>
    <t xml:space="preserve">Erythrose; L-Erythrulose</t>
  </si>
  <si>
    <t xml:space="preserve">47971; 48700</t>
  </si>
  <si>
    <t xml:space="preserve">HMDB0002649; HMDB0006293</t>
  </si>
  <si>
    <t xml:space="preserve">289; 58385</t>
  </si>
  <si>
    <t xml:space="preserve">C01796; C02045</t>
  </si>
  <si>
    <t xml:space="preserve">23956; 27913</t>
  </si>
  <si>
    <t xml:space="preserve">439574; 5460032</t>
  </si>
  <si>
    <t xml:space="preserve">1758-51-6; 533-50-6</t>
  </si>
  <si>
    <t xml:space="preserve">[H][C@@]1(O)COC([H])(O)[C@]1([H])O; OC[C@H](O)C(=O)CO</t>
  </si>
  <si>
    <t xml:space="preserve">FMAORJIQYMIRHF-HERZVMAMSA-N; UQPHVQVXLPRNCX-VKHMYHEASA-N</t>
  </si>
  <si>
    <t xml:space="preserve">Carbohydrates and carbohydrate conjugates; Carbohydrates and carbohydrate conjugates</t>
  </si>
  <si>
    <t xml:space="preserve">101.07337</t>
  </si>
  <si>
    <t xml:space="preserve">C4H10N2O</t>
  </si>
  <si>
    <t xml:space="preserve">N-Propylurea</t>
  </si>
  <si>
    <t xml:space="preserve">209252</t>
  </si>
  <si>
    <t xml:space="preserve">HMDB0255240</t>
  </si>
  <si>
    <t xml:space="preserve">340237</t>
  </si>
  <si>
    <t xml:space="preserve">12303</t>
  </si>
  <si>
    <t xml:space="preserve">CCCNC(N)=O</t>
  </si>
  <si>
    <t xml:space="preserve">ZQZJKHIIQFPZCS-UHFFFAOYSA-N</t>
  </si>
  <si>
    <t xml:space="preserve">Ureas</t>
  </si>
  <si>
    <t xml:space="preserve">102.05598</t>
  </si>
  <si>
    <t xml:space="preserve">C4H9NO2</t>
  </si>
  <si>
    <t xml:space="preserve">L-alpha-Aminobutyric acid; gamma-Aminobutyric acid; D-alpha-Aminobutyric acid</t>
  </si>
  <si>
    <t xml:space="preserve">2477; 2482; 2486</t>
  </si>
  <si>
    <t xml:space="preserve">HMDB0000452; HMDB0000112; HMDB0000650</t>
  </si>
  <si>
    <t xml:space="preserve">35945; ; 12</t>
  </si>
  <si>
    <t xml:space="preserve">LMFA01100034; LMFA01100039; LMFA01100043</t>
  </si>
  <si>
    <t xml:space="preserve">C02356; C00334; C02261</t>
  </si>
  <si>
    <t xml:space="preserve">35619; 16865; 28797</t>
  </si>
  <si>
    <t xml:space="preserve">80283; 119; 439691</t>
  </si>
  <si>
    <t xml:space="preserve">1492-24-6; 56-12-2; 2623-91-8</t>
  </si>
  <si>
    <t xml:space="preserve">[C@H](N)(CC)C(=O)O; C(CCN)C(=O)O; [C@@H](N)(CC)C(=O)O</t>
  </si>
  <si>
    <t xml:space="preserve">QWCKQJZIFLGMSD-VKHMYHEASA-N; BTCSSZJGUNDROE-UHFFFAOYSA-N; QWCKQJZIFLGMSD-GSVOUGTGSA-N</t>
  </si>
  <si>
    <t xml:space="preserve">Organic acids and derivatives; Organic acids and derivatives; Organic acids and derivatives</t>
  </si>
  <si>
    <t xml:space="preserve">Carboxylic acids and derivatives; Carboxylic acids and derivatives; Carboxylic acids and derivatives</t>
  </si>
  <si>
    <t xml:space="preserve">Amino acids, peptides, and analogues; Amino acids, peptides, and analogues; Amino acids, peptides, and analogues</t>
  </si>
  <si>
    <t xml:space="preserve">103.00425</t>
  </si>
  <si>
    <t xml:space="preserve">C3H4O4</t>
  </si>
  <si>
    <t xml:space="preserve">Malonic acid; Hydroxypyruvic acid; Tartronate semialdehyde</t>
  </si>
  <si>
    <t xml:space="preserve">2855; 47532; 48934</t>
  </si>
  <si>
    <t xml:space="preserve">HMDB0000691; HMDB0001352; HMDB0006938</t>
  </si>
  <si>
    <t xml:space="preserve">3237; 403923; 58597</t>
  </si>
  <si>
    <t xml:space="preserve">LMFA01170041; ; </t>
  </si>
  <si>
    <t xml:space="preserve">C00383; C00168; C01146</t>
  </si>
  <si>
    <t xml:space="preserve">30794; 30841; 16992</t>
  </si>
  <si>
    <t xml:space="preserve">867; 964; 1122</t>
  </si>
  <si>
    <t xml:space="preserve">141-82-2; 1113-60-6; </t>
  </si>
  <si>
    <t xml:space="preserve">C(CC(=O)O)(=O)O; OCC(=O)C(O)=O; OC(C=O)C(O)=O</t>
  </si>
  <si>
    <t xml:space="preserve">OFOBLEOULBTSOW-UHFFFAOYSA-N; HHDDCCUIIUWNGJ-UHFFFAOYSA-N; QWBAFPFNGRFSFB-UHFFFAOYSA-N</t>
  </si>
  <si>
    <t xml:space="preserve">Organic acids and derivatives; Organic acids and derivatives; Organic oxygen compounds</t>
  </si>
  <si>
    <t xml:space="preserve">Carboxylic acids and derivatives; Hydroxy acids and derivatives; Organooxygen compounds</t>
  </si>
  <si>
    <t xml:space="preserve">Dicarboxylic acids and derivatives; Beta hydroxy acids and derivatives; Carbohydrates and carbohydrate conjugates</t>
  </si>
  <si>
    <t xml:space="preserve">104.03563</t>
  </si>
  <si>
    <t xml:space="preserve">C2H5NO</t>
  </si>
  <si>
    <t xml:space="preserve">N-Methylformamide; Acetaldehyde oxime; Acetamide</t>
  </si>
  <si>
    <t xml:space="preserve">47404; 48154; 56139</t>
  </si>
  <si>
    <t xml:space="preserve">HMDB0001122; HMDB0003656; HMDB0031645</t>
  </si>
  <si>
    <t xml:space="preserve">; 6972; 3711</t>
  </si>
  <si>
    <t xml:space="preserve">C11489; C02658; C06244</t>
  </si>
  <si>
    <t xml:space="preserve">7438; 50718; 27856</t>
  </si>
  <si>
    <t xml:space="preserve">31254; 5324279; 178</t>
  </si>
  <si>
    <t xml:space="preserve">123-39-7; 107-29-9; 60-35-5</t>
  </si>
  <si>
    <t xml:space="preserve">CNC=O; C\C=N\O; CC(N)=O</t>
  </si>
  <si>
    <t xml:space="preserve">ATHHXGZTWNVVOU-UHFFFAOYSA-N; FZENGILVLUJGJX-NSCUHMNNSA-N; DLFVBJFMPXGRIB-UHFFFAOYSA-N</t>
  </si>
  <si>
    <t xml:space="preserve">Organic acids and derivatives; Organic nitrogen compounds; Organic acids and derivatives</t>
  </si>
  <si>
    <t xml:space="preserve">Carboximidic acids and derivatives; Organonitrogen compounds; Carboximidic acids and derivatives</t>
  </si>
  <si>
    <t xml:space="preserve">Carboximidic acids; Oximes; Carboximidic acids</t>
  </si>
  <si>
    <t xml:space="preserve">108.01968</t>
  </si>
  <si>
    <t xml:space="preserve">C4H5N3O2</t>
  </si>
  <si>
    <t xml:space="preserve">1-Methyl-4-nitroimidazole</t>
  </si>
  <si>
    <t xml:space="preserve">82534</t>
  </si>
  <si>
    <t xml:space="preserve">HMDB0060659</t>
  </si>
  <si>
    <t xml:space="preserve">C16621</t>
  </si>
  <si>
    <t xml:space="preserve">18209</t>
  </si>
  <si>
    <t xml:space="preserve">CN1C=NC(=C1)[N+]([O-])=O</t>
  </si>
  <si>
    <t xml:space="preserve">HSCOLDQJZRZQMV-UHFFFAOYSA-N</t>
  </si>
  <si>
    <t xml:space="preserve">Organoheterocyclic compounds</t>
  </si>
  <si>
    <t xml:space="preserve">Azoles</t>
  </si>
  <si>
    <t xml:space="preserve">Imidazoles</t>
  </si>
  <si>
    <t xml:space="preserve">109.03827</t>
  </si>
  <si>
    <t xml:space="preserve">C3H8N2O</t>
  </si>
  <si>
    <t xml:space="preserve">M+Na-2H</t>
  </si>
  <si>
    <t xml:space="preserve">Dimethylurea</t>
  </si>
  <si>
    <t xml:space="preserve">54188</t>
  </si>
  <si>
    <t xml:space="preserve">HMDB0029198</t>
  </si>
  <si>
    <t xml:space="preserve">4228</t>
  </si>
  <si>
    <t xml:space="preserve">C16364</t>
  </si>
  <si>
    <t xml:space="preserve">80472</t>
  </si>
  <si>
    <t xml:space="preserve">7293</t>
  </si>
  <si>
    <t xml:space="preserve">96-31-1</t>
  </si>
  <si>
    <t xml:space="preserve">CNC(=O)NC</t>
  </si>
  <si>
    <t xml:space="preserve">MGJKQDOBUOMPEZ-UHFFFAOYSA-N</t>
  </si>
  <si>
    <t xml:space="preserve">111.00801</t>
  </si>
  <si>
    <t xml:space="preserve">C3H6O3</t>
  </si>
  <si>
    <t xml:space="preserve">L-Lactic acid</t>
  </si>
  <si>
    <t xml:space="preserve">46919</t>
  </si>
  <si>
    <t xml:space="preserve">HMDB0000190</t>
  </si>
  <si>
    <t xml:space="preserve">45858</t>
  </si>
  <si>
    <t xml:space="preserve">C00186</t>
  </si>
  <si>
    <t xml:space="preserve">422</t>
  </si>
  <si>
    <t xml:space="preserve">107689</t>
  </si>
  <si>
    <t xml:space="preserve">79-33-4</t>
  </si>
  <si>
    <t xml:space="preserve">C[C@H](O)C(O)=O</t>
  </si>
  <si>
    <t xml:space="preserve">JVTAAEKCZFNVCJ-REOHCLBHSA-N</t>
  </si>
  <si>
    <t xml:space="preserve">Hydroxy acids and derivatives</t>
  </si>
  <si>
    <t xml:space="preserve">Alpha hydroxy acids and derivatives</t>
  </si>
  <si>
    <t xml:space="preserve">113.02545</t>
  </si>
  <si>
    <t xml:space="preserve">C5H6O3</t>
  </si>
  <si>
    <t xml:space="preserve">cis-Acetylacrylate</t>
  </si>
  <si>
    <t xml:space="preserve">82356</t>
  </si>
  <si>
    <t xml:space="preserve">HMDB0060461</t>
  </si>
  <si>
    <t xml:space="preserve">66578</t>
  </si>
  <si>
    <t xml:space="preserve">C07091</t>
  </si>
  <si>
    <t xml:space="preserve">28993</t>
  </si>
  <si>
    <t xml:space="preserve">5281015</t>
  </si>
  <si>
    <t xml:space="preserve">[H]\C(=C(/[H])C(O)=O)C(C)=O</t>
  </si>
  <si>
    <t xml:space="preserve">XGTKSWVCNVUVHG-IHWYPQMZSA-N</t>
  </si>
  <si>
    <t xml:space="preserve">Keto acids and derivatives</t>
  </si>
  <si>
    <t xml:space="preserve">Short-chain keto acids and derivatives</t>
  </si>
  <si>
    <t xml:space="preserve">113.09827</t>
  </si>
  <si>
    <t xml:space="preserve">C7H14O</t>
  </si>
  <si>
    <t xml:space="preserve">2-Heptanone; Heptanal</t>
  </si>
  <si>
    <t xml:space="preserve">9830; 6467</t>
  </si>
  <si>
    <t xml:space="preserve">HMDB0003671; HMDB0031475</t>
  </si>
  <si>
    <t xml:space="preserve">36780; 36523</t>
  </si>
  <si>
    <t xml:space="preserve">LMFA12000004; LMFA06000001</t>
  </si>
  <si>
    <t xml:space="preserve">C08380; C14390</t>
  </si>
  <si>
    <t xml:space="preserve">5672; 34787</t>
  </si>
  <si>
    <t xml:space="preserve">8051; 8130</t>
  </si>
  <si>
    <t xml:space="preserve">110-43-0; 111-71-7</t>
  </si>
  <si>
    <t xml:space="preserve">CC(=O)CCCCC; C([H])(CCCCCC)=O</t>
  </si>
  <si>
    <t xml:space="preserve">CATSNJVOTSVZJV-UHFFFAOYSA-N; FXHGMKSSBGDXIY-UHFFFAOYSA-N</t>
  </si>
  <si>
    <t xml:space="preserve">Carbonyl compounds; Carbonyl compounds</t>
  </si>
  <si>
    <t xml:space="preserve">114.93346</t>
  </si>
  <si>
    <t xml:space="preserve">CH3O2P</t>
  </si>
  <si>
    <t xml:space="preserve">Poly(acrylic acid-co-hypophosphite), sodium salt</t>
  </si>
  <si>
    <t xml:space="preserve">256147</t>
  </si>
  <si>
    <t xml:space="preserve">HMDB0303270</t>
  </si>
  <si>
    <t xml:space="preserve">14345805</t>
  </si>
  <si>
    <t xml:space="preserve">OC(P)=O</t>
  </si>
  <si>
    <t xml:space="preserve">MEUIIHOXOWVKNP-UHFFFAOYSA-N</t>
  </si>
  <si>
    <t xml:space="preserve">115.00372</t>
  </si>
  <si>
    <t xml:space="preserve">C4H6O5</t>
  </si>
  <si>
    <t xml:space="preserve">Malic acid</t>
  </si>
  <si>
    <t xml:space="preserve">46899</t>
  </si>
  <si>
    <t xml:space="preserve">HMDB0000156</t>
  </si>
  <si>
    <t xml:space="preserve">45931</t>
  </si>
  <si>
    <t xml:space="preserve">C00149</t>
  </si>
  <si>
    <t xml:space="preserve">30797</t>
  </si>
  <si>
    <t xml:space="preserve">222656</t>
  </si>
  <si>
    <t xml:space="preserve">97-67-6</t>
  </si>
  <si>
    <t xml:space="preserve">O[C@@H](CC(O)=O)C(O)=O</t>
  </si>
  <si>
    <t xml:space="preserve">BJEPYKJPYRNKOW-REOHCLBHSA-N</t>
  </si>
  <si>
    <t xml:space="preserve">Beta hydroxy acids and derivatives</t>
  </si>
  <si>
    <t xml:space="preserve">117.01913</t>
  </si>
  <si>
    <t xml:space="preserve">C3H4O2</t>
  </si>
  <si>
    <t xml:space="preserve">Acrylic acid</t>
  </si>
  <si>
    <t xml:space="preserve">690</t>
  </si>
  <si>
    <t xml:space="preserve">HMDB0031647</t>
  </si>
  <si>
    <t xml:space="preserve">34859</t>
  </si>
  <si>
    <t xml:space="preserve">LMFA01030193</t>
  </si>
  <si>
    <t xml:space="preserve">C00511</t>
  </si>
  <si>
    <t xml:space="preserve">18308</t>
  </si>
  <si>
    <t xml:space="preserve">6581</t>
  </si>
  <si>
    <t xml:space="preserve">79-10-7</t>
  </si>
  <si>
    <t xml:space="preserve">C=CC(=O)O</t>
  </si>
  <si>
    <t xml:space="preserve">NIXOWILDQLNWCW-UHFFFAOYSA-N</t>
  </si>
  <si>
    <t xml:space="preserve">Acrylic acids and derivatives</t>
  </si>
  <si>
    <t xml:space="preserve">118.99367</t>
  </si>
  <si>
    <t xml:space="preserve">C2HF5</t>
  </si>
  <si>
    <t xml:space="preserve">Pentafluoroethane</t>
  </si>
  <si>
    <t xml:space="preserve">210139</t>
  </si>
  <si>
    <t xml:space="preserve">HMDB0256265</t>
  </si>
  <si>
    <t xml:space="preserve">FC(F)C(F)(F)F</t>
  </si>
  <si>
    <t xml:space="preserve">GTLACDSXYULKMZ-UHFFFAOYSA-N</t>
  </si>
  <si>
    <t xml:space="preserve">119.03681</t>
  </si>
  <si>
    <t xml:space="preserve">C5H4N4</t>
  </si>
  <si>
    <t xml:space="preserve">Purine</t>
  </si>
  <si>
    <t xml:space="preserve">47540</t>
  </si>
  <si>
    <t xml:space="preserve">HMDB0001366</t>
  </si>
  <si>
    <t xml:space="preserve">6193</t>
  </si>
  <si>
    <t xml:space="preserve">C15587</t>
  </si>
  <si>
    <t xml:space="preserve">17258</t>
  </si>
  <si>
    <t xml:space="preserve">1044</t>
  </si>
  <si>
    <t xml:space="preserve">120-73-0</t>
  </si>
  <si>
    <t xml:space="preserve">N1C=NC2=C1C=NC=N2</t>
  </si>
  <si>
    <t xml:space="preserve">KDCGOANMDULRCW-UHFFFAOYSA-N</t>
  </si>
  <si>
    <t xml:space="preserve">Imidazopyrimidines</t>
  </si>
  <si>
    <t xml:space="preserve">Purines and purine derivatives</t>
  </si>
  <si>
    <t xml:space="preserve">119.04953</t>
  </si>
  <si>
    <t xml:space="preserve">C8H10O2</t>
  </si>
  <si>
    <t xml:space="preserve">Tyrosol; 3-Ethyl-1,2-benzenediol</t>
  </si>
  <si>
    <t xml:space="preserve">48273; 63400</t>
  </si>
  <si>
    <t xml:space="preserve">HMDB0004284; HMDB0040177</t>
  </si>
  <si>
    <t xml:space="preserve">7044; 66508</t>
  </si>
  <si>
    <t xml:space="preserve">C06044; C06728</t>
  </si>
  <si>
    <t xml:space="preserve">1879; 16572</t>
  </si>
  <si>
    <t xml:space="preserve">10393; 70278</t>
  </si>
  <si>
    <t xml:space="preserve">501-94-0; 933-99-3</t>
  </si>
  <si>
    <t xml:space="preserve">OCCC1=CC=C(O)C=C1; CCC1=C(O)C(O)=CC=C1</t>
  </si>
  <si>
    <t xml:space="preserve">YCCILVSKPBXVIP-UHFFFAOYSA-N; UUCQGNWZASKXNN-UHFFFAOYSA-N</t>
  </si>
  <si>
    <t xml:space="preserve">Benzenoids; Benzenoids</t>
  </si>
  <si>
    <t xml:space="preserve">Phenols; Phenols</t>
  </si>
  <si>
    <t xml:space="preserve">Tyrosols and derivatives; Benzenediols</t>
  </si>
  <si>
    <t xml:space="preserve">119.08579</t>
  </si>
  <si>
    <t xml:space="preserve">C7H14</t>
  </si>
  <si>
    <t xml:space="preserve">(E)-Hept-2-ene</t>
  </si>
  <si>
    <t xml:space="preserve">83309</t>
  </si>
  <si>
    <t xml:space="preserve">HMDB0061783</t>
  </si>
  <si>
    <t xml:space="preserve">639662</t>
  </si>
  <si>
    <t xml:space="preserve">[H]\C(C)=C(\[H])CCCC</t>
  </si>
  <si>
    <t xml:space="preserve">OTTZHAVKAVGASB-HWKANZROSA-N</t>
  </si>
  <si>
    <t xml:space="preserve">Hydrocarbons</t>
  </si>
  <si>
    <t xml:space="preserve">Unsaturated hydrocarbons</t>
  </si>
  <si>
    <t xml:space="preserve">Unsaturated aliphatic hydrocarbons</t>
  </si>
  <si>
    <t xml:space="preserve">121.01605</t>
  </si>
  <si>
    <t xml:space="preserve">C6H4NO2</t>
  </si>
  <si>
    <t xml:space="preserve">Para-Nitrophenyl</t>
  </si>
  <si>
    <t xml:space="preserve">201062</t>
  </si>
  <si>
    <t xml:space="preserve">HMDB0245652</t>
  </si>
  <si>
    <t xml:space="preserve">119211</t>
  </si>
  <si>
    <t xml:space="preserve">O=N(=O)C1=CC=C=C[CH]1</t>
  </si>
  <si>
    <t xml:space="preserve">ZHCAAFJSYLFLPX-UHFFFAOYSA-N</t>
  </si>
  <si>
    <t xml:space="preserve">Benzenoids</t>
  </si>
  <si>
    <t xml:space="preserve">Benzene and substituted derivatives</t>
  </si>
  <si>
    <t xml:space="preserve">Nitrobenzenes</t>
  </si>
  <si>
    <t xml:space="preserve">122.02424</t>
  </si>
  <si>
    <t xml:space="preserve">C6H5NO2</t>
  </si>
  <si>
    <t xml:space="preserve">Nicotinic acid; Picolinic acid; Nitrobenzene</t>
  </si>
  <si>
    <t xml:space="preserve">47609; 47876; 64960</t>
  </si>
  <si>
    <t xml:space="preserve">HMDB0001488; HMDB0002243; HMDB0041950</t>
  </si>
  <si>
    <t xml:space="preserve">240; 44803; 44789</t>
  </si>
  <si>
    <t xml:space="preserve">C00253; C10164; C06813</t>
  </si>
  <si>
    <t xml:space="preserve">15940; 28747; 27798</t>
  </si>
  <si>
    <t xml:space="preserve">938; 1018; 7416</t>
  </si>
  <si>
    <t xml:space="preserve">59-67-6; 98-98-6; 98-95-3</t>
  </si>
  <si>
    <t xml:space="preserve">OC(=O)C1=CN=CC=C1; OC(=O)C1=CC=CC=N1; O=N(=O)C1=CC=CC=C1</t>
  </si>
  <si>
    <t xml:space="preserve">PVNIIMVLHYAWGP-UHFFFAOYSA-N; SIOXPEMLGUPBBT-UHFFFAOYSA-N; LQNUZADURLCDLV-UHFFFAOYSA-N</t>
  </si>
  <si>
    <t xml:space="preserve">Organoheterocyclic compounds; Organoheterocyclic compounds; Benzenoids</t>
  </si>
  <si>
    <t xml:space="preserve">Pyridines and derivatives; Pyridines and derivatives; Benzene and substituted derivatives</t>
  </si>
  <si>
    <t xml:space="preserve">Pyridinecarboxylic acids and derivatives; Pyridinecarboxylic acids and derivatives; Nitrobenzenes</t>
  </si>
  <si>
    <t xml:space="preserve">123.00662</t>
  </si>
  <si>
    <t xml:space="preserve">CH4N4O</t>
  </si>
  <si>
    <t xml:space="preserve">M+Cl</t>
  </si>
  <si>
    <t xml:space="preserve">Nitrosoguanidine</t>
  </si>
  <si>
    <t xml:space="preserve">209617</t>
  </si>
  <si>
    <t xml:space="preserve">HMDB0255661</t>
  </si>
  <si>
    <t xml:space="preserve">NC(N)=NN=O</t>
  </si>
  <si>
    <t xml:space="preserve">WTLKTXIHIHFSGU-UHFFFAOYSA-N</t>
  </si>
  <si>
    <t xml:space="preserve">Organic nitroso compounds</t>
  </si>
  <si>
    <t xml:space="preserve">123.03411</t>
  </si>
  <si>
    <t xml:space="preserve">C5H4N</t>
  </si>
  <si>
    <t xml:space="preserve">pyridinyl; 5-Pyridyl</t>
  </si>
  <si>
    <t xml:space="preserve">210746; 201357</t>
  </si>
  <si>
    <t xml:space="preserve">HMDB0256969; HMDB0245981</t>
  </si>
  <si>
    <t xml:space="preserve">12594990; 12594991</t>
  </si>
  <si>
    <t xml:space="preserve">[C]1=CC=CC=N1; [C]1=CC=CN=C1</t>
  </si>
  <si>
    <t xml:space="preserve">FIULGFJIHJJXMT-UHFFFAOYSA-N; KPCZJLGGXRGYIE-UHFFFAOYSA-N</t>
  </si>
  <si>
    <t xml:space="preserve">Organoheterocyclic compounds; Organoheterocyclic compounds</t>
  </si>
  <si>
    <t xml:space="preserve">Pyridines and derivatives; Pyridines and derivatives</t>
  </si>
  <si>
    <t xml:space="preserve">123.04570</t>
  </si>
  <si>
    <t xml:space="preserve">C6H6</t>
  </si>
  <si>
    <t xml:space="preserve">Benzene</t>
  </si>
  <si>
    <t xml:space="preserve">47620</t>
  </si>
  <si>
    <t xml:space="preserve">HMDB0001505</t>
  </si>
  <si>
    <t xml:space="preserve">6285</t>
  </si>
  <si>
    <t xml:space="preserve">C01407</t>
  </si>
  <si>
    <t xml:space="preserve">16716</t>
  </si>
  <si>
    <t xml:space="preserve">241</t>
  </si>
  <si>
    <t xml:space="preserve">71-43-2</t>
  </si>
  <si>
    <t xml:space="preserve">C1=CC=CC=C1</t>
  </si>
  <si>
    <t xml:space="preserve">UHOVQNZJYSORNB-UHFFFAOYSA-N</t>
  </si>
  <si>
    <t xml:space="preserve">125.01016</t>
  </si>
  <si>
    <t xml:space="preserve">C2H6N2O2</t>
  </si>
  <si>
    <t xml:space="preserve">Dimethylnitramine; Methanol, (methyl-ONN-azoxy)-</t>
  </si>
  <si>
    <t xml:space="preserve">206028; 208713</t>
  </si>
  <si>
    <t xml:space="preserve">HMDB0251404; HMDB0254623</t>
  </si>
  <si>
    <t xml:space="preserve">20120; 11554</t>
  </si>
  <si>
    <t xml:space="preserve">CN(C)[N+]([O-])=O; C[N+]([O-])=NCO</t>
  </si>
  <si>
    <t xml:space="preserve">XRWKADIRZXTTLH-UHFFFAOYSA-N; BJNBRIBHKLJMAG-UHFFFAOYSA-N</t>
  </si>
  <si>
    <t xml:space="preserve">Organic 1,3-dipolar compounds; Organic 1,3-dipolar compounds</t>
  </si>
  <si>
    <t xml:space="preserve">Allyl-type 1,3-dipolar organic compounds; Allyl-type 1,3-dipolar organic compounds</t>
  </si>
  <si>
    <t xml:space="preserve">Organic nitro compounds; Azoxy compounds</t>
  </si>
  <si>
    <t xml:space="preserve">125.09779</t>
  </si>
  <si>
    <t xml:space="preserve">C8H16O2</t>
  </si>
  <si>
    <t xml:space="preserve">Valproic acid, sodium salt (2:1); FA(8:0)</t>
  </si>
  <si>
    <t xml:space="preserve">361; 55</t>
  </si>
  <si>
    <t xml:space="preserve">HMDB0001877; HMDB0000482</t>
  </si>
  <si>
    <t xml:space="preserve">2986; 112</t>
  </si>
  <si>
    <t xml:space="preserve">LMFA01020291; LMFA01010008</t>
  </si>
  <si>
    <t xml:space="preserve">C07185; C06423</t>
  </si>
  <si>
    <t xml:space="preserve">39867; 28837</t>
  </si>
  <si>
    <t xml:space="preserve">3121; 379</t>
  </si>
  <si>
    <t xml:space="preserve">99-66-1; 124-07-2</t>
  </si>
  <si>
    <t xml:space="preserve">C(=O)(O)C(CCC)CCC; CCCCCCCC(=O)O</t>
  </si>
  <si>
    <t xml:space="preserve">NIJJYAXOARWZEE-UHFFFAOYSA-N; WWZKQHOCKIZLMA-UHFFFAOYSA-N</t>
  </si>
  <si>
    <t xml:space="preserve">Lipids and lipid-like molecules; Lipids and lipid-like molecules</t>
  </si>
  <si>
    <t xml:space="preserve">Fatty Acyls; Fatty Acyls</t>
  </si>
  <si>
    <t xml:space="preserve">Fatty acids and conjugates; Fatty acids and conjugates</t>
  </si>
  <si>
    <t xml:space="preserve">126.98800</t>
  </si>
  <si>
    <t xml:space="preserve">C5H4O2S</t>
  </si>
  <si>
    <t xml:space="preserve">THIOPHENE-2-CARBOXYLIC ACID</t>
  </si>
  <si>
    <t xml:space="preserve">212452</t>
  </si>
  <si>
    <t xml:space="preserve">HMDB0259027</t>
  </si>
  <si>
    <t xml:space="preserve">337894</t>
  </si>
  <si>
    <t xml:space="preserve">71241</t>
  </si>
  <si>
    <t xml:space="preserve">10700</t>
  </si>
  <si>
    <t xml:space="preserve">OC(=O)C1=CC=CS1</t>
  </si>
  <si>
    <t xml:space="preserve">QERYCTSHXKAMIS-UHFFFAOYSA-N</t>
  </si>
  <si>
    <t xml:space="preserve">Thiophenes</t>
  </si>
  <si>
    <t xml:space="preserve">Thiophene carboxylic acids and derivatives</t>
  </si>
  <si>
    <t xml:space="preserve">127.00056</t>
  </si>
  <si>
    <t xml:space="preserve">C2HF3</t>
  </si>
  <si>
    <t xml:space="preserve">Trifluoroethylene</t>
  </si>
  <si>
    <t xml:space="preserve">212607</t>
  </si>
  <si>
    <t xml:space="preserve">HMDB0259205</t>
  </si>
  <si>
    <t xml:space="preserve">336867</t>
  </si>
  <si>
    <t xml:space="preserve">9665</t>
  </si>
  <si>
    <t xml:space="preserve">FC=C(F)F</t>
  </si>
  <si>
    <t xml:space="preserve">MIZLGWKEZAPEFJ-UHFFFAOYSA-N</t>
  </si>
  <si>
    <t xml:space="preserve">Vinyl halides</t>
  </si>
  <si>
    <t xml:space="preserve">Vinyl fluorides</t>
  </si>
  <si>
    <t xml:space="preserve">127.07762</t>
  </si>
  <si>
    <t xml:space="preserve">C7H12O2</t>
  </si>
  <si>
    <t xml:space="preserve">Butyl acrylate; Cyclohexanecarboxylic acid; Ethyl tiglate</t>
  </si>
  <si>
    <t xml:space="preserve">204417; 55916; 7550</t>
  </si>
  <si>
    <t xml:space="preserve">HMDB0249474; HMDB0031342; HMDB0038962</t>
  </si>
  <si>
    <t xml:space="preserve">68690; 67955; 67015</t>
  </si>
  <si>
    <t xml:space="preserve">; ; LMFA07010884</t>
  </si>
  <si>
    <t xml:space="preserve">C10921; C09822; C08487</t>
  </si>
  <si>
    <t xml:space="preserve">3245; 36096; </t>
  </si>
  <si>
    <t xml:space="preserve">8846; 7413; 5281163</t>
  </si>
  <si>
    <t xml:space="preserve">141-32-2; 98-89-5; 5837-78-5</t>
  </si>
  <si>
    <t xml:space="preserve">CCCCOC(=O)C=C; OC(=O)C1CCCCC1; O=C(/C(/C)=C/C)OCC</t>
  </si>
  <si>
    <t xml:space="preserve">CQEYYJKEWSMYFG-UHFFFAOYSA-N; NZNMSOFKMUBTKW-UHFFFAOYSA-N; OAPHLAAOJMTMLY-GQCTYLIASA-N</t>
  </si>
  <si>
    <t xml:space="preserve">Organic acids and derivatives; Organic acids and derivatives; Lipids and lipid-like molecules</t>
  </si>
  <si>
    <t xml:space="preserve">Carboxylic acids and derivatives; Carboxylic acids and derivatives; Fatty Acyls</t>
  </si>
  <si>
    <t xml:space="preserve">Acrylic acids and derivatives; Carboxylic acids; Fatty acid esters</t>
  </si>
  <si>
    <t xml:space="preserve">127.98908</t>
  </si>
  <si>
    <t xml:space="preserve">C3H6ClNO</t>
  </si>
  <si>
    <t xml:space="preserve">3-Chloropropionamide</t>
  </si>
  <si>
    <t xml:space="preserve">201233</t>
  </si>
  <si>
    <t xml:space="preserve">HMDB0245843</t>
  </si>
  <si>
    <t xml:space="preserve">79982</t>
  </si>
  <si>
    <t xml:space="preserve">NC(=O)CCCl</t>
  </si>
  <si>
    <t xml:space="preserve">JQDXZJYAUSVHDH-UHFFFAOYSA-N</t>
  </si>
  <si>
    <t xml:space="preserve">Carboxylic acid derivatives</t>
  </si>
  <si>
    <t xml:space="preserve">128.96127</t>
  </si>
  <si>
    <t xml:space="preserve">C2H6S2</t>
  </si>
  <si>
    <t xml:space="preserve">Dimethyldisulfide</t>
  </si>
  <si>
    <t xml:space="preserve">48635</t>
  </si>
  <si>
    <t xml:space="preserve">HMDB0005879</t>
  </si>
  <si>
    <t xml:space="preserve">58333</t>
  </si>
  <si>
    <t xml:space="preserve">C08371</t>
  </si>
  <si>
    <t xml:space="preserve">4608</t>
  </si>
  <si>
    <t xml:space="preserve">12232</t>
  </si>
  <si>
    <t xml:space="preserve">624-92-0</t>
  </si>
  <si>
    <t xml:space="preserve">CSSC</t>
  </si>
  <si>
    <t xml:space="preserve">WQOXQRCZOLPYPM-UHFFFAOYSA-N</t>
  </si>
  <si>
    <t xml:space="preserve">Organosulfur compounds</t>
  </si>
  <si>
    <t xml:space="preserve">Organic disulfides</t>
  </si>
  <si>
    <t xml:space="preserve">Dialkyldisulfides</t>
  </si>
  <si>
    <t xml:space="preserve">128.98593</t>
  </si>
  <si>
    <t xml:space="preserve">C5H6S2</t>
  </si>
  <si>
    <t xml:space="preserve">2-Thiophenemethanethiol; 3-(Methylthio)thiophene; 2-Methyl-3-thiophenethiol</t>
  </si>
  <si>
    <t xml:space="preserve">56318; 57202; 63038</t>
  </si>
  <si>
    <t xml:space="preserve">HMDB0031853; HMDB0032939; HMDB0039787</t>
  </si>
  <si>
    <t xml:space="preserve">87973; 88842; 94336</t>
  </si>
  <si>
    <t xml:space="preserve">80408; 519806; 75664</t>
  </si>
  <si>
    <t xml:space="preserve">6258-63-5; 20731-74-2; 2527-76-6</t>
  </si>
  <si>
    <t xml:space="preserve">SCC1=CC=CS1; CSC1=CSC=C1; CC1=C(S)C=CS1</t>
  </si>
  <si>
    <t xml:space="preserve">GCZQHDFWKVMZOE-UHFFFAOYSA-N; OTYBVBDWIKXFDO-UHFFFAOYSA-N; AQXLMAYNBMTBHD-UHFFFAOYSA-N</t>
  </si>
  <si>
    <t xml:space="preserve">Organoheterocyclic compounds; Organosulfur compounds; Organoheterocyclic compounds</t>
  </si>
  <si>
    <t xml:space="preserve">Heteroaromatic compounds; Thioethers; Heteroaromatic compounds</t>
  </si>
  <si>
    <t xml:space="preserve">Unclassified; Aryl thioethers; Unclassified</t>
  </si>
  <si>
    <t xml:space="preserve">129.01819</t>
  </si>
  <si>
    <t xml:space="preserve">C5H6O4</t>
  </si>
  <si>
    <t xml:space="preserve">Itaconic acid; Citraconic acid</t>
  </si>
  <si>
    <t xml:space="preserve">2875; 2909</t>
  </si>
  <si>
    <t xml:space="preserve">HMDB0002092; HMDB0000634</t>
  </si>
  <si>
    <t xml:space="preserve">44764; 5607</t>
  </si>
  <si>
    <t xml:space="preserve">LMFA01170063; LMFA01170099</t>
  </si>
  <si>
    <t xml:space="preserve">C00490; C02226</t>
  </si>
  <si>
    <t xml:space="preserve">30838; 17626</t>
  </si>
  <si>
    <t xml:space="preserve">811; 643798</t>
  </si>
  <si>
    <t xml:space="preserve">97-65-4; 498-23-7</t>
  </si>
  <si>
    <t xml:space="preserve">C(=O)(O)C(=C)CC(=O)O; C(=O)(O)/C(/C)=C\C(=O)O</t>
  </si>
  <si>
    <t xml:space="preserve">LVHBHZANLOWSRM-UHFFFAOYSA-N; HNEGQIOMVPPMNR-IHWYPQMZSA-N</t>
  </si>
  <si>
    <t xml:space="preserve">130.08649</t>
  </si>
  <si>
    <t xml:space="preserve">C6H15NO3</t>
  </si>
  <si>
    <t xml:space="preserve">Triethanolamine</t>
  </si>
  <si>
    <t xml:space="preserve">56835</t>
  </si>
  <si>
    <t xml:space="preserve">HMDB0032538</t>
  </si>
  <si>
    <t xml:space="preserve">43365</t>
  </si>
  <si>
    <t xml:space="preserve">C06771</t>
  </si>
  <si>
    <t xml:space="preserve">28621</t>
  </si>
  <si>
    <t xml:space="preserve">7618</t>
  </si>
  <si>
    <t xml:space="preserve">102-71-6</t>
  </si>
  <si>
    <t xml:space="preserve">OCCN(CCO)CCO</t>
  </si>
  <si>
    <t xml:space="preserve">GSEJCLTVZPLZKY-UHFFFAOYSA-N</t>
  </si>
  <si>
    <t xml:space="preserve">Amines</t>
  </si>
  <si>
    <t xml:space="preserve">130.99619</t>
  </si>
  <si>
    <t xml:space="preserve">CHF3O</t>
  </si>
  <si>
    <t xml:space="preserve">TRIFLUOROMETHANOL</t>
  </si>
  <si>
    <t xml:space="preserve">212609</t>
  </si>
  <si>
    <t xml:space="preserve">HMDB0259207</t>
  </si>
  <si>
    <t xml:space="preserve">431224</t>
  </si>
  <si>
    <t xml:space="preserve">73894</t>
  </si>
  <si>
    <t xml:space="preserve">OC(F)(F)F</t>
  </si>
  <si>
    <t xml:space="preserve">WZCZNEGTXVXAAS-UHFFFAOYSA-N</t>
  </si>
  <si>
    <t xml:space="preserve">Alkyl halides</t>
  </si>
  <si>
    <t xml:space="preserve">Halomethanes</t>
  </si>
  <si>
    <t xml:space="preserve">131.04613</t>
  </si>
  <si>
    <t xml:space="preserve">C4H8N2O3</t>
  </si>
  <si>
    <t xml:space="preserve">Ureidopropionic acid</t>
  </si>
  <si>
    <t xml:space="preserve">46833</t>
  </si>
  <si>
    <t xml:space="preserve">HMDB0000026</t>
  </si>
  <si>
    <t xml:space="preserve">294</t>
  </si>
  <si>
    <t xml:space="preserve">C02642</t>
  </si>
  <si>
    <t xml:space="preserve">18261</t>
  </si>
  <si>
    <t xml:space="preserve">111</t>
  </si>
  <si>
    <t xml:space="preserve">462-88-4</t>
  </si>
  <si>
    <t xml:space="preserve">NC(=O)NCCC(O)=O</t>
  </si>
  <si>
    <t xml:space="preserve">JSJWCHRYRHKBBW-UHFFFAOYSA-N</t>
  </si>
  <si>
    <t xml:space="preserve">131.08274</t>
  </si>
  <si>
    <t xml:space="preserve">C5H12N2O2</t>
  </si>
  <si>
    <t xml:space="preserve">D-Ornithine; Ornithine</t>
  </si>
  <si>
    <t xml:space="preserve">48082; 46935</t>
  </si>
  <si>
    <t xml:space="preserve">HMDB0003374; HMDB0000214</t>
  </si>
  <si>
    <t xml:space="preserve">6910; 45121</t>
  </si>
  <si>
    <t xml:space="preserve">C00515; C00077</t>
  </si>
  <si>
    <t xml:space="preserve">16176; 15729</t>
  </si>
  <si>
    <t xml:space="preserve">71082; 6262</t>
  </si>
  <si>
    <t xml:space="preserve">348-66-3; 70-26-8</t>
  </si>
  <si>
    <t xml:space="preserve">NCCC[C@@H](N)C(O)=O; NCCC[C@H](N)C(O)=O</t>
  </si>
  <si>
    <t xml:space="preserve">AHLPHDHHMVZTML-SCSAIBSYSA-N; AHLPHDHHMVZTML-BYPYZUCNSA-N</t>
  </si>
  <si>
    <t xml:space="preserve">Organic acids and derivatives; Organic acids and derivatives</t>
  </si>
  <si>
    <t xml:space="preserve">Carboxylic acids and derivatives; Carboxylic acids and derivatives</t>
  </si>
  <si>
    <t xml:space="preserve">Amino acids, peptides, and analogues; Amino acids, peptides, and analogues</t>
  </si>
  <si>
    <t xml:space="preserve">132.03068</t>
  </si>
  <si>
    <t xml:space="preserve">C4H7NO4</t>
  </si>
  <si>
    <t xml:space="preserve">L-Aspartic acid; D-Aspartic acid</t>
  </si>
  <si>
    <t xml:space="preserve">46920; 48738</t>
  </si>
  <si>
    <t xml:space="preserve">HMDB0000191; HMDB0006483</t>
  </si>
  <si>
    <t xml:space="preserve">15; 63097</t>
  </si>
  <si>
    <t xml:space="preserve">C00049; C00402</t>
  </si>
  <si>
    <t xml:space="preserve">17053; 17364</t>
  </si>
  <si>
    <t xml:space="preserve">5960; 83887</t>
  </si>
  <si>
    <t xml:space="preserve">56-84-8; 1783-96-6</t>
  </si>
  <si>
    <t xml:space="preserve">N[C@@H](CC(O)=O)C(O)=O; N[C@H](CC(O)=O)C(O)=O</t>
  </si>
  <si>
    <t xml:space="preserve">CKLJMWTZIZZHCS-REOHCLBHSA-N; CKLJMWTZIZZHCS-UWTATZPHSA-N</t>
  </si>
  <si>
    <t xml:space="preserve">133.01353</t>
  </si>
  <si>
    <t xml:space="preserve">C5H4N4O2</t>
  </si>
  <si>
    <t xml:space="preserve">Xanthine; Oxypurinol</t>
  </si>
  <si>
    <t xml:space="preserve">46978; 47221</t>
  </si>
  <si>
    <t xml:space="preserve">HMDB0000292; HMDB0000786</t>
  </si>
  <si>
    <t xml:space="preserve">82; 866</t>
  </si>
  <si>
    <t xml:space="preserve">C00385; C07599</t>
  </si>
  <si>
    <t xml:space="preserve">17712; 28315</t>
  </si>
  <si>
    <t xml:space="preserve">1188; 4644</t>
  </si>
  <si>
    <t xml:space="preserve">69-89-6; 2465-59-0</t>
  </si>
  <si>
    <t xml:space="preserve">O=C1NC2=C(NC=N2)C(=O)N1; O=C1NC(=O)C2=CNNC2=N1</t>
  </si>
  <si>
    <t xml:space="preserve">LRFVTYWOQMYALW-UHFFFAOYSA-N; HXNFUBHNUDHIGC-UHFFFAOYSA-N</t>
  </si>
  <si>
    <t xml:space="preserve">Imidazopyrimidines; Imidazopyrimidines</t>
  </si>
  <si>
    <t xml:space="preserve">Purines and purine derivatives; Purines and purine derivatives</t>
  </si>
  <si>
    <t xml:space="preserve">133.05037</t>
  </si>
  <si>
    <t xml:space="preserve">C4H8O2</t>
  </si>
  <si>
    <t xml:space="preserve">FA(4:0); Isobutyric acid; Acetoin</t>
  </si>
  <si>
    <t xml:space="preserve">51; 166; 9846</t>
  </si>
  <si>
    <t xml:space="preserve">HMDB0000039; HMDB0001873; HMDB0003243</t>
  </si>
  <si>
    <t xml:space="preserve">107; 106; 103</t>
  </si>
  <si>
    <t xml:space="preserve">LMFA01010004; LMFA01020071; LMFA12000020</t>
  </si>
  <si>
    <t xml:space="preserve">C00246; C02632; C00466</t>
  </si>
  <si>
    <t xml:space="preserve">30772; 16135; 15688</t>
  </si>
  <si>
    <t xml:space="preserve">264; 6590; 179</t>
  </si>
  <si>
    <t xml:space="preserve">107-92-6; 79-31-2; 513-86-0</t>
  </si>
  <si>
    <t xml:space="preserve">CCCC(=O)O; CC(C)C(=O)O; CC(=O)C(O)C</t>
  </si>
  <si>
    <t xml:space="preserve">FERIUCNNQQJTOY-UHFFFAOYSA-N; KQNPFQTWMSNSAP-UHFFFAOYSA-N; ROWKJAVDOGWPAT-UHFFFAOYSA-N</t>
  </si>
  <si>
    <t xml:space="preserve">Lipids and lipid-like molecules; Organic acids and derivatives; Organic oxygen compounds</t>
  </si>
  <si>
    <t xml:space="preserve">Fatty Acyls; Carboxylic acids and derivatives; Organooxygen compounds</t>
  </si>
  <si>
    <t xml:space="preserve">Fatty acids and conjugates; Carboxylic acids; Carbonyl compounds</t>
  </si>
  <si>
    <t xml:space="preserve">136.01593</t>
  </si>
  <si>
    <t xml:space="preserve">C3H10NO4P</t>
  </si>
  <si>
    <t xml:space="preserve">N-Methylethanolaminium phosphate</t>
  </si>
  <si>
    <t xml:space="preserve">82146</t>
  </si>
  <si>
    <t xml:space="preserve">HMDB0060173</t>
  </si>
  <si>
    <t xml:space="preserve">63347</t>
  </si>
  <si>
    <t xml:space="preserve">C01210</t>
  </si>
  <si>
    <t xml:space="preserve">16463</t>
  </si>
  <si>
    <t xml:space="preserve">439436</t>
  </si>
  <si>
    <t xml:space="preserve">CNCCOP(O)(O)=O</t>
  </si>
  <si>
    <t xml:space="preserve">HZDCAHRLLXEQFY-UHFFFAOYSA-N</t>
  </si>
  <si>
    <t xml:space="preserve">Organic phosphoric acids and derivatives</t>
  </si>
  <si>
    <t xml:space="preserve">Phosphate esters</t>
  </si>
  <si>
    <t xml:space="preserve">136.93905</t>
  </si>
  <si>
    <t xml:space="preserve">CH3F2OP</t>
  </si>
  <si>
    <t xml:space="preserve">Methylphosphonic difluoride</t>
  </si>
  <si>
    <t xml:space="preserve">205908</t>
  </si>
  <si>
    <t xml:space="preserve">HMDB0251265</t>
  </si>
  <si>
    <t xml:space="preserve">340786</t>
  </si>
  <si>
    <t xml:space="preserve">69610</t>
  </si>
  <si>
    <t xml:space="preserve">CP(F)(F)=O</t>
  </si>
  <si>
    <t xml:space="preserve">PQIOSYKVBBWRRI-UHFFFAOYSA-N</t>
  </si>
  <si>
    <t xml:space="preserve">Organic phosphonic acids and derivatives</t>
  </si>
  <si>
    <t xml:space="preserve">136.98642</t>
  </si>
  <si>
    <t xml:space="preserve">C6H4O5</t>
  </si>
  <si>
    <t xml:space="preserve">2,5-Furandicarboxylic acid</t>
  </si>
  <si>
    <t xml:space="preserve">48310</t>
  </si>
  <si>
    <t xml:space="preserve">HMDB0004812</t>
  </si>
  <si>
    <t xml:space="preserve">5560</t>
  </si>
  <si>
    <t xml:space="preserve">C20450</t>
  </si>
  <si>
    <t xml:space="preserve">84212</t>
  </si>
  <si>
    <t xml:space="preserve">76720</t>
  </si>
  <si>
    <t xml:space="preserve">3238-40-2</t>
  </si>
  <si>
    <t xml:space="preserve">OC(=O)C1=CC=C(O1)C(O)=O</t>
  </si>
  <si>
    <t xml:space="preserve">CHTHALBTIRVDBM-UHFFFAOYSA-N</t>
  </si>
  <si>
    <t xml:space="preserve">Furans</t>
  </si>
  <si>
    <t xml:space="preserve">Furoic acid and derivatives</t>
  </si>
  <si>
    <t xml:space="preserve">137.02245</t>
  </si>
  <si>
    <t xml:space="preserve">C2H6N4O</t>
  </si>
  <si>
    <t xml:space="preserve">N-Methyl-N'-nitrosoguanidine</t>
  </si>
  <si>
    <t xml:space="preserve">209199</t>
  </si>
  <si>
    <t xml:space="preserve">HMDB0255182</t>
  </si>
  <si>
    <t xml:space="preserve">424339</t>
  </si>
  <si>
    <t xml:space="preserve">95720</t>
  </si>
  <si>
    <t xml:space="preserve">CN=C(N)NN=O</t>
  </si>
  <si>
    <t xml:space="preserve">DMSDCBKFWUBTKX-UHFFFAOYSA-N</t>
  </si>
  <si>
    <t xml:space="preserve">137.94056</t>
  </si>
  <si>
    <t xml:space="preserve">C3H3NOS</t>
  </si>
  <si>
    <t xml:space="preserve">isothiazolone</t>
  </si>
  <si>
    <t xml:space="preserve">208002</t>
  </si>
  <si>
    <t xml:space="preserve">HMDB0253697</t>
  </si>
  <si>
    <t xml:space="preserve">15739356</t>
  </si>
  <si>
    <t xml:space="preserve">O=S1C=CC=N1</t>
  </si>
  <si>
    <t xml:space="preserve">JLHMJWHSBYZWJJ-UHFFFAOYSA-N</t>
  </si>
  <si>
    <t xml:space="preserve">Thiazoles</t>
  </si>
  <si>
    <t xml:space="preserve">138.01864</t>
  </si>
  <si>
    <t xml:space="preserve">C6H7NO4</t>
  </si>
  <si>
    <t xml:space="preserve">2-Aminomuconic acid</t>
  </si>
  <si>
    <t xml:space="preserve">2894</t>
  </si>
  <si>
    <t xml:space="preserve">HMDB0001241</t>
  </si>
  <si>
    <t xml:space="preserve">45922</t>
  </si>
  <si>
    <t xml:space="preserve">LMFA01170082</t>
  </si>
  <si>
    <t xml:space="preserve">C02220</t>
  </si>
  <si>
    <t xml:space="preserve">15745</t>
  </si>
  <si>
    <t xml:space="preserve">5280499</t>
  </si>
  <si>
    <t xml:space="preserve">4548-99-6</t>
  </si>
  <si>
    <t xml:space="preserve">C(=O)(O)/C(/N)=C\C=C/C(=O)O</t>
  </si>
  <si>
    <t xml:space="preserve">ZRHONLCTYUYMIQ-HSFFGMMNSA-N</t>
  </si>
  <si>
    <t xml:space="preserve">138.05652</t>
  </si>
  <si>
    <t xml:space="preserve">C7H9NO2</t>
  </si>
  <si>
    <t xml:space="preserve">3-Amino-2,3-dihydrobenzoic acid</t>
  </si>
  <si>
    <t xml:space="preserve">206136</t>
  </si>
  <si>
    <t xml:space="preserve">HMDB0251519</t>
  </si>
  <si>
    <t xml:space="preserve">69310</t>
  </si>
  <si>
    <t xml:space="preserve">C12110</t>
  </si>
  <si>
    <t xml:space="preserve">29585</t>
  </si>
  <si>
    <t xml:space="preserve">3445</t>
  </si>
  <si>
    <t xml:space="preserve">87980-11-8</t>
  </si>
  <si>
    <t xml:space="preserve">NC1CC(=CC=C1)C(O)=O</t>
  </si>
  <si>
    <t xml:space="preserve">KFNRJXCQEJIBER-UHFFFAOYSA-N</t>
  </si>
  <si>
    <t xml:space="preserve">138.93713</t>
  </si>
  <si>
    <t xml:space="preserve">CH5AsO3</t>
  </si>
  <si>
    <t xml:space="preserve">Methylarsonate</t>
  </si>
  <si>
    <t xml:space="preserve">51951</t>
  </si>
  <si>
    <t xml:space="preserve">HMDB0012258</t>
  </si>
  <si>
    <t xml:space="preserve">C07294</t>
  </si>
  <si>
    <t xml:space="preserve">29852</t>
  </si>
  <si>
    <t xml:space="preserve">8948</t>
  </si>
  <si>
    <t xml:space="preserve">124-58-3</t>
  </si>
  <si>
    <t xml:space="preserve">C[As](O)(O)=O</t>
  </si>
  <si>
    <t xml:space="preserve">QYPPRTNMGCREIM-UHFFFAOYSA-N</t>
  </si>
  <si>
    <t xml:space="preserve">Organometallic compounds</t>
  </si>
  <si>
    <t xml:space="preserve">Organometalloid compounds</t>
  </si>
  <si>
    <t xml:space="preserve">Organoarsenic compounds</t>
  </si>
  <si>
    <t xml:space="preserve">138.97832</t>
  </si>
  <si>
    <t xml:space="preserve">CH3O3P</t>
  </si>
  <si>
    <t xml:space="preserve">Methoxyphosphinate</t>
  </si>
  <si>
    <t xml:space="preserve">208697</t>
  </si>
  <si>
    <t xml:space="preserve">HMDB0254607</t>
  </si>
  <si>
    <t xml:space="preserve">701466</t>
  </si>
  <si>
    <t xml:space="preserve">13693071</t>
  </si>
  <si>
    <t xml:space="preserve">COP(=O)=O</t>
  </si>
  <si>
    <t xml:space="preserve">XAKRTGZVYPZHCO-UHFFFAOYSA-N</t>
  </si>
  <si>
    <t xml:space="preserve">139.04220</t>
  </si>
  <si>
    <t xml:space="preserve">C7H8O3</t>
  </si>
  <si>
    <t xml:space="preserve">Ethyl maltol</t>
  </si>
  <si>
    <t xml:space="preserve">56212</t>
  </si>
  <si>
    <t xml:space="preserve">HMDB0031735</t>
  </si>
  <si>
    <t xml:space="preserve">87906</t>
  </si>
  <si>
    <t xml:space="preserve">C20362</t>
  </si>
  <si>
    <t xml:space="preserve">21059</t>
  </si>
  <si>
    <t xml:space="preserve">4940-11-8</t>
  </si>
  <si>
    <t xml:space="preserve">CCC1=C(O)C(=O)C=CO1</t>
  </si>
  <si>
    <t xml:space="preserve">YIKYNHJUKRTCJL-UHFFFAOYSA-N</t>
  </si>
  <si>
    <t xml:space="preserve">Pyrans</t>
  </si>
  <si>
    <t xml:space="preserve">Pyranones and derivatives</t>
  </si>
  <si>
    <t xml:space="preserve">141.00178</t>
  </si>
  <si>
    <t xml:space="preserve">C6H6O2S</t>
  </si>
  <si>
    <t xml:space="preserve">Methyl thiophene-2-carboxylate; S-(2-Furanylmethyl) methanethioate; Methyl 2-thiofuroate</t>
  </si>
  <si>
    <t xml:space="preserve">54618; 61239; 61261</t>
  </si>
  <si>
    <t xml:space="preserve">HMDB0029719; HMDB0037731; HMDB0037762</t>
  </si>
  <si>
    <t xml:space="preserve">86443; 92554; 92580</t>
  </si>
  <si>
    <t xml:space="preserve">79340; 62144; 61662</t>
  </si>
  <si>
    <t xml:space="preserve">5380-42-7; 59020-90-5; 13679-61-3</t>
  </si>
  <si>
    <t xml:space="preserve">COC(=O)C1=CC=CS1; O=CSCC1=CC=CO1; CSC(=O)C1=CC=CO1</t>
  </si>
  <si>
    <t xml:space="preserve">PGBFYLVIMDQYMS-UHFFFAOYSA-N; GFAOAYJTEVHTLA-UHFFFAOYSA-N; ISKUAGFDTRLBHG-UHFFFAOYSA-N</t>
  </si>
  <si>
    <t xml:space="preserve">Thiophenes; Heteroaromatic compounds; Furans</t>
  </si>
  <si>
    <t xml:space="preserve">Thiophene carboxylic acids and derivatives; Unclassified; Furoic acid and derivatives</t>
  </si>
  <si>
    <t xml:space="preserve">141.09159</t>
  </si>
  <si>
    <t xml:space="preserve">C8H14O2</t>
  </si>
  <si>
    <t xml:space="preserve">(3E)-2-Propylpent-3-enoic acid; (3Z)-2-Propylpent-3-enoic acid; 2-ene-Valproic acid</t>
  </si>
  <si>
    <t xml:space="preserve">1339; 1340; 1349</t>
  </si>
  <si>
    <t xml:space="preserve">HMDB0013904; HMDB0013903; HMDB0013902</t>
  </si>
  <si>
    <t xml:space="preserve">2993; ; </t>
  </si>
  <si>
    <t xml:space="preserve">LMFA01030945; LMFA01030946; LMFA01030968</t>
  </si>
  <si>
    <t xml:space="preserve">C16654; C16654; C16653</t>
  </si>
  <si>
    <t xml:space="preserve">; 80640; 288752</t>
  </si>
  <si>
    <t xml:space="preserve">6439747; 24892812; 6437068</t>
  </si>
  <si>
    <t xml:space="preserve">72010-19-6; ; </t>
  </si>
  <si>
    <t xml:space="preserve">C/C=C/C(C(=O)O)CCC; C(/C)=C/C(C(=O)O)CCC; CC/C=C(/C(=O)O)\CCC</t>
  </si>
  <si>
    <t xml:space="preserve">WTMAHJABDOHPDJ-HWKANZROSA-N; WTMAHJABDOHPDJ-HYXAFXHYSA-N; ZKNJEOBYOLUGKJ-FNORWQNLSA-N</t>
  </si>
  <si>
    <t xml:space="preserve">143.01940</t>
  </si>
  <si>
    <t xml:space="preserve">C2H2N4O</t>
  </si>
  <si>
    <t xml:space="preserve">tetrazinone</t>
  </si>
  <si>
    <t xml:space="preserve">212367</t>
  </si>
  <si>
    <t xml:space="preserve">HMDB0258936</t>
  </si>
  <si>
    <t xml:space="preserve">136120826</t>
  </si>
  <si>
    <t xml:space="preserve">O=C1NN=NN=C1</t>
  </si>
  <si>
    <t xml:space="preserve">WWDMZNMQLRYMPJ-UHFFFAOYSA-N</t>
  </si>
  <si>
    <t xml:space="preserve">Tetrazines</t>
  </si>
  <si>
    <t xml:space="preserve">144.02824</t>
  </si>
  <si>
    <t xml:space="preserve">C5H9NO5</t>
  </si>
  <si>
    <t xml:space="preserve">Erythro-4-hydroxy-L-glutamate(1-); 4-Hydroxy-L-glutamic acid</t>
  </si>
  <si>
    <t xml:space="preserve">83769; 47885</t>
  </si>
  <si>
    <t xml:space="preserve">HMDB0062752; HMDB0002273</t>
  </si>
  <si>
    <t xml:space="preserve">6586; 63472</t>
  </si>
  <si>
    <t xml:space="preserve">C03079; C05947</t>
  </si>
  <si>
    <t xml:space="preserve">16338; 21285</t>
  </si>
  <si>
    <t xml:space="preserve">5460078; 440854</t>
  </si>
  <si>
    <t xml:space="preserve">; 2485-33-8</t>
  </si>
  <si>
    <t xml:space="preserve">NC(CC(O)C(O)=O)C(O)=O; N[C@@H](C[C@@H](O)C(O)=O)C(O)=O</t>
  </si>
  <si>
    <t xml:space="preserve">HBDWQSHEVMSFGY-UHFFFAOYSA-N; HBDWQSHEVMSFGY-STHAYSLISA-N</t>
  </si>
  <si>
    <t xml:space="preserve">144.99687</t>
  </si>
  <si>
    <t xml:space="preserve">C4H4OS</t>
  </si>
  <si>
    <t xml:space="preserve">Thiophen-2-ol; 1,2-Oxathiin</t>
  </si>
  <si>
    <t xml:space="preserve">212451; 199627</t>
  </si>
  <si>
    <t xml:space="preserve">HMDB0259026; HMDB0244102</t>
  </si>
  <si>
    <t xml:space="preserve">; 19020179</t>
  </si>
  <si>
    <t xml:space="preserve">OC1=CC=CS1; O1SC=CC=C1</t>
  </si>
  <si>
    <t xml:space="preserve">WZMPOCLULGAHJR-UHFFFAOYSA-N; YBKGERLDRMINOV-UHFFFAOYSA-N</t>
  </si>
  <si>
    <t xml:space="preserve">Heteroaromatic compounds; Oxathiins</t>
  </si>
  <si>
    <t xml:space="preserve">145.03174</t>
  </si>
  <si>
    <t xml:space="preserve">C6H10O2S</t>
  </si>
  <si>
    <t xml:space="preserve">Dihydro-2-methoxy-2-methyl-3(2H)-thiophenone; Diallyl sulfone</t>
  </si>
  <si>
    <t xml:space="preserve">63446; 205780</t>
  </si>
  <si>
    <t xml:space="preserve">HMDB0040237; HMDB0251128</t>
  </si>
  <si>
    <t xml:space="preserve">94768; 439255</t>
  </si>
  <si>
    <t xml:space="preserve">526189; 159797</t>
  </si>
  <si>
    <t xml:space="preserve">129314-86-9; </t>
  </si>
  <si>
    <t xml:space="preserve">COC1(C)SCCC1=O; C=CCS(=O)(=O)CC=C</t>
  </si>
  <si>
    <t xml:space="preserve">FCDCVDDFZHJGKZ-UHFFFAOYSA-N; NZEDMAWEJPYWCD-UHFFFAOYSA-N</t>
  </si>
  <si>
    <t xml:space="preserve">Organosulfur compounds; Organosulfur compounds</t>
  </si>
  <si>
    <t xml:space="preserve">Thioacetals; Sulfonyls</t>
  </si>
  <si>
    <t xml:space="preserve">Monothioacetals; Sulfones</t>
  </si>
  <si>
    <t xml:space="preserve">145.06043</t>
  </si>
  <si>
    <t xml:space="preserve">C5H10N2O3</t>
  </si>
  <si>
    <t xml:space="preserve">L-Glutamine</t>
  </si>
  <si>
    <t xml:space="preserve">47136</t>
  </si>
  <si>
    <t xml:space="preserve">HMDB0000641</t>
  </si>
  <si>
    <t xml:space="preserve">18</t>
  </si>
  <si>
    <t xml:space="preserve">C00064</t>
  </si>
  <si>
    <t xml:space="preserve">18050</t>
  </si>
  <si>
    <t xml:space="preserve">5961</t>
  </si>
  <si>
    <t xml:space="preserve">56-85-9</t>
  </si>
  <si>
    <t xml:space="preserve">N[C@@H](CCC(N)=O)C(O)=O</t>
  </si>
  <si>
    <t xml:space="preserve">ZDXPYRJPNDTMRX-VKHMYHEASA-N</t>
  </si>
  <si>
    <t xml:space="preserve">145.08500</t>
  </si>
  <si>
    <t xml:space="preserve">C7H16O4</t>
  </si>
  <si>
    <t xml:space="preserve">1,1,3,3-Tetramethoxypropane; Tetra-methoxypropane; Triethylene Glycol Monomethyl Ether</t>
  </si>
  <si>
    <t xml:space="preserve">199574; 212305; 83713</t>
  </si>
  <si>
    <t xml:space="preserve">HMDB0244048; HMDB0258866; HMDB0062666</t>
  </si>
  <si>
    <t xml:space="preserve">334587; ; </t>
  </si>
  <si>
    <t xml:space="preserve">; ; 84233</t>
  </si>
  <si>
    <t xml:space="preserve">66019; 21988363; 8178</t>
  </si>
  <si>
    <t xml:space="preserve">; ; 112-35-6</t>
  </si>
  <si>
    <t xml:space="preserve">COC(CC(OC)OC)OC; COC(C)C(OC)(OC)OC; COCCOCCOCCO</t>
  </si>
  <si>
    <t xml:space="preserve">XHTYQFMRBQUCPX-UHFFFAOYSA-N; RKZYUIVAVJZKOI-UHFFFAOYSA-N; JLGLQAWTXXGVEM-UHFFFAOYSA-N</t>
  </si>
  <si>
    <t xml:space="preserve">Organic oxygen compounds; Organic oxygen compounds; Organic oxygen compounds</t>
  </si>
  <si>
    <t xml:space="preserve">Organooxygen compounds; Organooxygen compounds; Organooxygen compounds</t>
  </si>
  <si>
    <t xml:space="preserve">Ethers; Ortho esters; Ethers</t>
  </si>
  <si>
    <t xml:space="preserve">146.04556</t>
  </si>
  <si>
    <t xml:space="preserve">C5H9NO4</t>
  </si>
  <si>
    <t xml:space="preserve">L-Glutamic acid</t>
  </si>
  <si>
    <t xml:space="preserve">46895</t>
  </si>
  <si>
    <t xml:space="preserve">HMDB0000148</t>
  </si>
  <si>
    <t xml:space="preserve">19</t>
  </si>
  <si>
    <t xml:space="preserve">C00025</t>
  </si>
  <si>
    <t xml:space="preserve">16015</t>
  </si>
  <si>
    <t xml:space="preserve">33032</t>
  </si>
  <si>
    <t xml:space="preserve">56-86-0</t>
  </si>
  <si>
    <t xml:space="preserve">N[C@@H](CCC(O)=O)C(O)=O</t>
  </si>
  <si>
    <t xml:space="preserve">WHUUTDBJXJRKMK-VKHMYHEASA-N</t>
  </si>
  <si>
    <t xml:space="preserve">146.96310</t>
  </si>
  <si>
    <t xml:space="preserve">CH5O4P</t>
  </si>
  <si>
    <t xml:space="preserve">Methylphosphate</t>
  </si>
  <si>
    <t xml:space="preserve">83285</t>
  </si>
  <si>
    <t xml:space="preserve">HMDB0061711</t>
  </si>
  <si>
    <t xml:space="preserve">340824</t>
  </si>
  <si>
    <t xml:space="preserve">13130</t>
  </si>
  <si>
    <t xml:space="preserve">812-00-0</t>
  </si>
  <si>
    <t xml:space="preserve">COP(O)(O)=O</t>
  </si>
  <si>
    <t xml:space="preserve">CAAULPUQFIIOTL-UHFFFAOYSA-N</t>
  </si>
  <si>
    <t xml:space="preserve">147.02699</t>
  </si>
  <si>
    <t xml:space="preserve">C5H10O6</t>
  </si>
  <si>
    <t xml:space="preserve">D-Xylonic acid; Arabinonic acid; Ribonic acid</t>
  </si>
  <si>
    <t xml:space="preserve">81797; 47080; 47269</t>
  </si>
  <si>
    <t xml:space="preserve">HMDB0059750; HMDB0000539; HMDB0000867</t>
  </si>
  <si>
    <t xml:space="preserve">; ; 3290</t>
  </si>
  <si>
    <t xml:space="preserve">C00502; C00878; C01685</t>
  </si>
  <si>
    <t xml:space="preserve">48093; 20912; 21077</t>
  </si>
  <si>
    <t xml:space="preserve">6602431; 122045; 5460677</t>
  </si>
  <si>
    <t xml:space="preserve">526-91-0; 488-30-2; 642-98-8</t>
  </si>
  <si>
    <t xml:space="preserve">OC[C@@H](O)[C@H](O)[C@@H](O)C(O)=O; OC[C@@H](O)[C@@H](O)[C@H](O)C(O)=O; OC[C@@H](O)[C@@H](O)[C@@H](O)C(O)=O</t>
  </si>
  <si>
    <t xml:space="preserve">QXKAIJAYHKCRRA-FLRLBIABSA-N; QXKAIJAYHKCRRA-JJYYJPOSSA-N; QXKAIJAYHKCRRA-BXXZVTAOSA-N</t>
  </si>
  <si>
    <t xml:space="preserve">Carbohydrates and carbohydrate conjugates; Carbohydrates and carbohydrate conjugates; Carbohydrates and carbohydrate conjugates</t>
  </si>
  <si>
    <t xml:space="preserve">147.06546</t>
  </si>
  <si>
    <t xml:space="preserve">C6H14O5</t>
  </si>
  <si>
    <t xml:space="preserve">(2R,3R,4R)-Hexane-1,2,3,4,6-pentol; 1-Deoxy-D-glucitol; Rhamnitol</t>
  </si>
  <si>
    <t xml:space="preserve">198976; 6332; 197205</t>
  </si>
  <si>
    <t xml:space="preserve">HMDB0242546; HMDB0041500; HMDB0240555</t>
  </si>
  <si>
    <t xml:space="preserve">; 95885; </t>
  </si>
  <si>
    <t xml:space="preserve">; LMFA05000598; </t>
  </si>
  <si>
    <t xml:space="preserve">; ; 45530</t>
  </si>
  <si>
    <t xml:space="preserve">14048461; 3429; 445052</t>
  </si>
  <si>
    <t xml:space="preserve">; 18545-96-5; </t>
  </si>
  <si>
    <t xml:space="preserve">OCCC(O)C(O)C(O)CO; CC(C(C(C(CO)O)O)O)O; [H][C@@](C)(O)[C@]([H])(O)[C@@]([H])(O)[C@@]([H])(O)CO</t>
  </si>
  <si>
    <t xml:space="preserve">LWWIYCLYWKAKRR-UHFFFAOYSA-N; SKCKOFZKJLZSFA-UHFFFAOYSA-N; SKCKOFZKJLZSFA-BXKVDMCESA-N</t>
  </si>
  <si>
    <t xml:space="preserve">148.95114</t>
  </si>
  <si>
    <t xml:space="preserve">CHNOS</t>
  </si>
  <si>
    <t xml:space="preserve">2M-H</t>
  </si>
  <si>
    <t xml:space="preserve">Hypothiocyanite</t>
  </si>
  <si>
    <t xml:space="preserve">52121</t>
  </si>
  <si>
    <t xml:space="preserve">HMDB0012974</t>
  </si>
  <si>
    <t xml:space="preserve">133907</t>
  </si>
  <si>
    <t xml:space="preserve">124985</t>
  </si>
  <si>
    <t xml:space="preserve">63296-34-4</t>
  </si>
  <si>
    <t xml:space="preserve">OSC#N</t>
  </si>
  <si>
    <t xml:space="preserve">ZCZCOXLLICTZAH-UHFFFAOYSA-N</t>
  </si>
  <si>
    <t xml:space="preserve">Thiocyanates</t>
  </si>
  <si>
    <t xml:space="preserve">149.01141</t>
  </si>
  <si>
    <t xml:space="preserve">C5H10OS2</t>
  </si>
  <si>
    <t xml:space="preserve">2-Methyl-2-(methyldithio)propanal</t>
  </si>
  <si>
    <t xml:space="preserve">62225</t>
  </si>
  <si>
    <t xml:space="preserve">HMDB0038889</t>
  </si>
  <si>
    <t xml:space="preserve">93508</t>
  </si>
  <si>
    <t xml:space="preserve">106217</t>
  </si>
  <si>
    <t xml:space="preserve">67952-60-7</t>
  </si>
  <si>
    <t xml:space="preserve">CSSC(C)(C)C=O</t>
  </si>
  <si>
    <t xml:space="preserve">VLBWEJJOETYCSE-UHFFFAOYSA-N</t>
  </si>
  <si>
    <t xml:space="preserve">149.04364</t>
  </si>
  <si>
    <t xml:space="preserve">C5H10O5</t>
  </si>
  <si>
    <t xml:space="preserve">D-Ribulose; D-Xylose; D-Ribose</t>
  </si>
  <si>
    <t xml:space="preserve">47127; 46870; 46972</t>
  </si>
  <si>
    <t xml:space="preserve">HMDB0000621; HMDB0000098; HMDB0000283</t>
  </si>
  <si>
    <t xml:space="preserve">; 314; 313</t>
  </si>
  <si>
    <t xml:space="preserve">C00309; C00181; C00121</t>
  </si>
  <si>
    <t xml:space="preserve">17173; 53455; 47013</t>
  </si>
  <si>
    <t xml:space="preserve">12358756; 135191; 5779</t>
  </si>
  <si>
    <t xml:space="preserve">131064-70-5; 58-86-6; 613-83-2</t>
  </si>
  <si>
    <t xml:space="preserve">OC[C@@]1(O)OC[C@@H](O)[C@H]1O; O[C@@H]1COC(O)[C@H](O)[C@H]1O; OC[C@H]1OC(O)[C@H](O)[C@@H]1O</t>
  </si>
  <si>
    <t xml:space="preserve">LQXVFWRQNMEDEE-UOWFLXDJSA-N; SRBFZHDQGSBBOR-IOVATXLUSA-N; HMFHBZSHGGEWLO-SOOFDHNKSA-N</t>
  </si>
  <si>
    <t xml:space="preserve">149.05949</t>
  </si>
  <si>
    <t xml:space="preserve">C9H12O3</t>
  </si>
  <si>
    <t xml:space="preserve">2-Furanylmethyl butanoate; 2,6-Dimethoxy-4-methylphenol; 4-Ipomeanol</t>
  </si>
  <si>
    <t xml:space="preserve">7437; 54587; 55283</t>
  </si>
  <si>
    <t xml:space="preserve">HMDB0037729; HMDB0029680; HMDB0030472</t>
  </si>
  <si>
    <t xml:space="preserve">92552; 86420; 96319</t>
  </si>
  <si>
    <t xml:space="preserve">LMFA07010714; ; </t>
  </si>
  <si>
    <t xml:space="preserve">; 446746; 1222143</t>
  </si>
  <si>
    <t xml:space="preserve">61167; 240925; 36284</t>
  </si>
  <si>
    <t xml:space="preserve">623-21-2; 6638-05-7; 32954-58-8</t>
  </si>
  <si>
    <t xml:space="preserve">O(C(=O)CCC)CC1OC=CC=1; COC1=CC(C)=CC(OC)=C1O; CC(O)CCC(=O)C1=COC=C1</t>
  </si>
  <si>
    <t xml:space="preserve">IXISGRHWGVGCAK-UHFFFAOYSA-N; ZFBNNSOJNZBLLS-UHFFFAOYSA-N; RJYQLMILDVERHH-UHFFFAOYSA-N</t>
  </si>
  <si>
    <t xml:space="preserve">Lipids and lipid-like molecules; Benzenoids; Organic oxygen compounds</t>
  </si>
  <si>
    <t xml:space="preserve">Fatty Acyls; Phenols; Organooxygen compounds</t>
  </si>
  <si>
    <t xml:space="preserve">Fatty acid esters; Methoxyphenols; Carbonyl compounds</t>
  </si>
  <si>
    <t xml:space="preserve">150.98756</t>
  </si>
  <si>
    <t xml:space="preserve">C2H2O5</t>
  </si>
  <si>
    <t xml:space="preserve">Dicarbonic acid</t>
  </si>
  <si>
    <t xml:space="preserve">205833</t>
  </si>
  <si>
    <t xml:space="preserve">HMDB0251182</t>
  </si>
  <si>
    <t xml:space="preserve">48501</t>
  </si>
  <si>
    <t xml:space="preserve">153747</t>
  </si>
  <si>
    <t xml:space="preserve">OC(=O)OC(O)=O</t>
  </si>
  <si>
    <t xml:space="preserve">ZFTFAPZRGNKQPU-UHFFFAOYSA-N</t>
  </si>
  <si>
    <t xml:space="preserve">151.00040</t>
  </si>
  <si>
    <t xml:space="preserve">C2H4N2O6</t>
  </si>
  <si>
    <t xml:space="preserve">Ethylene glycol dinitrate</t>
  </si>
  <si>
    <t xml:space="preserve">206594</t>
  </si>
  <si>
    <t xml:space="preserve">HMDB0252070</t>
  </si>
  <si>
    <t xml:space="preserve">40818</t>
  </si>
  <si>
    <t xml:space="preserve">O=N(=O)OCCON(=O)=O</t>
  </si>
  <si>
    <t xml:space="preserve">UQXKXGWGFRWILX-UHFFFAOYSA-N</t>
  </si>
  <si>
    <t xml:space="preserve">Organic oxoanionic compounds</t>
  </si>
  <si>
    <t xml:space="preserve">Organic nitrates</t>
  </si>
  <si>
    <t xml:space="preserve">152.03511</t>
  </si>
  <si>
    <t xml:space="preserve">C6H5NO</t>
  </si>
  <si>
    <t xml:space="preserve">3-Pyridinecarboxaldehyde; Nitrosobenzene</t>
  </si>
  <si>
    <t xml:space="preserve">201354; 209615</t>
  </si>
  <si>
    <t xml:space="preserve">HMDB0245978; HMDB0255658</t>
  </si>
  <si>
    <t xml:space="preserve">66624; 44790</t>
  </si>
  <si>
    <t xml:space="preserve">C07327; C06876</t>
  </si>
  <si>
    <t xml:space="preserve">28345; 27986</t>
  </si>
  <si>
    <t xml:space="preserve">10371; 11473</t>
  </si>
  <si>
    <t xml:space="preserve">500-22-1; 586-96-9</t>
  </si>
  <si>
    <t xml:space="preserve">O=CC1=CC=CN=C1; O=NC1=CC=CC=C1</t>
  </si>
  <si>
    <t xml:space="preserve">QJZUKDFHGGYHMC-UHFFFAOYSA-N; NLRKCXQQSUWLCH-UHFFFAOYSA-N</t>
  </si>
  <si>
    <t xml:space="preserve">Organoheterocyclic compounds; Benzenoids</t>
  </si>
  <si>
    <t xml:space="preserve">Pyridines and derivatives; Benzene and substituted derivatives</t>
  </si>
  <si>
    <t xml:space="preserve">Pyridine carboxaldehydes; Unclassified</t>
  </si>
  <si>
    <t xml:space="preserve">152.95934</t>
  </si>
  <si>
    <t xml:space="preserve">C3H2O5</t>
  </si>
  <si>
    <t xml:space="preserve">Mesoxalic acid</t>
  </si>
  <si>
    <t xml:space="preserve">56043</t>
  </si>
  <si>
    <t xml:space="preserve">HMDB0031522</t>
  </si>
  <si>
    <t xml:space="preserve">C00830</t>
  </si>
  <si>
    <t xml:space="preserve">30842</t>
  </si>
  <si>
    <t xml:space="preserve">10132</t>
  </si>
  <si>
    <t xml:space="preserve">473-90-5</t>
  </si>
  <si>
    <t xml:space="preserve">OC(=O)C(=O)C(O)=O</t>
  </si>
  <si>
    <t xml:space="preserve">XEEVLJKYYUVTRC-UHFFFAOYSA-N</t>
  </si>
  <si>
    <t xml:space="preserve">152.99663</t>
  </si>
  <si>
    <t xml:space="preserve">C3H7O5P</t>
  </si>
  <si>
    <t xml:space="preserve">2-Phosphonopropionic acid</t>
  </si>
  <si>
    <t xml:space="preserve">200732</t>
  </si>
  <si>
    <t xml:space="preserve">HMDB0245296</t>
  </si>
  <si>
    <t xml:space="preserve">73187</t>
  </si>
  <si>
    <t xml:space="preserve">CC(C(O)=O)P(O)(O)=O</t>
  </si>
  <si>
    <t xml:space="preserve">GUXRZQZCNOHHDO-UHFFFAOYSA-N</t>
  </si>
  <si>
    <t xml:space="preserve">Organic phosphonic acids</t>
  </si>
  <si>
    <t xml:space="preserve">153.03821</t>
  </si>
  <si>
    <t xml:space="preserve">C8H10OS</t>
  </si>
  <si>
    <t xml:space="preserve">3-Acetyl-2,5-dimethylthiophene; 1-(5-Methyl-2-thienyl)-1-propanone; 1-(2-Thienyl)-1-butanone</t>
  </si>
  <si>
    <t xml:space="preserve">63736; 63440; 57198</t>
  </si>
  <si>
    <t xml:space="preserve">HMDB0040589; HMDB0040231; HMDB0032935</t>
  </si>
  <si>
    <t xml:space="preserve">95072; 94762; 88838</t>
  </si>
  <si>
    <t xml:space="preserve">520191; 580407; 79248</t>
  </si>
  <si>
    <t xml:space="preserve">2530-10-1; 59303-13-8; 5333-83-5</t>
  </si>
  <si>
    <t xml:space="preserve">CC(=O)C1=C(C)SC(C)=C1; CCC(=O)C1=CC=C(C)S1; CCCC(=O)C1=CC=CS1</t>
  </si>
  <si>
    <t xml:space="preserve">PUSJAEJRDNPYKM-UHFFFAOYSA-N; ROPOMQPSWIOWSN-UHFFFAOYSA-N; YXHIINNJOGKPLF-UHFFFAOYSA-N</t>
  </si>
  <si>
    <t xml:space="preserve">Carbonyl compounds; Carbonyl compounds; Carbonyl compounds</t>
  </si>
  <si>
    <t xml:space="preserve">154.06165</t>
  </si>
  <si>
    <t xml:space="preserve">C6H11N3O3</t>
  </si>
  <si>
    <t xml:space="preserve">2-Oxoarginine</t>
  </si>
  <si>
    <t xml:space="preserve">48262</t>
  </si>
  <si>
    <t xml:space="preserve">HMDB0004225</t>
  </si>
  <si>
    <t xml:space="preserve">7030</t>
  </si>
  <si>
    <t xml:space="preserve">C03771</t>
  </si>
  <si>
    <t xml:space="preserve">28116</t>
  </si>
  <si>
    <t xml:space="preserve">558</t>
  </si>
  <si>
    <t xml:space="preserve">3715-10-4</t>
  </si>
  <si>
    <t xml:space="preserve">NC(N)=NCCCC(=O)C(O)=O</t>
  </si>
  <si>
    <t xml:space="preserve">ARBHXJXXVVHMET-UHFFFAOYSA-N</t>
  </si>
  <si>
    <t xml:space="preserve">154.90961</t>
  </si>
  <si>
    <t xml:space="preserve">C2H4S4</t>
  </si>
  <si>
    <t xml:space="preserve">1,2,4,5-Tetrathiane</t>
  </si>
  <si>
    <t xml:space="preserve">55793</t>
  </si>
  <si>
    <t xml:space="preserve">HMDB0031185</t>
  </si>
  <si>
    <t xml:space="preserve">87477</t>
  </si>
  <si>
    <t xml:space="preserve">520409</t>
  </si>
  <si>
    <t xml:space="preserve">291-22-5</t>
  </si>
  <si>
    <t xml:space="preserve">C1SSCSS1</t>
  </si>
  <si>
    <t xml:space="preserve">VXTWQLLUXWBOGW-UHFFFAOYSA-N</t>
  </si>
  <si>
    <t xml:space="preserve">Tetrathianes</t>
  </si>
  <si>
    <t xml:space="preserve">155.10791</t>
  </si>
  <si>
    <t xml:space="preserve">C8H14</t>
  </si>
  <si>
    <t xml:space="preserve">1,3-Octadiene; 2-(Methylenebutyl)-cyclopropane; 2,4-Octadiene</t>
  </si>
  <si>
    <t xml:space="preserve">64082; 83404; 83405</t>
  </si>
  <si>
    <t xml:space="preserve">HMDB0040966; HMDB0061899; HMDB0061900</t>
  </si>
  <si>
    <t xml:space="preserve">95410; ; </t>
  </si>
  <si>
    <t xml:space="preserve">89638; 88408; 88818</t>
  </si>
  <si>
    <t xml:space="preserve">517653; 6427679; 5367588</t>
  </si>
  <si>
    <t xml:space="preserve">1002-33-1; ; </t>
  </si>
  <si>
    <t xml:space="preserve">CCCC\C=C\C=C; [H][C@]1(CC)C[C@@]1([H])C1CC1; [H]\C(C)=C(\[H])/C(/[H])=C(\[H])CCC</t>
  </si>
  <si>
    <t xml:space="preserve">QTYUSOHYEPOHLV-FNORWQNLSA-N; VDKZAQZRSGYRSL-POYBYMJQSA-N; NZLCAHVLJPDRBL-VSAQMIDASA-N</t>
  </si>
  <si>
    <t xml:space="preserve">Hydrocarbons; Hydrocarbons; Hydrocarbons</t>
  </si>
  <si>
    <t xml:space="preserve">Unsaturated hydrocarbons; Saturated hydrocarbons; Unsaturated hydrocarbons</t>
  </si>
  <si>
    <t xml:space="preserve">Olefins; Unclassified; Olefins</t>
  </si>
  <si>
    <t xml:space="preserve">156.90471</t>
  </si>
  <si>
    <t xml:space="preserve">C2H3BrO</t>
  </si>
  <si>
    <t xml:space="preserve">2-Bromoacetaldehyde</t>
  </si>
  <si>
    <t xml:space="preserve">82255</t>
  </si>
  <si>
    <t xml:space="preserve">HMDB0060344</t>
  </si>
  <si>
    <t xml:space="preserve">70374</t>
  </si>
  <si>
    <t xml:space="preserve">C14870</t>
  </si>
  <si>
    <t xml:space="preserve">105131</t>
  </si>
  <si>
    <t xml:space="preserve">17157-48-1</t>
  </si>
  <si>
    <t xml:space="preserve">BrCC=O</t>
  </si>
  <si>
    <t xml:space="preserve">NMPVEAUIHMEAQP-UHFFFAOYSA-N</t>
  </si>
  <si>
    <t xml:space="preserve">Organobromides</t>
  </si>
  <si>
    <t xml:space="preserve">157.02438</t>
  </si>
  <si>
    <t xml:space="preserve">C5H8N2O5</t>
  </si>
  <si>
    <t xml:space="preserve">Ureidosuccinic acid; L-2-Amino-3-(oxalylamino)propanoic acid</t>
  </si>
  <si>
    <t xml:space="preserve">47246; 54360</t>
  </si>
  <si>
    <t xml:space="preserve">HMDB0000828; HMDB0029402</t>
  </si>
  <si>
    <t xml:space="preserve">3304; </t>
  </si>
  <si>
    <t xml:space="preserve">C00438; C04209</t>
  </si>
  <si>
    <t xml:space="preserve">15859; </t>
  </si>
  <si>
    <t xml:space="preserve">93072; 2360</t>
  </si>
  <si>
    <t xml:space="preserve">13184-27-5; 5302-45-4</t>
  </si>
  <si>
    <t xml:space="preserve">NC(=O)N[C@@H](CC(O)=O)C(O)=O; NC(CNC(=O)C(O)=O)C(O)=O</t>
  </si>
  <si>
    <t xml:space="preserve">HLKXYZVTANABHZ-REOHCLBHSA-N; NEEQFPMRODQIKX-UHFFFAOYSA-N</t>
  </si>
  <si>
    <t xml:space="preserve">158.97892</t>
  </si>
  <si>
    <t xml:space="preserve">CH4O2S</t>
  </si>
  <si>
    <t xml:space="preserve">Methanesulfinic acid</t>
  </si>
  <si>
    <t xml:space="preserve">208626</t>
  </si>
  <si>
    <t xml:space="preserve">HMDB0254519</t>
  </si>
  <si>
    <t xml:space="preserve">442451</t>
  </si>
  <si>
    <t xml:space="preserve">133897</t>
  </si>
  <si>
    <t xml:space="preserve">87251</t>
  </si>
  <si>
    <t xml:space="preserve">CS(O)=O</t>
  </si>
  <si>
    <t xml:space="preserve">XNEFVTBPCXGIRX-UHFFFAOYSA-N</t>
  </si>
  <si>
    <t xml:space="preserve">Sulfinic acids and derivatives</t>
  </si>
  <si>
    <t xml:space="preserve">Sulfinic acids</t>
  </si>
  <si>
    <t xml:space="preserve">159.03140</t>
  </si>
  <si>
    <t xml:space="preserve">C7H6N4O2</t>
  </si>
  <si>
    <t xml:space="preserve">Melizame</t>
  </si>
  <si>
    <t xml:space="preserve">54590</t>
  </si>
  <si>
    <t xml:space="preserve">HMDB0029684</t>
  </si>
  <si>
    <t xml:space="preserve">86423</t>
  </si>
  <si>
    <t xml:space="preserve">176153</t>
  </si>
  <si>
    <t xml:space="preserve">26921-72-2</t>
  </si>
  <si>
    <t xml:space="preserve">OC1=CC=CC(OC2=NN=NN2)=C1</t>
  </si>
  <si>
    <t xml:space="preserve">DZHBTQHPZSGDOR-UHFFFAOYSA-N</t>
  </si>
  <si>
    <t xml:space="preserve">Ethers</t>
  </si>
  <si>
    <t xml:space="preserve">159.10084</t>
  </si>
  <si>
    <t xml:space="preserve">C8H16O3</t>
  </si>
  <si>
    <t xml:space="preserve">4-Hydroxyvalproic acid; 5-Hydroxyvalproic acid; 3-Hydroxyvalproic acid</t>
  </si>
  <si>
    <t xml:space="preserve">1960; 52506; 1959</t>
  </si>
  <si>
    <t xml:space="preserve">HMDB0013900; HMDB0013898; HMDB0013899</t>
  </si>
  <si>
    <t xml:space="preserve">2994; 2997; 2988</t>
  </si>
  <si>
    <t xml:space="preserve">LMFA01050496; ; LMFA01050494</t>
  </si>
  <si>
    <t xml:space="preserve">C16649; C16650; C16651</t>
  </si>
  <si>
    <t xml:space="preserve">80635; 80636; 80637</t>
  </si>
  <si>
    <t xml:space="preserve">134467; 135244; 134459</t>
  </si>
  <si>
    <t xml:space="preserve">60113-82-8; 53660-23-4; 58888-84-9</t>
  </si>
  <si>
    <t xml:space="preserve">CC(O)CC(C(=O)O)CCC; CCCC(CCCO)C(O)=O; CCC(O)C(C(=O)O)CCC</t>
  </si>
  <si>
    <t xml:space="preserve">OASKNPCLIHUTTL-UHFFFAOYSA-N; ZIWBCJXKYKOLJK-UHFFFAOYSA-N; LLPFTSMZBSRZDV-UHFFFAOYSA-N</t>
  </si>
  <si>
    <t xml:space="preserve">159.97433</t>
  </si>
  <si>
    <t xml:space="preserve">C6H5Cl2N</t>
  </si>
  <si>
    <t xml:space="preserve">3,4-Dichloroaniline; 2,4-Dichloroaniline</t>
  </si>
  <si>
    <t xml:space="preserve">201398; 200879</t>
  </si>
  <si>
    <t xml:space="preserve">HMDB0246025; HMDB0245450</t>
  </si>
  <si>
    <t xml:space="preserve">65833; 70047</t>
  </si>
  <si>
    <t xml:space="preserve">C02791; C14419</t>
  </si>
  <si>
    <t xml:space="preserve">16767; 46635</t>
  </si>
  <si>
    <t xml:space="preserve">7257; 11123</t>
  </si>
  <si>
    <t xml:space="preserve">95-76-1; 554-00-7</t>
  </si>
  <si>
    <t xml:space="preserve">NC1=CC(Cl)=C(Cl)C=C1; NC1=C(Cl)C=C(Cl)C=C1</t>
  </si>
  <si>
    <t xml:space="preserve">SDYWXFYBZPNOFX-UHFFFAOYSA-N; KQCMTOWTPBNWDB-UHFFFAOYSA-N</t>
  </si>
  <si>
    <t xml:space="preserve">Benzene and substituted derivatives; Benzene and substituted derivatives</t>
  </si>
  <si>
    <t xml:space="preserve">Halobenzenes; Halobenzenes</t>
  </si>
  <si>
    <t xml:space="preserve">160.98315</t>
  </si>
  <si>
    <t xml:space="preserve">C6H6OS</t>
  </si>
  <si>
    <t xml:space="preserve">3-Acetylthiophene; 2-Acetylthiophene; 5-Methyl-2-thiophenecarboxaldehyde</t>
  </si>
  <si>
    <t xml:space="preserve">57394; 57393; 56781</t>
  </si>
  <si>
    <t xml:space="preserve">HMDB0033134; HMDB0033133; HMDB0032431</t>
  </si>
  <si>
    <t xml:space="preserve">89022; 89021; 88455</t>
  </si>
  <si>
    <t xml:space="preserve">15116; 6920; 61663</t>
  </si>
  <si>
    <t xml:space="preserve">1468-83-3; 88-15-3; 13679-70-4</t>
  </si>
  <si>
    <t xml:space="preserve">CC(=O)C1=CSC=C1; CC(=O)C1=CC=CS1; CC1=CC=C(S1)C=O</t>
  </si>
  <si>
    <t xml:space="preserve">RNIDWJDZNNVFDY-UHFFFAOYSA-N; WYJOVVXUZNRJQY-UHFFFAOYSA-N; VAUMDUIUEPIGHM-UHFFFAOYSA-N</t>
  </si>
  <si>
    <t xml:space="preserve">Organic oxygen compounds; Organic oxygen compounds; Organoheterocyclic compounds</t>
  </si>
  <si>
    <t xml:space="preserve">Organooxygen compounds; Organooxygen compounds; Thiophenes</t>
  </si>
  <si>
    <t xml:space="preserve">Carbonyl compounds; Carbonyl compounds; 2,5-disubstituted thiophenes</t>
  </si>
  <si>
    <t xml:space="preserve">161.04706</t>
  </si>
  <si>
    <t xml:space="preserve">C7H6N4O</t>
  </si>
  <si>
    <t xml:space="preserve">1,1'-Carbonyldiimidazole; 1,2,4-Benzotriazin-3-amine 1-oxide</t>
  </si>
  <si>
    <t xml:space="preserve">202221; 199138</t>
  </si>
  <si>
    <t xml:space="preserve">HMDB0246922; HMDB0243493</t>
  </si>
  <si>
    <t xml:space="preserve">O=C(N1C=CN=C1)N1C=CN=C1; NC1=NC2=CC=CC=C2[N+]([O-])=N1</t>
  </si>
  <si>
    <t xml:space="preserve">PFKFTWBEEFSNDU-UHFFFAOYSA-N; BBRWGJRKAHEZBG-UHFFFAOYSA-N</t>
  </si>
  <si>
    <t xml:space="preserve">Azoles; Triazines</t>
  </si>
  <si>
    <t xml:space="preserve">Imidazoles; Aminotriazines</t>
  </si>
  <si>
    <t xml:space="preserve">162.01988</t>
  </si>
  <si>
    <t xml:space="preserve">C8H7NO4</t>
  </si>
  <si>
    <t xml:space="preserve">2-Methyl-3-hydroxy-5-formylpyridine-4-carboxylate; 2,4-Dihydroxy-2H-1,4-benzoxazin-3(4H)-one</t>
  </si>
  <si>
    <t xml:space="preserve">48937; 57927</t>
  </si>
  <si>
    <t xml:space="preserve">HMDB0006954; HMDB0033733</t>
  </si>
  <si>
    <t xml:space="preserve">58601; 64531</t>
  </si>
  <si>
    <t xml:space="preserve">C06050; C15770</t>
  </si>
  <si>
    <t xml:space="preserve">28038; 63558</t>
  </si>
  <si>
    <t xml:space="preserve">440898; 28495</t>
  </si>
  <si>
    <t xml:space="preserve">; 17359-54-5</t>
  </si>
  <si>
    <t xml:space="preserve">CC1=NC=C(C=O)C(C(O)=O)=C1O; OC1OC2=CC=CC=C2N(O)C1=O</t>
  </si>
  <si>
    <t xml:space="preserve">JTWNWNJMNSJYDL-UHFFFAOYSA-N; COVOPZQGJGUPEY-UHFFFAOYSA-N</t>
  </si>
  <si>
    <t xml:space="preserve">Pyridines and derivatives; Benzoxazines</t>
  </si>
  <si>
    <t xml:space="preserve">Pyridinecarboxylic acids and derivatives; Benzoxazinones</t>
  </si>
  <si>
    <t xml:space="preserve">163.03880</t>
  </si>
  <si>
    <t xml:space="preserve">C9H10O4</t>
  </si>
  <si>
    <t xml:space="preserve">Homovanillic acid; 3,4-Dihydroxyhydrocinnamic acid; Hydroxyphenyllactic acid</t>
  </si>
  <si>
    <t xml:space="preserve">46877; 47026; 47202</t>
  </si>
  <si>
    <t xml:space="preserve">HMDB0000118; HMDB0000423; HMDB0000755</t>
  </si>
  <si>
    <t xml:space="preserve">971; 5412; 34515</t>
  </si>
  <si>
    <t xml:space="preserve">C05582; C10447; C03672</t>
  </si>
  <si>
    <t xml:space="preserve">545959; 48400; 17385</t>
  </si>
  <si>
    <t xml:space="preserve">1738; 348154; 9378</t>
  </si>
  <si>
    <t xml:space="preserve">306-08-1; 1078-61-1; 306-23-0</t>
  </si>
  <si>
    <t xml:space="preserve">COC1=C(O)C=CC(CC(O)=O)=C1; OC(=O)CCC1=CC(O)=C(O)C=C1; OC(CC1=CC=C(O)C=C1)C(O)=O</t>
  </si>
  <si>
    <t xml:space="preserve">QRMZSPFSDQBLIX-UHFFFAOYSA-N; DZAUWHJDUNRCTF-UHFFFAOYSA-N; JVGVDSSUAVXRDY-UHFFFAOYSA-N</t>
  </si>
  <si>
    <t xml:space="preserve">Benzenoids; Phenylpropanoids and polyketides; Phenylpropanoids and polyketides</t>
  </si>
  <si>
    <t xml:space="preserve">Phenols; Phenylpropanoic acids; Phenylpropanoic acids</t>
  </si>
  <si>
    <t xml:space="preserve">Methoxyphenols; Unclassified; Unclassified</t>
  </si>
  <si>
    <t xml:space="preserve">163.99848</t>
  </si>
  <si>
    <t xml:space="preserve">C4H9NO5S</t>
  </si>
  <si>
    <t xml:space="preserve">L-Homocysteic acid</t>
  </si>
  <si>
    <t xml:space="preserve">47858</t>
  </si>
  <si>
    <t xml:space="preserve">HMDB0002205</t>
  </si>
  <si>
    <t xml:space="preserve">6545</t>
  </si>
  <si>
    <t xml:space="preserve">C16511</t>
  </si>
  <si>
    <t xml:space="preserve">132223</t>
  </si>
  <si>
    <t xml:space="preserve">177491</t>
  </si>
  <si>
    <t xml:space="preserve">14857-77-3</t>
  </si>
  <si>
    <t xml:space="preserve">N[C@@H](CCS(O)(=O)=O)C(O)=O</t>
  </si>
  <si>
    <t xml:space="preserve">VBOQYPQEPHKASR-VKHMYHEASA-N</t>
  </si>
  <si>
    <t xml:space="preserve">164.03590</t>
  </si>
  <si>
    <t xml:space="preserve">C8H9NO4</t>
  </si>
  <si>
    <t xml:space="preserve">4-Pyridoxic acid</t>
  </si>
  <si>
    <t xml:space="preserve">46827</t>
  </si>
  <si>
    <t xml:space="preserve">HMDB0000017</t>
  </si>
  <si>
    <t xml:space="preserve">C00847</t>
  </si>
  <si>
    <t xml:space="preserve">17405</t>
  </si>
  <si>
    <t xml:space="preserve">6723</t>
  </si>
  <si>
    <t xml:space="preserve">82-82-6</t>
  </si>
  <si>
    <t xml:space="preserve">CC1=NC=C(CO)C(C(O)=O)=C1O</t>
  </si>
  <si>
    <t xml:space="preserve">HXACOUQIXZGNBF-UHFFFAOYSA-N</t>
  </si>
  <si>
    <t xml:space="preserve">Pyridines and derivatives</t>
  </si>
  <si>
    <t xml:space="preserve">Pyridinecarboxylic acids and derivatives</t>
  </si>
  <si>
    <t xml:space="preserve">164.07169</t>
  </si>
  <si>
    <t xml:space="preserve">C9H11NO2</t>
  </si>
  <si>
    <t xml:space="preserve">L-Phenylalanine; Benzocaine; 4-Hydroxy-1-(3-pyridinyl)-1-butanone</t>
  </si>
  <si>
    <t xml:space="preserve">46902; 48439; 83564</t>
  </si>
  <si>
    <t xml:space="preserve">HMDB0000159; HMDB0004992; HMDB0062402</t>
  </si>
  <si>
    <t xml:space="preserve">28; 3934; 73234</t>
  </si>
  <si>
    <t xml:space="preserve">C00079; C07527; C19565</t>
  </si>
  <si>
    <t xml:space="preserve">17295; 116735; </t>
  </si>
  <si>
    <t xml:space="preserve">6140; 2337; 107819</t>
  </si>
  <si>
    <t xml:space="preserve">63-91-2; 94-09-7; 59578-62-0</t>
  </si>
  <si>
    <t xml:space="preserve">N[C@@H](CC1=CC=CC=C1)C(O)=O; CCOC(=O)C1=CC=C(N)C=C1; OCCCC(=O)C1=CN=CC=C1</t>
  </si>
  <si>
    <t xml:space="preserve">COLNVLDHVKWLRT-QMMMGPOBSA-N; BLFLLBZGZJTVJG-UHFFFAOYSA-N; KTXUGZHJVRHQGP-UHFFFAOYSA-N</t>
  </si>
  <si>
    <t xml:space="preserve">Organic acids and derivatives; Benzenoids; Organic oxygen compounds</t>
  </si>
  <si>
    <t xml:space="preserve">Carboxylic acids and derivatives; Benzene and substituted derivatives; Organooxygen compounds</t>
  </si>
  <si>
    <t xml:space="preserve">Amino acids, peptides, and analogues; Benzoic acids and derivatives; Carbonyl compounds</t>
  </si>
  <si>
    <t xml:space="preserve">164.93761</t>
  </si>
  <si>
    <t xml:space="preserve">C3H2N2S2</t>
  </si>
  <si>
    <t xml:space="preserve">Methylene dithiocyanate</t>
  </si>
  <si>
    <t xml:space="preserve">208723</t>
  </si>
  <si>
    <t xml:space="preserve">HMDB0254635</t>
  </si>
  <si>
    <t xml:space="preserve">134614</t>
  </si>
  <si>
    <t xml:space="preserve">22772</t>
  </si>
  <si>
    <t xml:space="preserve">N#CSCSC#N</t>
  </si>
  <si>
    <t xml:space="preserve">JWZXKXIUSSIAMR-UHFFFAOYSA-N</t>
  </si>
  <si>
    <t xml:space="preserve">Thioacetals</t>
  </si>
  <si>
    <t xml:space="preserve">Dithioacetals</t>
  </si>
  <si>
    <t xml:space="preserve">165.98480</t>
  </si>
  <si>
    <t xml:space="preserve">C3H2FN3O2</t>
  </si>
  <si>
    <t xml:space="preserve">2-Fluoro-1-nitroimidazole</t>
  </si>
  <si>
    <t xml:space="preserve">206867</t>
  </si>
  <si>
    <t xml:space="preserve">HMDB0252376</t>
  </si>
  <si>
    <t xml:space="preserve">129651924</t>
  </si>
  <si>
    <t xml:space="preserve">[O-][N+](=O)N1C=CN=C1F</t>
  </si>
  <si>
    <t xml:space="preserve">AJIUZGVELSOKAW-UHFFFAOYSA-N</t>
  </si>
  <si>
    <t xml:space="preserve">Aryl halides</t>
  </si>
  <si>
    <t xml:space="preserve">Aryl fluorides</t>
  </si>
  <si>
    <t xml:space="preserve">166.01446</t>
  </si>
  <si>
    <t xml:space="preserve">C7H5NO4</t>
  </si>
  <si>
    <t xml:space="preserve">2-Nitrobenzoic acid; 4-Nitrobenzoic acid; Quinolinic acid</t>
  </si>
  <si>
    <t xml:space="preserve">200693; 201866; 46947</t>
  </si>
  <si>
    <t xml:space="preserve">HMDB0245255; HMDB0246532; HMDB0000232</t>
  </si>
  <si>
    <t xml:space="preserve">; 72419; 330</t>
  </si>
  <si>
    <t xml:space="preserve">C16234; C18625; C03722</t>
  </si>
  <si>
    <t xml:space="preserve">25620; 262350; 16675</t>
  </si>
  <si>
    <t xml:space="preserve">; 6108; 1066</t>
  </si>
  <si>
    <t xml:space="preserve">; ; 89-00-9</t>
  </si>
  <si>
    <t xml:space="preserve">OC(=O)C1=CC=CC=C1N(=O)=O; OC(=O)C1=CC=C(C=C1)N(=O)=O; OC(=O)C1=CC=CN=C1C(O)=O</t>
  </si>
  <si>
    <t xml:space="preserve">SLAMLWHELXOEJZ-UHFFFAOYSA-N; OTLNPYWUJOZPPA-UHFFFAOYSA-N; GJAWHXHKYYXBSV-UHFFFAOYSA-N</t>
  </si>
  <si>
    <t xml:space="preserve">Benzenoids; Benzenoids; Organoheterocyclic compounds</t>
  </si>
  <si>
    <t xml:space="preserve">Benzene and substituted derivatives; Benzene and substituted derivatives; Pyridines and derivatives</t>
  </si>
  <si>
    <t xml:space="preserve">Benzoic acids and derivatives; Benzoic acids and derivatives; Pyridinecarboxylic acids and derivatives</t>
  </si>
  <si>
    <t xml:space="preserve">166.04900</t>
  </si>
  <si>
    <t xml:space="preserve">C6H11NO3</t>
  </si>
  <si>
    <t xml:space="preserve">(S)-5-Amino-3-oxohexanoate; Allysine; 4-Acetamidobutanoic acid</t>
  </si>
  <si>
    <t xml:space="preserve">2167; 47480; 48158</t>
  </si>
  <si>
    <t xml:space="preserve">HMDB0012131; HMDB0001263; HMDB0003681</t>
  </si>
  <si>
    <t xml:space="preserve">35856; 63455; 44719</t>
  </si>
  <si>
    <t xml:space="preserve">LMFA01060173; ; </t>
  </si>
  <si>
    <t xml:space="preserve">C03656; C04076; C02946</t>
  </si>
  <si>
    <t xml:space="preserve">27713; 17917; 17645</t>
  </si>
  <si>
    <t xml:space="preserve">440077; 160603; 18189</t>
  </si>
  <si>
    <t xml:space="preserve">19355-90-9; 6665-12-9; 3025-96-5</t>
  </si>
  <si>
    <t xml:space="preserve">C([C@@H](N)C)C(=O)CC(=O)O; N[C@@H](CCCC=O)C(O)=O; CC(=O)NCCCC(O)=O</t>
  </si>
  <si>
    <t xml:space="preserve">FAASBXNEOGMQHS-BYPYZUCNSA-N; GFXYTQPNNXGICT-YFKPBYRVSA-N; UZTFMUBKZQVKLK-UHFFFAOYSA-N</t>
  </si>
  <si>
    <t xml:space="preserve">Keto acids and derivatives; Carboxylic acids and derivatives; Carboxylic acids and derivatives</t>
  </si>
  <si>
    <t xml:space="preserve">Medium-chain keto acids and derivatives; Amino acids, peptides, and analogues; Amino acids, peptides, and analogues</t>
  </si>
  <si>
    <t xml:space="preserve">168.03364</t>
  </si>
  <si>
    <t xml:space="preserve">C7H7N3</t>
  </si>
  <si>
    <t xml:space="preserve">2-Aminobenzimidazole</t>
  </si>
  <si>
    <t xml:space="preserve">200458</t>
  </si>
  <si>
    <t xml:space="preserve">HMDB0245008</t>
  </si>
  <si>
    <t xml:space="preserve">68671</t>
  </si>
  <si>
    <t xml:space="preserve">C10901</t>
  </si>
  <si>
    <t xml:space="preserve">27822</t>
  </si>
  <si>
    <t xml:space="preserve">13624</t>
  </si>
  <si>
    <t xml:space="preserve">934-32-7</t>
  </si>
  <si>
    <t xml:space="preserve">N=C1NC2=CC=CC=C2N1</t>
  </si>
  <si>
    <t xml:space="preserve">JWYUFVNJZUSCSM-UHFFFAOYSA-N</t>
  </si>
  <si>
    <t xml:space="preserve">Benzimidazoles</t>
  </si>
  <si>
    <t xml:space="preserve">169.08678</t>
  </si>
  <si>
    <t xml:space="preserve">C9H14O3</t>
  </si>
  <si>
    <t xml:space="preserve">cis-3-Hexenyl pyruvate; 1,4-Ipomeadiol</t>
  </si>
  <si>
    <t xml:space="preserve">61689; 55282</t>
  </si>
  <si>
    <t xml:space="preserve">HMDB0038276; HMDB0030471</t>
  </si>
  <si>
    <t xml:space="preserve">93001; 87001</t>
  </si>
  <si>
    <t xml:space="preserve">; 166532</t>
  </si>
  <si>
    <t xml:space="preserve">5363291; 13186539</t>
  </si>
  <si>
    <t xml:space="preserve">68133-76-6; 53011-73-7</t>
  </si>
  <si>
    <t xml:space="preserve">CC\C=C/CCOC(=O)C(C)=O; CC(O)CCC(O)C1=COC=C1</t>
  </si>
  <si>
    <t xml:space="preserve">LKNXTZXOBHAYSR-PLNGDYQASA-N; AORCXYMSPVAQIZ-UHFFFAOYSA-N</t>
  </si>
  <si>
    <t xml:space="preserve">Organic acids and derivatives; Organoheterocyclic compounds</t>
  </si>
  <si>
    <t xml:space="preserve">Keto acids and derivatives; Heteroaromatic compounds</t>
  </si>
  <si>
    <t xml:space="preserve">Alpha-keto acids and derivatives; Unclassified</t>
  </si>
  <si>
    <t xml:space="preserve">171.00450</t>
  </si>
  <si>
    <t xml:space="preserve">C8H5F3O2</t>
  </si>
  <si>
    <t xml:space="preserve">4-(Trifluoromethyl)benzoic acid</t>
  </si>
  <si>
    <t xml:space="preserve">201662</t>
  </si>
  <si>
    <t xml:space="preserve">HMDB0246315</t>
  </si>
  <si>
    <t xml:space="preserve">337338</t>
  </si>
  <si>
    <t xml:space="preserve">60696</t>
  </si>
  <si>
    <t xml:space="preserve">9966</t>
  </si>
  <si>
    <t xml:space="preserve">OC(=O)C1=CC=C(C=C1)C(F)(F)F</t>
  </si>
  <si>
    <t xml:space="preserve">SWKPKONEIZGROQ-UHFFFAOYSA-N</t>
  </si>
  <si>
    <t xml:space="preserve">Trifluoromethylbenzenes</t>
  </si>
  <si>
    <t xml:space="preserve">171.97520</t>
  </si>
  <si>
    <t xml:space="preserve">C7H7Cl2NO</t>
  </si>
  <si>
    <t xml:space="preserve">Clopidol</t>
  </si>
  <si>
    <t xml:space="preserve">205151</t>
  </si>
  <si>
    <t xml:space="preserve">HMDB0250359</t>
  </si>
  <si>
    <t xml:space="preserve">43547</t>
  </si>
  <si>
    <t xml:space="preserve">18087</t>
  </si>
  <si>
    <t xml:space="preserve">2971-90-6</t>
  </si>
  <si>
    <t xml:space="preserve">CC1=C(Cl)C(=O)C(Cl)=C(C)N1</t>
  </si>
  <si>
    <t xml:space="preserve">ZDPIZLCVJAAHHR-UHFFFAOYSA-N</t>
  </si>
  <si>
    <t xml:space="preserve">Halopyridines</t>
  </si>
  <si>
    <t xml:space="preserve">172.00667</t>
  </si>
  <si>
    <t xml:space="preserve">C6H7NO3S</t>
  </si>
  <si>
    <t xml:space="preserve">Sulfanilic acid; 2-Aminobenzenesulfonic acid</t>
  </si>
  <si>
    <t xml:space="preserve">212068; 257678</t>
  </si>
  <si>
    <t xml:space="preserve">HMDB0258581; HMDB0304940</t>
  </si>
  <si>
    <t xml:space="preserve">C06335; C06333</t>
  </si>
  <si>
    <t xml:space="preserve">27500; 1015</t>
  </si>
  <si>
    <t xml:space="preserve">; 6926</t>
  </si>
  <si>
    <t xml:space="preserve">NC1=CC=C(C=C1)S(O)(=O)=O; NC1=CC=CC=C1S(O)(=O)=O</t>
  </si>
  <si>
    <t xml:space="preserve">HVBSAKJJOYLTQU-UHFFFAOYSA-N; ZMCHBSMFKQYNKA-UHFFFAOYSA-N</t>
  </si>
  <si>
    <t xml:space="preserve">Benzenesulfonic acids and derivatives; Benzenesulfonic acids and derivatives</t>
  </si>
  <si>
    <t xml:space="preserve">172.05954</t>
  </si>
  <si>
    <t xml:space="preserve">C7H11NO4</t>
  </si>
  <si>
    <t xml:space="preserve">N-Acetyl-L-glutamate 5-semialdehyde</t>
  </si>
  <si>
    <t xml:space="preserve">48743</t>
  </si>
  <si>
    <t xml:space="preserve">HMDB0006488</t>
  </si>
  <si>
    <t xml:space="preserve">3298</t>
  </si>
  <si>
    <t xml:space="preserve">C01250</t>
  </si>
  <si>
    <t xml:space="preserve">16319</t>
  </si>
  <si>
    <t xml:space="preserve">192878</t>
  </si>
  <si>
    <t xml:space="preserve">13074-21-0</t>
  </si>
  <si>
    <t xml:space="preserve">CC(=O)N[C@@H](CCC=O)C(O)=O</t>
  </si>
  <si>
    <t xml:space="preserve">BCPSFKBPHHBDAI-LURJTMIESA-N</t>
  </si>
  <si>
    <t xml:space="preserve">173.04730</t>
  </si>
  <si>
    <t xml:space="preserve">C7H10N2O</t>
  </si>
  <si>
    <t xml:space="preserve">2,4-Diaminoanisole</t>
  </si>
  <si>
    <t xml:space="preserve">200874</t>
  </si>
  <si>
    <t xml:space="preserve">HMDB0245445</t>
  </si>
  <si>
    <t xml:space="preserve">72941</t>
  </si>
  <si>
    <t xml:space="preserve">C19218</t>
  </si>
  <si>
    <t xml:space="preserve">11976</t>
  </si>
  <si>
    <t xml:space="preserve">615-05-4</t>
  </si>
  <si>
    <t xml:space="preserve">COC1=C(N)C=C(N)C=C1</t>
  </si>
  <si>
    <t xml:space="preserve">BAHPQISAXRFLCL-UHFFFAOYSA-N</t>
  </si>
  <si>
    <t xml:space="preserve">Phenol ethers</t>
  </si>
  <si>
    <t xml:space="preserve">Aminophenyl ethers</t>
  </si>
  <si>
    <t xml:space="preserve">174.04183</t>
  </si>
  <si>
    <t xml:space="preserve">C7H7N5O2</t>
  </si>
  <si>
    <t xml:space="preserve">6-Hydroxymethylpterin</t>
  </si>
  <si>
    <t xml:space="preserve">202357</t>
  </si>
  <si>
    <t xml:space="preserve">HMDB0247079</t>
  </si>
  <si>
    <t xml:space="preserve">69736</t>
  </si>
  <si>
    <t xml:space="preserve">NC1=NC2=NC=C(CO)N=C2C(=O)N1</t>
  </si>
  <si>
    <t xml:space="preserve">XGWIBNWDLMIPNF-UHFFFAOYSA-N</t>
  </si>
  <si>
    <t xml:space="preserve">Pteridines and derivatives</t>
  </si>
  <si>
    <t xml:space="preserve">Pterins and derivatives</t>
  </si>
  <si>
    <t xml:space="preserve">174.98898</t>
  </si>
  <si>
    <t xml:space="preserve">C6H10O3S2</t>
  </si>
  <si>
    <t xml:space="preserve">S-Acetyl dihydroasparagusic acid</t>
  </si>
  <si>
    <t xml:space="preserve">59570</t>
  </si>
  <si>
    <t xml:space="preserve">HMDB0035717</t>
  </si>
  <si>
    <t xml:space="preserve">90974</t>
  </si>
  <si>
    <t xml:space="preserve">173932</t>
  </si>
  <si>
    <t xml:space="preserve">85798858</t>
  </si>
  <si>
    <t xml:space="preserve">38146-83-7</t>
  </si>
  <si>
    <t xml:space="preserve">CC(=O)SCC(CS)C(O)=O</t>
  </si>
  <si>
    <t xml:space="preserve">PXKKBEIPDBKGPW-UHFFFAOYSA-N</t>
  </si>
  <si>
    <t xml:space="preserve">Lipids and lipid-like molecules</t>
  </si>
  <si>
    <t xml:space="preserve">Fatty Acyls</t>
  </si>
  <si>
    <t xml:space="preserve">Fatty acids and conjugates</t>
  </si>
  <si>
    <t xml:space="preserve">175.96928</t>
  </si>
  <si>
    <t xml:space="preserve">C2H8NO2PS</t>
  </si>
  <si>
    <t xml:space="preserve">(±)-Methamidophos</t>
  </si>
  <si>
    <t xml:space="preserve">56273</t>
  </si>
  <si>
    <t xml:space="preserve">HMDB0031803</t>
  </si>
  <si>
    <t xml:space="preserve">44566</t>
  </si>
  <si>
    <t xml:space="preserve">C18667</t>
  </si>
  <si>
    <t xml:space="preserve">38721</t>
  </si>
  <si>
    <t xml:space="preserve">4096</t>
  </si>
  <si>
    <t xml:space="preserve">115182-35-9</t>
  </si>
  <si>
    <t xml:space="preserve">COP(N)(=O)SC</t>
  </si>
  <si>
    <t xml:space="preserve">NNKVPIKMPCQWCG-UHFFFAOYSA-N</t>
  </si>
  <si>
    <t xml:space="preserve">Organophosphorus compounds</t>
  </si>
  <si>
    <t xml:space="preserve">Organothiophosphorus compounds</t>
  </si>
  <si>
    <t xml:space="preserve">Phosphoramidothioic-acid-O,S-diesters</t>
  </si>
  <si>
    <t xml:space="preserve">178.01532</t>
  </si>
  <si>
    <t xml:space="preserve">C8H7NO5</t>
  </si>
  <si>
    <t xml:space="preserve">3-Hydroxy-2-methylpyridine-4,5-dicarboxylate</t>
  </si>
  <si>
    <t xml:space="preserve">48938</t>
  </si>
  <si>
    <t xml:space="preserve">HMDB0006955</t>
  </si>
  <si>
    <t xml:space="preserve">327680</t>
  </si>
  <si>
    <t xml:space="preserve">C04604</t>
  </si>
  <si>
    <t xml:space="preserve">17978</t>
  </si>
  <si>
    <t xml:space="preserve">440403</t>
  </si>
  <si>
    <t xml:space="preserve">CC1=NC=C(C(O)=O)C(C(O)=O)=C1O</t>
  </si>
  <si>
    <t xml:space="preserve">LVJJEIJOKPHQOU-UHFFFAOYSA-N</t>
  </si>
  <si>
    <t xml:space="preserve">178.95124</t>
  </si>
  <si>
    <t xml:space="preserve">C6H5ClS</t>
  </si>
  <si>
    <t xml:space="preserve">4-Chlorothiophenol</t>
  </si>
  <si>
    <t xml:space="preserve">201746</t>
  </si>
  <si>
    <t xml:space="preserve">HMDB0246403</t>
  </si>
  <si>
    <t xml:space="preserve">334898</t>
  </si>
  <si>
    <t xml:space="preserve">7815</t>
  </si>
  <si>
    <t xml:space="preserve">SC1=CC=C(Cl)C=C1</t>
  </si>
  <si>
    <t xml:space="preserve">VZXOZSQDJJNBRC-UHFFFAOYSA-N</t>
  </si>
  <si>
    <t xml:space="preserve">Thiophenols</t>
  </si>
  <si>
    <t xml:space="preserve">179.02040</t>
  </si>
  <si>
    <t xml:space="preserve">C6H6N4O4</t>
  </si>
  <si>
    <t xml:space="preserve">2,4-Dinitrophenylhydrazine; Nitrofurazone</t>
  </si>
  <si>
    <t xml:space="preserve">200892; 52714</t>
  </si>
  <si>
    <t xml:space="preserve">HMDB0245463; HMDB0014480</t>
  </si>
  <si>
    <t xml:space="preserve">68962; 43276</t>
  </si>
  <si>
    <t xml:space="preserve">C11283; C08042</t>
  </si>
  <si>
    <t xml:space="preserve">66932; 170239</t>
  </si>
  <si>
    <t xml:space="preserve">3772977; 5447130</t>
  </si>
  <si>
    <t xml:space="preserve">119-26-6; 59-87-0</t>
  </si>
  <si>
    <t xml:space="preserve">NNC1=C(C=C(C=C1)N(=O)=O)N(=O)=O; NC(=O)N\N=C\C1=CC=C(O1)[N+]([O-])=O</t>
  </si>
  <si>
    <t xml:space="preserve">HORQAOAYAYGIBM-UHFFFAOYSA-N; IAIWVQXQOWNYOU-FPYGCLRLSA-N</t>
  </si>
  <si>
    <t xml:space="preserve">Benzenoids; Organoheterocyclic compounds</t>
  </si>
  <si>
    <t xml:space="preserve">Benzene and substituted derivatives; Furans</t>
  </si>
  <si>
    <t xml:space="preserve">Nitrobenzenes; Nitrofurans</t>
  </si>
  <si>
    <t xml:space="preserve">180.03064</t>
  </si>
  <si>
    <t xml:space="preserve">C7H5NO2</t>
  </si>
  <si>
    <t xml:space="preserve">Benzo[d]isoxazol-3-ol; 2-Benzoxazolol</t>
  </si>
  <si>
    <t xml:space="preserve">204034; 57194</t>
  </si>
  <si>
    <t xml:space="preserve">HMDB0249006; HMDB0032931</t>
  </si>
  <si>
    <t xml:space="preserve">453626; 323676</t>
  </si>
  <si>
    <t xml:space="preserve">; 145233</t>
  </si>
  <si>
    <t xml:space="preserve">210830; 6043</t>
  </si>
  <si>
    <t xml:space="preserve">; 59-49-4</t>
  </si>
  <si>
    <t xml:space="preserve">O=C1NOC2=CC=CC=C12; O=C1NC2=CC=CC=C2O1</t>
  </si>
  <si>
    <t xml:space="preserve">QLDQYRDCPNBPII-UHFFFAOYSA-N; ASSKVPFEZFQQNQ-UHFFFAOYSA-N</t>
  </si>
  <si>
    <t xml:space="preserve">Benzisoxazoles; Benzoxazoles</t>
  </si>
  <si>
    <t xml:space="preserve">Benzisoxazolones; Benzoxazolones</t>
  </si>
  <si>
    <t xml:space="preserve">180.99680</t>
  </si>
  <si>
    <t xml:space="preserve">C8H8O4S</t>
  </si>
  <si>
    <t xml:space="preserve">4-Vinylphenol sulfate</t>
  </si>
  <si>
    <t xml:space="preserve">83781</t>
  </si>
  <si>
    <t xml:space="preserve">HMDB0062775</t>
  </si>
  <si>
    <t xml:space="preserve">82931</t>
  </si>
  <si>
    <t xml:space="preserve">6426766</t>
  </si>
  <si>
    <t xml:space="preserve">131351-90-1</t>
  </si>
  <si>
    <t xml:space="preserve">OS(=O)(=O)OC1=CC=C(C=C)C=C1</t>
  </si>
  <si>
    <t xml:space="preserve">IETVQHUKTKKBFF-UHFFFAOYSA-N</t>
  </si>
  <si>
    <t xml:space="preserve">Organic sulfuric acids and derivatives</t>
  </si>
  <si>
    <t xml:space="preserve">Arylsulfates</t>
  </si>
  <si>
    <t xml:space="preserve">181.03892</t>
  </si>
  <si>
    <t xml:space="preserve">C6H12N2O2</t>
  </si>
  <si>
    <t xml:space="preserve">4-Amino-1-piperidinecarboxylic acid</t>
  </si>
  <si>
    <t xml:space="preserve">82290</t>
  </si>
  <si>
    <t xml:space="preserve">HMDB0060385</t>
  </si>
  <si>
    <t xml:space="preserve">71376</t>
  </si>
  <si>
    <t xml:space="preserve">C16837</t>
  </si>
  <si>
    <t xml:space="preserve">445262</t>
  </si>
  <si>
    <t xml:space="preserve">959317-82-9</t>
  </si>
  <si>
    <t xml:space="preserve">NC1CCN(CC1)C(O)=O</t>
  </si>
  <si>
    <t xml:space="preserve">NQNQKLBWDARKDG-UHFFFAOYSA-N</t>
  </si>
  <si>
    <t xml:space="preserve">Piperidines</t>
  </si>
  <si>
    <t xml:space="preserve">Piperidinecarboxylic acids and derivatives</t>
  </si>
  <si>
    <t xml:space="preserve">183.01205</t>
  </si>
  <si>
    <t xml:space="preserve">C8H10O4S</t>
  </si>
  <si>
    <t xml:space="preserve">3-ethylphenyl Sulfate</t>
  </si>
  <si>
    <t xml:space="preserve">83746</t>
  </si>
  <si>
    <t xml:space="preserve">HMDB0062721</t>
  </si>
  <si>
    <t xml:space="preserve">82935</t>
  </si>
  <si>
    <t xml:space="preserve">86290012</t>
  </si>
  <si>
    <t xml:space="preserve">CCC1=CC(OS(O)(=O)=O)=CC=C1</t>
  </si>
  <si>
    <t xml:space="preserve">DMIBREBMNWKSQY-UHFFFAOYSA-N</t>
  </si>
  <si>
    <t xml:space="preserve">183.10222</t>
  </si>
  <si>
    <t xml:space="preserve">C10H18O4</t>
  </si>
  <si>
    <t xml:space="preserve">Sebacic acid</t>
  </si>
  <si>
    <t xml:space="preserve">2821</t>
  </si>
  <si>
    <t xml:space="preserve">HMDB0000792</t>
  </si>
  <si>
    <t xml:space="preserve">4240</t>
  </si>
  <si>
    <t xml:space="preserve">LMFA01170006</t>
  </si>
  <si>
    <t xml:space="preserve">C08277</t>
  </si>
  <si>
    <t xml:space="preserve">41865</t>
  </si>
  <si>
    <t xml:space="preserve">5192</t>
  </si>
  <si>
    <t xml:space="preserve">111-20-6</t>
  </si>
  <si>
    <t xml:space="preserve">C(CCCCCCCCC(=O)O)(=O)O</t>
  </si>
  <si>
    <t xml:space="preserve">CXMXRPHRNRROMY-UHFFFAOYSA-N</t>
  </si>
  <si>
    <t xml:space="preserve">183.13956</t>
  </si>
  <si>
    <t xml:space="preserve">C10H18</t>
  </si>
  <si>
    <t xml:space="preserve">xi-p-Menth-3-ene; (S)-3,7-Dimethyl-1,6-octadiene; cis-Carane</t>
  </si>
  <si>
    <t xml:space="preserve">60834; 83319; 83320</t>
  </si>
  <si>
    <t xml:space="preserve">HMDB0037213; HMDB0061795; HMDB0061796</t>
  </si>
  <si>
    <t xml:space="preserve">92180; 317463; 984269</t>
  </si>
  <si>
    <t xml:space="preserve">88834; ; 35663</t>
  </si>
  <si>
    <t xml:space="preserve">10369; 10887985; 79043</t>
  </si>
  <si>
    <t xml:space="preserve">CC(C)C1=CCC(C)CC1; [H][C@](C)(CCC=C(C)C)C=C; CC1CCC2C(C1)C2(C)C</t>
  </si>
  <si>
    <t xml:space="preserve">YYCPSEFQLGXPCO-UHFFFAOYSA-N; FUDNBFMOXDUIIE-SNVBAGLBSA-N; BWRHOYDPVJPXMF-UHFFFAOYSA-N</t>
  </si>
  <si>
    <t xml:space="preserve">Prenol lipids; Prenol lipids; Prenol lipids</t>
  </si>
  <si>
    <t xml:space="preserve">Monoterpenoids; Monoterpenoids; Monoterpenoids</t>
  </si>
  <si>
    <t xml:space="preserve">184.00362</t>
  </si>
  <si>
    <t xml:space="preserve">C5H3N5O</t>
  </si>
  <si>
    <t xml:space="preserve">6-Aminopurin-8-one</t>
  </si>
  <si>
    <t xml:space="preserve">211602</t>
  </si>
  <si>
    <t xml:space="preserve">HMDB0258004</t>
  </si>
  <si>
    <t xml:space="preserve">22134339</t>
  </si>
  <si>
    <t xml:space="preserve">NC1=NC=NC2=NC(=O)N=C12</t>
  </si>
  <si>
    <t xml:space="preserve">WFSSNYXARPONJV-UHFFFAOYSA-N</t>
  </si>
  <si>
    <t xml:space="preserve">184.97914</t>
  </si>
  <si>
    <t xml:space="preserve">C3H6N2O3S</t>
  </si>
  <si>
    <t xml:space="preserve">(2R)-2-(2-Hydroxyhydrazinyl)-3-sulfanylidenepropanoic acid; 2-Amino-3-nitrososulfanylpropanoic acid</t>
  </si>
  <si>
    <t xml:space="preserve">199125; 209616</t>
  </si>
  <si>
    <t xml:space="preserve">HMDB0242764; HMDB0255660</t>
  </si>
  <si>
    <t xml:space="preserve">76081153; 3359494</t>
  </si>
  <si>
    <t xml:space="preserve">ONNC(C=S)C(O)=O; NC(CSN=O)C(O)=O</t>
  </si>
  <si>
    <t xml:space="preserve">HOHKUZCJTSUTLE-UHFFFAOYSA-N; XOWVFANEOZMPKG-UHFFFAOYSA-N</t>
  </si>
  <si>
    <t xml:space="preserve">185.01353</t>
  </si>
  <si>
    <t xml:space="preserve">C4H7FN2O3</t>
  </si>
  <si>
    <t xml:space="preserve">alpha-Fluoro-beta-ureidopropionic acid</t>
  </si>
  <si>
    <t xml:space="preserve">82331</t>
  </si>
  <si>
    <t xml:space="preserve">HMDB0060435</t>
  </si>
  <si>
    <t xml:space="preserve">C16631</t>
  </si>
  <si>
    <t xml:space="preserve">80625</t>
  </si>
  <si>
    <t xml:space="preserve">151244</t>
  </si>
  <si>
    <t xml:space="preserve">OC(=N)NCC(F)C(O)=O</t>
  </si>
  <si>
    <t xml:space="preserve">FKTHAKABFGARQH-UHFFFAOYSA-N</t>
  </si>
  <si>
    <t xml:space="preserve">Alpha-halocarboxylic acids and derivatives</t>
  </si>
  <si>
    <t xml:space="preserve">186.02331</t>
  </si>
  <si>
    <t xml:space="preserve">C6H7NOS</t>
  </si>
  <si>
    <t xml:space="preserve">2-Propanoylthiazole; 1-(4-Methylthiazol-5-yl)ethanone; (6S)-5-Thia-1-azabicyclo[4.2.0]oct-2-en-8-one</t>
  </si>
  <si>
    <t xml:space="preserve">60802; 199336; 211505</t>
  </si>
  <si>
    <t xml:space="preserve">HMDB0037168; HMDB0243796; HMDB0257892</t>
  </si>
  <si>
    <t xml:space="preserve">92136; 1876; </t>
  </si>
  <si>
    <t xml:space="preserve">65288; 162292; 18179538</t>
  </si>
  <si>
    <t xml:space="preserve">43039-98-1; 38205-55-9; </t>
  </si>
  <si>
    <t xml:space="preserve">CCC(=O)C1=NC=CS1; CC(=O)C1=C(C)N=CS1; O=C1CC2SCC=CN12</t>
  </si>
  <si>
    <t xml:space="preserve">TYRAENAWSLPSLW-UHFFFAOYSA-N; MBLHLRLBSIWLMG-UHFFFAOYSA-N; FZEVMBJWXHDLDB-UHFFFAOYSA-N</t>
  </si>
  <si>
    <t xml:space="preserve">Organooxygen compounds; Organooxygen compounds; Lactams</t>
  </si>
  <si>
    <t xml:space="preserve">Carbonyl compounds; Carbonyl compounds; Beta lactams</t>
  </si>
  <si>
    <t xml:space="preserve">186.11701</t>
  </si>
  <si>
    <t xml:space="preserve">C9H17NO3</t>
  </si>
  <si>
    <t xml:space="preserve">8-Amino-7-oxononanoic acid</t>
  </si>
  <si>
    <t xml:space="preserve">2503</t>
  </si>
  <si>
    <t xml:space="preserve">HMDB0240687</t>
  </si>
  <si>
    <t xml:space="preserve">3322</t>
  </si>
  <si>
    <t xml:space="preserve">LMFA01100065</t>
  </si>
  <si>
    <t xml:space="preserve">C01092</t>
  </si>
  <si>
    <t xml:space="preserve">149468</t>
  </si>
  <si>
    <t xml:space="preserve">448124</t>
  </si>
  <si>
    <t xml:space="preserve">682799-71-9</t>
  </si>
  <si>
    <t xml:space="preserve">C(CCCCCC(=O)[C@@H](N)C)(=O)O</t>
  </si>
  <si>
    <t xml:space="preserve">GUAHPAJOXVYFON-ZETCQYMHSA-N</t>
  </si>
  <si>
    <t xml:space="preserve">187.01170</t>
  </si>
  <si>
    <t xml:space="preserve">C7H5F3N2O2</t>
  </si>
  <si>
    <t xml:space="preserve">4-Nitro-3-(trifluoromethyl)aniline</t>
  </si>
  <si>
    <t xml:space="preserve">201597</t>
  </si>
  <si>
    <t xml:space="preserve">HMDB0246246</t>
  </si>
  <si>
    <t xml:space="preserve">676</t>
  </si>
  <si>
    <t xml:space="preserve">94955</t>
  </si>
  <si>
    <t xml:space="preserve">393-11-3</t>
  </si>
  <si>
    <t xml:space="preserve">NC1=CC(=C(C=C1)N(=O)=O)C(F)(F)F</t>
  </si>
  <si>
    <t xml:space="preserve">UTKUVRNVYFTEHF-UHFFFAOYSA-N</t>
  </si>
  <si>
    <t xml:space="preserve">187.09819</t>
  </si>
  <si>
    <t xml:space="preserve">C9H16O4</t>
  </si>
  <si>
    <t xml:space="preserve">Azelaic acid</t>
  </si>
  <si>
    <t xml:space="preserve">2867</t>
  </si>
  <si>
    <t xml:space="preserve">HMDB0000784</t>
  </si>
  <si>
    <t xml:space="preserve">5750</t>
  </si>
  <si>
    <t xml:space="preserve">LMFA01170054</t>
  </si>
  <si>
    <t xml:space="preserve">C08261</t>
  </si>
  <si>
    <t xml:space="preserve">48131</t>
  </si>
  <si>
    <t xml:space="preserve">2266</t>
  </si>
  <si>
    <t xml:space="preserve">123-99-9</t>
  </si>
  <si>
    <t xml:space="preserve">C(CCCCCCCC(=O)O)(=O)O</t>
  </si>
  <si>
    <t xml:space="preserve">BDJRBEYXGGNYIS-UHFFFAOYSA-N</t>
  </si>
  <si>
    <t xml:space="preserve">188.97174</t>
  </si>
  <si>
    <t xml:space="preserve">C2H6ClO3P</t>
  </si>
  <si>
    <t xml:space="preserve">Ethephon</t>
  </si>
  <si>
    <t xml:space="preserve">206543</t>
  </si>
  <si>
    <t xml:space="preserve">HMDB0252014</t>
  </si>
  <si>
    <t xml:space="preserve">72208</t>
  </si>
  <si>
    <t xml:space="preserve">C18399</t>
  </si>
  <si>
    <t xml:space="preserve">52741</t>
  </si>
  <si>
    <t xml:space="preserve">27982</t>
  </si>
  <si>
    <t xml:space="preserve">16672-87-0</t>
  </si>
  <si>
    <t xml:space="preserve">OP(O)(=O)CCCl</t>
  </si>
  <si>
    <t xml:space="preserve">UDPGUMQDCGORJQ-UHFFFAOYSA-N</t>
  </si>
  <si>
    <t xml:space="preserve">189.00333</t>
  </si>
  <si>
    <t xml:space="preserve">C6H8S2</t>
  </si>
  <si>
    <t xml:space="preserve">3-(Methylthio)methylthiophene</t>
  </si>
  <si>
    <t xml:space="preserve">56779</t>
  </si>
  <si>
    <t xml:space="preserve">HMDB0032429</t>
  </si>
  <si>
    <t xml:space="preserve">88453</t>
  </si>
  <si>
    <t xml:space="preserve">20158044</t>
  </si>
  <si>
    <t xml:space="preserve">61675-72-7</t>
  </si>
  <si>
    <t xml:space="preserve">CSCC1=CSC=C1</t>
  </si>
  <si>
    <t xml:space="preserve">YWUFGNXATBTVEB-UHFFFAOYSA-N</t>
  </si>
  <si>
    <t xml:space="preserve">Heteroaromatic compounds</t>
  </si>
  <si>
    <t xml:space="preserve">189.97717</t>
  </si>
  <si>
    <t xml:space="preserve">C3H9NO2S2</t>
  </si>
  <si>
    <t xml:space="preserve">(1R)-1-Amino-3-sulfanylpropane-1-sulfinic acid</t>
  </si>
  <si>
    <t xml:space="preserve">198808</t>
  </si>
  <si>
    <t xml:space="preserve">HMDB0242354</t>
  </si>
  <si>
    <t xml:space="preserve">21903950</t>
  </si>
  <si>
    <t xml:space="preserve">NC(CCS)S(O)=O</t>
  </si>
  <si>
    <t xml:space="preserve">JOXUBWKEJVADRL-UHFFFAOYSA-N</t>
  </si>
  <si>
    <t xml:space="preserve">190.95957</t>
  </si>
  <si>
    <t xml:space="preserve">C3H8O3S2</t>
  </si>
  <si>
    <t xml:space="preserve">S-Propyl thiosulfate</t>
  </si>
  <si>
    <t xml:space="preserve">64176</t>
  </si>
  <si>
    <t xml:space="preserve">HMDB0041066</t>
  </si>
  <si>
    <t xml:space="preserve">95499</t>
  </si>
  <si>
    <t xml:space="preserve">169710</t>
  </si>
  <si>
    <t xml:space="preserve">3083960</t>
  </si>
  <si>
    <t xml:space="preserve">CCCSS(O)(=O)=O</t>
  </si>
  <si>
    <t xml:space="preserve">XXRSQNIODUGKPF-UHFFFAOYSA-N</t>
  </si>
  <si>
    <t xml:space="preserve">Organic thiosulfuric acids and derivatives</t>
  </si>
  <si>
    <t xml:space="preserve">S-alkyl thiosulfates</t>
  </si>
  <si>
    <t xml:space="preserve">191.01860</t>
  </si>
  <si>
    <t xml:space="preserve">C6H8O7</t>
  </si>
  <si>
    <t xml:space="preserve">Diketogulonic acid</t>
  </si>
  <si>
    <t xml:space="preserve">2186</t>
  </si>
  <si>
    <t xml:space="preserve">HMDB0005971</t>
  </si>
  <si>
    <t xml:space="preserve">45874</t>
  </si>
  <si>
    <t xml:space="preserve">LMFA01060195</t>
  </si>
  <si>
    <t xml:space="preserve">C04575</t>
  </si>
  <si>
    <t xml:space="preserve">15622</t>
  </si>
  <si>
    <t xml:space="preserve">440390</t>
  </si>
  <si>
    <t xml:space="preserve">3409-57-2</t>
  </si>
  <si>
    <t xml:space="preserve">C(=O)(O)C(=O)C(=O)[C@H](O)[C@@H](O)CO</t>
  </si>
  <si>
    <t xml:space="preserve">GJQWCDSAOUMKSE-STHAYSLISA-N</t>
  </si>
  <si>
    <t xml:space="preserve">191.05533</t>
  </si>
  <si>
    <t xml:space="preserve">C6H10O4</t>
  </si>
  <si>
    <t xml:space="preserve">(S)-2-Aceto-2-hydroxybutanoic acid; Adipic acid, MG salt (1:1)</t>
  </si>
  <si>
    <t xml:space="preserve">1869; 2861</t>
  </si>
  <si>
    <t xml:space="preserve">HMDB0006900; HMDB0000448</t>
  </si>
  <si>
    <t xml:space="preserve">58590; 115</t>
  </si>
  <si>
    <t xml:space="preserve">LMFA01050383; LMFA01170048</t>
  </si>
  <si>
    <t xml:space="preserve">C06006; C06104</t>
  </si>
  <si>
    <t xml:space="preserve">27681; 30832</t>
  </si>
  <si>
    <t xml:space="preserve">440875; 196</t>
  </si>
  <si>
    <t xml:space="preserve">113919-07-6; 124-04-9</t>
  </si>
  <si>
    <t xml:space="preserve">C(=O)(O)[C@](C(C)=O)(O)CC; C(CCCCC(=O)O)(=O)O</t>
  </si>
  <si>
    <t xml:space="preserve">VUQLHQFKACOHNZ-LURJTMIESA-N; WNLRTRBMVRJNCN-UHFFFAOYSA-N</t>
  </si>
  <si>
    <t xml:space="preserve">Organic acids and derivatives; Lipids and lipid-like molecules</t>
  </si>
  <si>
    <t xml:space="preserve">Keto acids and derivatives; Fatty Acyls</t>
  </si>
  <si>
    <t xml:space="preserve">Short-chain keto acids and derivatives; Fatty acids and conjugates</t>
  </si>
  <si>
    <t xml:space="preserve">192.95638</t>
  </si>
  <si>
    <t xml:space="preserve">C7H8S2</t>
  </si>
  <si>
    <t xml:space="preserve">Methyl phenyl disulfide</t>
  </si>
  <si>
    <t xml:space="preserve">64055</t>
  </si>
  <si>
    <t xml:space="preserve">HMDB0040939</t>
  </si>
  <si>
    <t xml:space="preserve">95385</t>
  </si>
  <si>
    <t xml:space="preserve">84234</t>
  </si>
  <si>
    <t xml:space="preserve">14173-25-2</t>
  </si>
  <si>
    <t xml:space="preserve">CSSC1=CC=CC=C1</t>
  </si>
  <si>
    <t xml:space="preserve">LMSQHVXHZCNJEP-UHFFFAOYSA-N</t>
  </si>
  <si>
    <t xml:space="preserve">194.04598</t>
  </si>
  <si>
    <t xml:space="preserve">C9H9NO4</t>
  </si>
  <si>
    <t xml:space="preserve">Salicyluric acid; Dopaquinone; Leucodopachrome</t>
  </si>
  <si>
    <t xml:space="preserve">47251; 47463; 48219</t>
  </si>
  <si>
    <t xml:space="preserve">HMDB0000840; HMDB0001229; HMDB0004067</t>
  </si>
  <si>
    <t xml:space="preserve">617; 354; 58201</t>
  </si>
  <si>
    <t xml:space="preserve">C07588; C00822; C05604</t>
  </si>
  <si>
    <t xml:space="preserve">9008; 16852; 60872</t>
  </si>
  <si>
    <t xml:space="preserve">10253; 439316; 161255</t>
  </si>
  <si>
    <t xml:space="preserve">487-54-7; 4430-97-1; 18766-67-1</t>
  </si>
  <si>
    <t xml:space="preserve">OC(=O)CNC(=O)C1=C(O)C=CC=C1; N[C@@H](CC1=CC(=O)C(=O)C=C1)C(O)=O; OC(=O)[C@@H]1CC2=CC(O)=C(O)C=C2N1</t>
  </si>
  <si>
    <t xml:space="preserve">ONJSZLXSECQROL-UHFFFAOYSA-N; AHMIDUVKSGCHAU-LURJTMIESA-N; JDWYRSDDJVCWPB-LURJTMIESA-N</t>
  </si>
  <si>
    <t xml:space="preserve">Benzenoids; Organic acids and derivatives; Organoheterocyclic compounds</t>
  </si>
  <si>
    <t xml:space="preserve">Benzene and substituted derivatives; Carboxylic acids and derivatives; Indoles and derivatives</t>
  </si>
  <si>
    <t xml:space="preserve">Benzoic acids and derivatives; Amino acids, peptides, and analogues; Indolecarboxylic acids and derivatives</t>
  </si>
  <si>
    <t xml:space="preserve">194.93230</t>
  </si>
  <si>
    <t xml:space="preserve">C3H3O9P</t>
  </si>
  <si>
    <t xml:space="preserve">Bicarbonate phosphorus</t>
  </si>
  <si>
    <t xml:space="preserve">204167</t>
  </si>
  <si>
    <t xml:space="preserve">HMDB0249182</t>
  </si>
  <si>
    <t xml:space="preserve">129651715</t>
  </si>
  <si>
    <t xml:space="preserve">OC(=O)OP(OC(O)=O)OC(O)=O</t>
  </si>
  <si>
    <t xml:space="preserve">YQDPPKXPSNQTHL-UHFFFAOYSA-N</t>
  </si>
  <si>
    <t xml:space="preserve">Organic phosphites</t>
  </si>
  <si>
    <t xml:space="preserve">194.97859</t>
  </si>
  <si>
    <t xml:space="preserve">C5H8O4S2</t>
  </si>
  <si>
    <t xml:space="preserve">Dimercaptosuccinic acid monomethyl ester</t>
  </si>
  <si>
    <t xml:space="preserve">208904</t>
  </si>
  <si>
    <t xml:space="preserve">HMDB0254837</t>
  </si>
  <si>
    <t xml:space="preserve">11435530</t>
  </si>
  <si>
    <t xml:space="preserve">COC(=O)C(S)C(S)C(O)=O</t>
  </si>
  <si>
    <t xml:space="preserve">GELAOSIUBCMYGY-UHFFFAOYSA-N</t>
  </si>
  <si>
    <t xml:space="preserve">195.13886</t>
  </si>
  <si>
    <t xml:space="preserve">C11H18</t>
  </si>
  <si>
    <t xml:space="preserve">4-Methyl-2-methylene-1-(1methylethylidene)-cyclohexane; Cystophorene; (E)-4,8-Dimethyl-1,3,7-nonatriene</t>
  </si>
  <si>
    <t xml:space="preserve">83335; 55652; 9151</t>
  </si>
  <si>
    <t xml:space="preserve">HMDB0061811; HMDB0030944; HMDB0035792</t>
  </si>
  <si>
    <t xml:space="preserve">; 87306; 91026</t>
  </si>
  <si>
    <t xml:space="preserve">; ; LMFA11000037</t>
  </si>
  <si>
    <t xml:space="preserve">88566; ; 60158</t>
  </si>
  <si>
    <t xml:space="preserve">564779; 5352367; 6427110</t>
  </si>
  <si>
    <t xml:space="preserve">; 16356-11-9; 19945-61-0</t>
  </si>
  <si>
    <t xml:space="preserve">CC1CCC(=C(C)C)C(=C)C1; CCCCC\C=C/C=C/C=C; C=C/C=C(\C)/CC/C=C(\C)/C</t>
  </si>
  <si>
    <t xml:space="preserve">CDVJOIYHIIZJKX-UHFFFAOYSA-N; JQQDKNVOSLONRS-STRRHFTISA-N; LUKZREJJLWEWQM-YRNVUSSQSA-N</t>
  </si>
  <si>
    <t xml:space="preserve">Lipids and lipid-like molecules; Hydrocarbons; Lipids and lipid-like molecules</t>
  </si>
  <si>
    <t xml:space="preserve">Prenol lipids; Unsaturated hydrocarbons; Prenol lipids</t>
  </si>
  <si>
    <t xml:space="preserve">Monoterpenoids; Olefins; Monoterpenoids</t>
  </si>
  <si>
    <t xml:space="preserve">196.02364</t>
  </si>
  <si>
    <t xml:space="preserve">C3H7N5O3</t>
  </si>
  <si>
    <t xml:space="preserve">N-Ethyl-N'-nitro-N-nitrosoguanidine</t>
  </si>
  <si>
    <t xml:space="preserve">209154</t>
  </si>
  <si>
    <t xml:space="preserve">HMDB0255134</t>
  </si>
  <si>
    <t xml:space="preserve">20238</t>
  </si>
  <si>
    <t xml:space="preserve">CCN(N=O)C(=N)N[N+]([O-])=O</t>
  </si>
  <si>
    <t xml:space="preserve">ZGONASGBWOJHDD-UHFFFAOYSA-N</t>
  </si>
  <si>
    <t xml:space="preserve">Hydrazines and derivatives</t>
  </si>
  <si>
    <t xml:space="preserve">196.97988</t>
  </si>
  <si>
    <t xml:space="preserve">C4H6N2O3S</t>
  </si>
  <si>
    <t xml:space="preserve">N-Nitrosothiazolidine-4-carboxylic acid</t>
  </si>
  <si>
    <t xml:space="preserve">63414</t>
  </si>
  <si>
    <t xml:space="preserve">HMDB0040192</t>
  </si>
  <si>
    <t xml:space="preserve">94727</t>
  </si>
  <si>
    <t xml:space="preserve">104890</t>
  </si>
  <si>
    <t xml:space="preserve">86594-16-3</t>
  </si>
  <si>
    <t xml:space="preserve">OC(=O)C1CSCN1N=O</t>
  </si>
  <si>
    <t xml:space="preserve">LGLMHMRNPVACGS-UHFFFAOYSA-N</t>
  </si>
  <si>
    <t xml:space="preserve">197.02445</t>
  </si>
  <si>
    <t xml:space="preserve">C5H12ClN2O2P</t>
  </si>
  <si>
    <t xml:space="preserve">2-Dechloroethylifosfamide; 3-Dechloroethylifosfamide</t>
  </si>
  <si>
    <t xml:space="preserve">52481; 52480</t>
  </si>
  <si>
    <t xml:space="preserve">HMDB0013859; HMDB0013858</t>
  </si>
  <si>
    <t xml:space="preserve">71238; 71236</t>
  </si>
  <si>
    <t xml:space="preserve">C16555; C16550</t>
  </si>
  <si>
    <t xml:space="preserve">80562; 238115</t>
  </si>
  <si>
    <t xml:space="preserve">119105; 114861</t>
  </si>
  <si>
    <t xml:space="preserve">53459-55-5; 36761-83-8</t>
  </si>
  <si>
    <t xml:space="preserve">NP1(=O)OCCCN1CCCl; ClCCNP1(=O)NCCCO1</t>
  </si>
  <si>
    <t xml:space="preserve">ROGLJLJCDSTWBN-UHFFFAOYSA-N; DZKGMGPLDJOVCX-UHFFFAOYSA-N</t>
  </si>
  <si>
    <t xml:space="preserve">Organic phosphoric acids and derivatives; Organic phosphoric acids and derivatives</t>
  </si>
  <si>
    <t xml:space="preserve">Organic phosphoramides; Organic phosphoramides</t>
  </si>
  <si>
    <t xml:space="preserve">197.11846</t>
  </si>
  <si>
    <t xml:space="preserve">C11H18O3</t>
  </si>
  <si>
    <t xml:space="preserve">4-(4-Methylcyclohexyl)-4-oxobutanoic acid</t>
  </si>
  <si>
    <t xml:space="preserve">208044</t>
  </si>
  <si>
    <t xml:space="preserve">HMDB0253742</t>
  </si>
  <si>
    <t xml:space="preserve">6919096</t>
  </si>
  <si>
    <t xml:space="preserve">CC1CCC(CC1)C(=O)CCC(O)=O</t>
  </si>
  <si>
    <t xml:space="preserve">JOWMTYWOBJALGB-UHFFFAOYSA-N</t>
  </si>
  <si>
    <t xml:space="preserve">Gamma-keto acids and derivatives</t>
  </si>
  <si>
    <t xml:space="preserve">198.02921</t>
  </si>
  <si>
    <t xml:space="preserve">C10H5N3O2</t>
  </si>
  <si>
    <t xml:space="preserve">2-(4-Nitrobenzylidene)malononitrile</t>
  </si>
  <si>
    <t xml:space="preserve">201122</t>
  </si>
  <si>
    <t xml:space="preserve">HMDB0245723</t>
  </si>
  <si>
    <t xml:space="preserve">2041</t>
  </si>
  <si>
    <t xml:space="preserve">[O-][N+](=O)C1=CC=C(C=C(C#N)C#N)C=C1</t>
  </si>
  <si>
    <t xml:space="preserve">BDTIGNGBIBFXSE-UHFFFAOYSA-N</t>
  </si>
  <si>
    <t xml:space="preserve">199.00211</t>
  </si>
  <si>
    <t xml:space="preserve">C6H12OS2</t>
  </si>
  <si>
    <t xml:space="preserve">S-2-Propenyl 1-propanesulfinothioate; R-1-Propenyl 1-propanesulfinothioate</t>
  </si>
  <si>
    <t xml:space="preserve">57013; 57020</t>
  </si>
  <si>
    <t xml:space="preserve">HMDB0032741; HMDB0032748</t>
  </si>
  <si>
    <t xml:space="preserve">88668; 88675</t>
  </si>
  <si>
    <t xml:space="preserve">20209224; 14412548</t>
  </si>
  <si>
    <t xml:space="preserve">136516-42-2; 119052-98-1</t>
  </si>
  <si>
    <t xml:space="preserve">CCCS(=O)SCC=C; CCCS(=O)S\C=C/C</t>
  </si>
  <si>
    <t xml:space="preserve">HGCYYFWMWRCDLT-UHFFFAOYSA-N; XLVMWOFYTFNDKM-HYXAFXHYSA-N</t>
  </si>
  <si>
    <t xml:space="preserve">Thiosulfinic acid esters; Thiosulfinic acid esters</t>
  </si>
  <si>
    <t xml:space="preserve">199.13403</t>
  </si>
  <si>
    <t xml:space="preserve">C10H18O</t>
  </si>
  <si>
    <t xml:space="preserve">(R)-Citronellal; Geraniol; beta-Geraniol</t>
  </si>
  <si>
    <t xml:space="preserve">35245; 35248; 35254</t>
  </si>
  <si>
    <t xml:space="preserve">HMDB0035820; HMDB0005812; HMDB0035155</t>
  </si>
  <si>
    <t xml:space="preserve">41100; 41105; 41060</t>
  </si>
  <si>
    <t xml:space="preserve">LMPR0102010007; LMPR0102010010; LMPR0102010016</t>
  </si>
  <si>
    <t xml:space="preserve">C09848; C09871; C01500</t>
  </si>
  <si>
    <t xml:space="preserve">299; 29452; 17447</t>
  </si>
  <si>
    <t xml:space="preserve">75427; 643820; 637566</t>
  </si>
  <si>
    <t xml:space="preserve">2385-77-5; 106-25-2; 106-24-1</t>
  </si>
  <si>
    <t xml:space="preserve">[C@H](C)(CC=O)CC/C=C(\C)/C; C(/C)(=C\CO)\CC/C=C(\C)/C; OC/C=C(\C)/CC/C=C(\C)/C</t>
  </si>
  <si>
    <t xml:space="preserve">NEHNMFOYXAPHSD-SNVBAGLBSA-N; GLZPCOQZEFWAFX-YFHOEESVSA-N; GLZPCOQZEFWAFX-JXMROGBWSA-N</t>
  </si>
  <si>
    <t xml:space="preserve">200.05498</t>
  </si>
  <si>
    <t xml:space="preserve">C8H13NO6</t>
  </si>
  <si>
    <t xml:space="preserve">O-Succinyl-L-homoserine</t>
  </si>
  <si>
    <t xml:space="preserve">209790</t>
  </si>
  <si>
    <t xml:space="preserve">HMDB0255868</t>
  </si>
  <si>
    <t xml:space="preserve">954</t>
  </si>
  <si>
    <t xml:space="preserve">NC(CCOC(=O)CCC(O)=O)C(O)=O</t>
  </si>
  <si>
    <t xml:space="preserve">GNISQJGXJIDKDJ-UHFFFAOYSA-N</t>
  </si>
  <si>
    <t xml:space="preserve">201.11314</t>
  </si>
  <si>
    <t xml:space="preserve">C9H16O2</t>
  </si>
  <si>
    <t xml:space="preserve">Dihydro-5-pentyl-2(3H)-furanone</t>
  </si>
  <si>
    <t xml:space="preserve">7762</t>
  </si>
  <si>
    <t xml:space="preserve">HMDB0031531</t>
  </si>
  <si>
    <t xml:space="preserve">67023</t>
  </si>
  <si>
    <t xml:space="preserve">LMFA07040021</t>
  </si>
  <si>
    <t xml:space="preserve">C08501</t>
  </si>
  <si>
    <t xml:space="preserve">7710</t>
  </si>
  <si>
    <t xml:space="preserve">57084-16-9</t>
  </si>
  <si>
    <t xml:space="preserve">C1CC(CCCCC)OC1=O</t>
  </si>
  <si>
    <t xml:space="preserve">OALYTRUKMRCXNH-UHFFFAOYSA-N</t>
  </si>
  <si>
    <t xml:space="preserve">Lactones</t>
  </si>
  <si>
    <t xml:space="preserve">Gamma butyrolactones</t>
  </si>
  <si>
    <t xml:space="preserve">201.98600</t>
  </si>
  <si>
    <t xml:space="preserve">C5H3N4O3</t>
  </si>
  <si>
    <t xml:space="preserve">Urate radical</t>
  </si>
  <si>
    <t xml:space="preserve">82204</t>
  </si>
  <si>
    <t xml:space="preserve">HMDB0060260</t>
  </si>
  <si>
    <t xml:space="preserve">89161</t>
  </si>
  <si>
    <t xml:space="preserve">OC1=NC2=C(N=[C](O)=N2)C(O)=N1</t>
  </si>
  <si>
    <t xml:space="preserve">RKXSGLUFSIPOGU-UHFFFAOYSA-N</t>
  </si>
  <si>
    <t xml:space="preserve">202.01024</t>
  </si>
  <si>
    <t xml:space="preserve">C8H9NOS</t>
  </si>
  <si>
    <t xml:space="preserve">4-Methylthiobenzamide-S-oxide</t>
  </si>
  <si>
    <t xml:space="preserve">199228</t>
  </si>
  <si>
    <t xml:space="preserve">HMDB0243616</t>
  </si>
  <si>
    <t xml:space="preserve">150642</t>
  </si>
  <si>
    <t xml:space="preserve">CC1=CC=C(C=C1)C(N)=S=O</t>
  </si>
  <si>
    <t xml:space="preserve">WTGWOZOXYNUTSS-UHFFFAOYSA-N</t>
  </si>
  <si>
    <t xml:space="preserve">Toluenes</t>
  </si>
  <si>
    <t xml:space="preserve">203.01521</t>
  </si>
  <si>
    <t xml:space="preserve">C7H14Cl2</t>
  </si>
  <si>
    <t xml:space="preserve">1,1-Dichloroheptane</t>
  </si>
  <si>
    <t xml:space="preserve">199548</t>
  </si>
  <si>
    <t xml:space="preserve">HMDB0244021</t>
  </si>
  <si>
    <t xml:space="preserve">13184</t>
  </si>
  <si>
    <t xml:space="preserve">CCCCCCC(Cl)Cl</t>
  </si>
  <si>
    <t xml:space="preserve">MEMYUUBNXYUWRG-UHFFFAOYSA-N</t>
  </si>
  <si>
    <t xml:space="preserve">Organochlorides</t>
  </si>
  <si>
    <t xml:space="preserve">203.08464</t>
  </si>
  <si>
    <t xml:space="preserve">C8H18N2O3S</t>
  </si>
  <si>
    <t xml:space="preserve">BUTHIONINE SULFOXIMINE</t>
  </si>
  <si>
    <t xml:space="preserve">204409</t>
  </si>
  <si>
    <t xml:space="preserve">HMDB0249462</t>
  </si>
  <si>
    <t xml:space="preserve">66203</t>
  </si>
  <si>
    <t xml:space="preserve">C04543</t>
  </si>
  <si>
    <t xml:space="preserve">28714</t>
  </si>
  <si>
    <t xml:space="preserve">21157</t>
  </si>
  <si>
    <t xml:space="preserve">5072-26-4</t>
  </si>
  <si>
    <t xml:space="preserve">CCCCS(=N)(=O)CCC(N)C(O)=O</t>
  </si>
  <si>
    <t xml:space="preserve">KJQFBVYMGADDTQ-UHFFFAOYSA-N</t>
  </si>
  <si>
    <t xml:space="preserve">203.99098</t>
  </si>
  <si>
    <t xml:space="preserve">C7H8ClNO2S</t>
  </si>
  <si>
    <t xml:space="preserve">N-Chloro-p-toluenesulfonamide</t>
  </si>
  <si>
    <t xml:space="preserve">209120</t>
  </si>
  <si>
    <t xml:space="preserve">HMDB0255098</t>
  </si>
  <si>
    <t xml:space="preserve">318721</t>
  </si>
  <si>
    <t xml:space="preserve">53782</t>
  </si>
  <si>
    <t xml:space="preserve">31388</t>
  </si>
  <si>
    <t xml:space="preserve">CC1=CC=C(C=C1)S(=O)(=O)NCl</t>
  </si>
  <si>
    <t xml:space="preserve">NXTVQNIVUKXOIL-UHFFFAOYSA-N</t>
  </si>
  <si>
    <t xml:space="preserve">Benzenesulfonamides</t>
  </si>
  <si>
    <t xml:space="preserve">205.15965</t>
  </si>
  <si>
    <t xml:space="preserve">C14H22O</t>
  </si>
  <si>
    <t xml:space="preserve">alpha-Irone; 4-(1,1,3,3-Tetramethylbutyl)-phenol; 4-Octylphenol</t>
  </si>
  <si>
    <t xml:space="preserve">59489; 52466; 201891</t>
  </si>
  <si>
    <t xml:space="preserve">HMDB0035631; HMDB0013825; HMDB0246557</t>
  </si>
  <si>
    <t xml:space="preserve">67886; 69877; 69823</t>
  </si>
  <si>
    <t xml:space="preserve">C09690; C14205; C14132</t>
  </si>
  <si>
    <t xml:space="preserve">10284; ; 34432</t>
  </si>
  <si>
    <t xml:space="preserve">5371002; 8814; 15730</t>
  </si>
  <si>
    <t xml:space="preserve">79-69-6; 140-66-9; 1806-26-4</t>
  </si>
  <si>
    <t xml:space="preserve">CC1CC=C(C)C(\C=C\C(C)=O)C1(C)C; CC(C)(C)CC(C)(C)C1=CC=C(O)C=C1; CCCCCCCCC1=CC=C(O)C=C1</t>
  </si>
  <si>
    <t xml:space="preserve">JZQOJFLIJNRDHK-CMDGGOBGSA-N; ISAVYTVYFVQUDY-UHFFFAOYSA-N; NTDQQZYCCIDJRK-UHFFFAOYSA-N</t>
  </si>
  <si>
    <t xml:space="preserve">Lipids and lipid-like molecules; Benzenoids; Benzenoids</t>
  </si>
  <si>
    <t xml:space="preserve">Prenol lipids; Benzene and substituted derivatives; Phenols</t>
  </si>
  <si>
    <t xml:space="preserve">Sesquiterpenoids; Phenylpropanes; 1-hydroxy-2-unsubstituted benzenoids</t>
  </si>
  <si>
    <t xml:space="preserve">206.93555</t>
  </si>
  <si>
    <t xml:space="preserve">C3H6O6S</t>
  </si>
  <si>
    <t xml:space="preserve">(S)-3-Sulfonatolactate</t>
  </si>
  <si>
    <t xml:space="preserve">82147</t>
  </si>
  <si>
    <t xml:space="preserve">HMDB0060176</t>
  </si>
  <si>
    <t xml:space="preserve">69074</t>
  </si>
  <si>
    <t xml:space="preserve">C11499</t>
  </si>
  <si>
    <t xml:space="preserve">16712</t>
  </si>
  <si>
    <t xml:space="preserve">443233</t>
  </si>
  <si>
    <t xml:space="preserve">O[C@H](CS(O)(=O)=O)C(O)=O</t>
  </si>
  <si>
    <t xml:space="preserve">CQQGIWJSICOUON-UWTATZPHSA-N</t>
  </si>
  <si>
    <t xml:space="preserve">207.01413</t>
  </si>
  <si>
    <t xml:space="preserve">C6H8O8</t>
  </si>
  <si>
    <t xml:space="preserve">Garcinia acid</t>
  </si>
  <si>
    <t xml:space="preserve">55769</t>
  </si>
  <si>
    <t xml:space="preserve">HMDB0031159</t>
  </si>
  <si>
    <t xml:space="preserve">84968</t>
  </si>
  <si>
    <t xml:space="preserve">123908</t>
  </si>
  <si>
    <t xml:space="preserve">27750-10-3</t>
  </si>
  <si>
    <t xml:space="preserve">OC(C(O)=O)C(O)(CC(O)=O)C(O)=O</t>
  </si>
  <si>
    <t xml:space="preserve">ZMJBYMUCKBYSCP-UHFFFAOYSA-N</t>
  </si>
  <si>
    <t xml:space="preserve">Tricarboxylic acids and derivatives</t>
  </si>
  <si>
    <t xml:space="preserve">208.06216</t>
  </si>
  <si>
    <t xml:space="preserve">C10H11NO4</t>
  </si>
  <si>
    <t xml:space="preserve">3-Carbamoyl-2-phenylpropionic acid; Hydroxyphenylacetylglycine</t>
  </si>
  <si>
    <t xml:space="preserve">82276; 47189</t>
  </si>
  <si>
    <t xml:space="preserve">HMDB0060367; HMDB0000735</t>
  </si>
  <si>
    <t xml:space="preserve">; 5703</t>
  </si>
  <si>
    <t xml:space="preserve">C16591; C05596</t>
  </si>
  <si>
    <t xml:space="preserve">80589; 28595</t>
  </si>
  <si>
    <t xml:space="preserve">3025746; 440732</t>
  </si>
  <si>
    <t xml:space="preserve">; 28116-23-6</t>
  </si>
  <si>
    <t xml:space="preserve">OC(=N)OCC(C(O)=O)C1=CC=CC=C1; OC(=O)CNC(=O)CC1=CC=C(O)C=C1</t>
  </si>
  <si>
    <t xml:space="preserve">AYRIVCKWIAUVOO-UHFFFAOYSA-N; CPPDWYIPKSSNNM-UHFFFAOYSA-N</t>
  </si>
  <si>
    <t xml:space="preserve">Benzenoids; Organic acids and derivatives</t>
  </si>
  <si>
    <t xml:space="preserve">Benzene and substituted derivatives; Carboxylic acids and derivatives</t>
  </si>
  <si>
    <t xml:space="preserve">Unclassified; Amino acids, peptides, and analogues</t>
  </si>
  <si>
    <t xml:space="preserve">208.96200</t>
  </si>
  <si>
    <t xml:space="preserve">C7H5ClO4</t>
  </si>
  <si>
    <t xml:space="preserve">3-Chloro-2-methyldienelactone; 2-Chloro-5-methyl-cis-dienelactone</t>
  </si>
  <si>
    <t xml:space="preserve">82277; 82256</t>
  </si>
  <si>
    <t xml:space="preserve">HMDB0060368; HMDB0060345</t>
  </si>
  <si>
    <t xml:space="preserve">72145; 72140</t>
  </si>
  <si>
    <t xml:space="preserve">C18309; C18304</t>
  </si>
  <si>
    <t xml:space="preserve">81660; 81655</t>
  </si>
  <si>
    <t xml:space="preserve">49787040; 9543297</t>
  </si>
  <si>
    <t xml:space="preserve">CC1=C(Cl)\C(OC1=O)=C\C(O)=O; C\C(C(O)=O)=C1/OC(=O)C(Cl)=C1</t>
  </si>
  <si>
    <t xml:space="preserve">OYEYSZZDZDSDCR-RQOWECAXSA-N; KPWMDCDICLSMLX-HWKANZROSA-N</t>
  </si>
  <si>
    <t xml:space="preserve">Lipids and lipid-like molecules; Organoheterocyclic compounds</t>
  </si>
  <si>
    <t xml:space="preserve">Fatty Acyls; Dihydrofurans</t>
  </si>
  <si>
    <t xml:space="preserve">Fatty acids and conjugates; Furanones</t>
  </si>
  <si>
    <t xml:space="preserve">208.98571</t>
  </si>
  <si>
    <t xml:space="preserve">C7H10OS2</t>
  </si>
  <si>
    <t xml:space="preserve">2,5-Dimethyl-3-(methyldithio)furan</t>
  </si>
  <si>
    <t xml:space="preserve">63419</t>
  </si>
  <si>
    <t xml:space="preserve">HMDB0040200</t>
  </si>
  <si>
    <t xml:space="preserve">94734</t>
  </si>
  <si>
    <t xml:space="preserve">20313888</t>
  </si>
  <si>
    <t xml:space="preserve">61197-06-6</t>
  </si>
  <si>
    <t xml:space="preserve">CSSC1=C(C)OC(C)=C1</t>
  </si>
  <si>
    <t xml:space="preserve">ZZXDUGZYDILQMO-UHFFFAOYSA-N</t>
  </si>
  <si>
    <t xml:space="preserve">209.06370</t>
  </si>
  <si>
    <t xml:space="preserve">C11H11FO3</t>
  </si>
  <si>
    <t xml:space="preserve">Ethyl 3-(4-Fluorophenyl)-3-Oxopropanoate</t>
  </si>
  <si>
    <t xml:space="preserve">206557</t>
  </si>
  <si>
    <t xml:space="preserve">HMDB0252028</t>
  </si>
  <si>
    <t xml:space="preserve">448043</t>
  </si>
  <si>
    <t xml:space="preserve">2758844</t>
  </si>
  <si>
    <t xml:space="preserve">CCOC(=O)CC(=O)C1=CC=C(F)C=C1</t>
  </si>
  <si>
    <t xml:space="preserve">SJUXLKYJKQBZLM-UHFFFAOYSA-N</t>
  </si>
  <si>
    <t xml:space="preserve">209.11754</t>
  </si>
  <si>
    <t xml:space="preserve">C12H18O3</t>
  </si>
  <si>
    <t xml:space="preserve">7-Epijasmonic acid; Jasmonic acid</t>
  </si>
  <si>
    <t xml:space="preserve">3361; 3360</t>
  </si>
  <si>
    <t xml:space="preserve">HMDB0303804; HMDB0032797</t>
  </si>
  <si>
    <t xml:space="preserve">LMFA02020003; LMFA02020001</t>
  </si>
  <si>
    <t xml:space="preserve">C16317; C08491</t>
  </si>
  <si>
    <t xml:space="preserve">18435; 18292</t>
  </si>
  <si>
    <t xml:space="preserve">7251183; 5281166</t>
  </si>
  <si>
    <t xml:space="preserve">; 59366-47-1</t>
  </si>
  <si>
    <t xml:space="preserve">C(C[C@@H]1[C@H](C/C=C\CC)C(=O)CC1)(=O)O; C1C(=O)[C@H](C/C=C\CC)[C@@H](CC(O)=O)C1</t>
  </si>
  <si>
    <t xml:space="preserve">ZNJFBWYDHIGLCU-QKMQQOOLSA-N; ZNJFBWYDHIGLCU-HWKXXFMVSA-N</t>
  </si>
  <si>
    <t xml:space="preserve">Lineolic acids and derivatives; Lineolic acids and derivatives</t>
  </si>
  <si>
    <t xml:space="preserve">210.04116</t>
  </si>
  <si>
    <t xml:space="preserve">C9H9NO5</t>
  </si>
  <si>
    <t xml:space="preserve">Betalamic acid</t>
  </si>
  <si>
    <t xml:space="preserve">54728</t>
  </si>
  <si>
    <t xml:space="preserve">HMDB0029842</t>
  </si>
  <si>
    <t xml:space="preserve">C08538</t>
  </si>
  <si>
    <t xml:space="preserve">27483</t>
  </si>
  <si>
    <t xml:space="preserve">6123097</t>
  </si>
  <si>
    <t xml:space="preserve">18766-66-0</t>
  </si>
  <si>
    <t xml:space="preserve">OC(=O)C1C\C(=C\C=O)C=C(N1)C(O)=O</t>
  </si>
  <si>
    <t xml:space="preserve">YQDKULBMDMPFLH-ORCRQEGFSA-N</t>
  </si>
  <si>
    <t xml:space="preserve">210.96498</t>
  </si>
  <si>
    <t xml:space="preserve">C6H6O6</t>
  </si>
  <si>
    <t xml:space="preserve">trans-Aconitic acid; Dehydroascorbic acid; cis-Aconitic acid</t>
  </si>
  <si>
    <t xml:space="preserve">47319; 47481; 46856</t>
  </si>
  <si>
    <t xml:space="preserve">HMDB0000958; HMDB0001264; HMDB0000072</t>
  </si>
  <si>
    <t xml:space="preserve">3771; 342; 3300</t>
  </si>
  <si>
    <t xml:space="preserve">C02341; C05422; C00417</t>
  </si>
  <si>
    <t xml:space="preserve">32806; 27956; 32805</t>
  </si>
  <si>
    <t xml:space="preserve">444212; 440667; 643757</t>
  </si>
  <si>
    <t xml:space="preserve">4023-65-8; 490-83-5; 585-84-2</t>
  </si>
  <si>
    <t xml:space="preserve">OC(=O)C\C(=C/C(O)=O)C(O)=O; [H][C@@]1(OC(=O)C(=O)C1=O)[C@@H](O)CO; OC(=O)C\C(=C\C(O)=O)C(O)=O</t>
  </si>
  <si>
    <t xml:space="preserve">GTZCVFVGUGFEME-HNQUOIGGSA-N; SBJKKFFYIZUCET-JLAZNSOCSA-N; GTZCVFVGUGFEME-IWQZZHSRSA-N</t>
  </si>
  <si>
    <t xml:space="preserve">Organic acids and derivatives; Organoheterocyclic compounds; Organic acids and derivatives</t>
  </si>
  <si>
    <t xml:space="preserve">Carboxylic acids and derivatives; Lactones; Carboxylic acids and derivatives</t>
  </si>
  <si>
    <t xml:space="preserve">Tricarboxylic acids and derivatives; Gamma butyrolactones; Tricarboxylic acids and derivatives</t>
  </si>
  <si>
    <t xml:space="preserve">211.00175</t>
  </si>
  <si>
    <t xml:space="preserve">C6H15O3PS2</t>
  </si>
  <si>
    <t xml:space="preserve">Demeton-S-methyl</t>
  </si>
  <si>
    <t xml:space="preserve">205669</t>
  </si>
  <si>
    <t xml:space="preserve">HMDB0250995</t>
  </si>
  <si>
    <t xml:space="preserve">72441</t>
  </si>
  <si>
    <t xml:space="preserve">C18655</t>
  </si>
  <si>
    <t xml:space="preserve">38624</t>
  </si>
  <si>
    <t xml:space="preserve">13526</t>
  </si>
  <si>
    <t xml:space="preserve">919-86-8</t>
  </si>
  <si>
    <t xml:space="preserve">CCSCCSP(=O)(OC)OC</t>
  </si>
  <si>
    <t xml:space="preserve">WEBQKRLKWNIYKK-UHFFFAOYSA-N</t>
  </si>
  <si>
    <t xml:space="preserve">211.13395</t>
  </si>
  <si>
    <t xml:space="preserve">C12H20O3</t>
  </si>
  <si>
    <t xml:space="preserve">Traumatin</t>
  </si>
  <si>
    <t xml:space="preserve">2112</t>
  </si>
  <si>
    <t xml:space="preserve">HMDB0037326</t>
  </si>
  <si>
    <t xml:space="preserve">35783</t>
  </si>
  <si>
    <t xml:space="preserve">LMFA01060093</t>
  </si>
  <si>
    <t xml:space="preserve">C16309</t>
  </si>
  <si>
    <t xml:space="preserve">19144</t>
  </si>
  <si>
    <t xml:space="preserve">5312889</t>
  </si>
  <si>
    <t xml:space="preserve">65410-38-0</t>
  </si>
  <si>
    <t xml:space="preserve">C(CCCCCCCC/C=C/C([H])=O)(=O)O</t>
  </si>
  <si>
    <t xml:space="preserve">INMKWUNQKOWGEZ-VQHVLOKHSA-N</t>
  </si>
  <si>
    <t xml:space="preserve">212.98911</t>
  </si>
  <si>
    <t xml:space="preserve">C6H14S4</t>
  </si>
  <si>
    <t xml:space="preserve">Dipropyl tetrasulfide</t>
  </si>
  <si>
    <t xml:space="preserve">255167</t>
  </si>
  <si>
    <t xml:space="preserve">HMDB0302187</t>
  </si>
  <si>
    <t xml:space="preserve">CCCSSSSCCC</t>
  </si>
  <si>
    <t xml:space="preserve">GJKGKILUTIBVOI-UHFFFAOYSA-N</t>
  </si>
  <si>
    <t xml:space="preserve">Sulfenyl compounds</t>
  </si>
  <si>
    <t xml:space="preserve">214.02110</t>
  </si>
  <si>
    <t xml:space="preserve">C8H10ClN3S</t>
  </si>
  <si>
    <t xml:space="preserve">Tiamenidine</t>
  </si>
  <si>
    <t xml:space="preserve">212487</t>
  </si>
  <si>
    <t xml:space="preserve">HMDB0259067</t>
  </si>
  <si>
    <t xml:space="preserve">CC1=CSC(Cl)=C1NC1=NCCN1</t>
  </si>
  <si>
    <t xml:space="preserve">CVWILQHZFWRYPB-UHFFFAOYSA-N</t>
  </si>
  <si>
    <t xml:space="preserve">Aryl chlorides</t>
  </si>
  <si>
    <t xml:space="preserve">214.04666</t>
  </si>
  <si>
    <t xml:space="preserve">C7H11N3O6</t>
  </si>
  <si>
    <t xml:space="preserve">Dicarbamoyl (2S)-2-aminopentanedioate</t>
  </si>
  <si>
    <t xml:space="preserve">211681</t>
  </si>
  <si>
    <t xml:space="preserve">HMDB0258093</t>
  </si>
  <si>
    <t xml:space="preserve">87142341</t>
  </si>
  <si>
    <t xml:space="preserve">NC(CCC(=O)OC(N)=O)C(=O)OC(N)=O</t>
  </si>
  <si>
    <t xml:space="preserve">MVHVWFHSXLHXEU-UHFFFAOYSA-N</t>
  </si>
  <si>
    <t xml:space="preserve">214.98888</t>
  </si>
  <si>
    <t xml:space="preserve">C3H5ClO2</t>
  </si>
  <si>
    <t xml:space="preserve">Ethyl chloroformate; 2-Chloropropionic acid</t>
  </si>
  <si>
    <t xml:space="preserve">206566; 200523</t>
  </si>
  <si>
    <t xml:space="preserve">HMDB0252038; HMDB0245078</t>
  </si>
  <si>
    <t xml:space="preserve">; 268814</t>
  </si>
  <si>
    <t xml:space="preserve">10928; 11734</t>
  </si>
  <si>
    <t xml:space="preserve">CCOC(Cl)=O; CC(Cl)C(O)=O</t>
  </si>
  <si>
    <t xml:space="preserve">RIFGWPKJUGCATF-UHFFFAOYSA-N; GAWAYYRQGQZKCR-UHFFFAOYSA-N</t>
  </si>
  <si>
    <t xml:space="preserve">Organic carbonic acids and derivatives; Carboxylic acids and derivatives</t>
  </si>
  <si>
    <t xml:space="preserve">Unclassified; Alpha-halocarboxylic acids and derivatives</t>
  </si>
  <si>
    <t xml:space="preserve">215.01121</t>
  </si>
  <si>
    <t xml:space="preserve">C9H8O4</t>
  </si>
  <si>
    <t xml:space="preserve">4-Hydroxyphenylpyruvic acid; Aspirin; Caffeic acid</t>
  </si>
  <si>
    <t xml:space="preserve">47172; 47690; 47741</t>
  </si>
  <si>
    <t xml:space="preserve">HMDB0000707; HMDB0001879; HMDB0001964</t>
  </si>
  <si>
    <t xml:space="preserve">3315; 346; 3316</t>
  </si>
  <si>
    <t xml:space="preserve">C01179; C01405; C01481</t>
  </si>
  <si>
    <t xml:space="preserve">15999; 15365; 16433</t>
  </si>
  <si>
    <t xml:space="preserve">979; 2244; 689043</t>
  </si>
  <si>
    <t xml:space="preserve">156-39-8; 50-78-2; 501-16-6</t>
  </si>
  <si>
    <t xml:space="preserve">OC(=O)C(=O)CC1=CC=C(O)C=C1; CC(=O)OC1=CC=CC=C1C(O)=O; OC(=O)\C=C\C1=CC(O)=C(O)C=C1</t>
  </si>
  <si>
    <t xml:space="preserve">KKADPXVIOXHVKN-UHFFFAOYSA-N; BSYNRYMUTXBXSQ-UHFFFAOYSA-N; QAIPRVGONGVQAS-DUXPYHPUSA-N</t>
  </si>
  <si>
    <t xml:space="preserve">Benzenoids; Benzenoids; Phenylpropanoids and polyketides</t>
  </si>
  <si>
    <t xml:space="preserve">Benzene and substituted derivatives; Benzene and substituted derivatives; Cinnamic acids and derivatives</t>
  </si>
  <si>
    <t xml:space="preserve">Phenylpyruvic acid derivatives; Benzoic acids and derivatives; Hydroxycinnamic acids and derivatives</t>
  </si>
  <si>
    <t xml:space="preserve">216.00803</t>
  </si>
  <si>
    <t xml:space="preserve">C7H6ClNO2</t>
  </si>
  <si>
    <t xml:space="preserve">4-Amino-2-chlorobenzoic acid</t>
  </si>
  <si>
    <t xml:space="preserve">201687</t>
  </si>
  <si>
    <t xml:space="preserve">HMDB0246340</t>
  </si>
  <si>
    <t xml:space="preserve">345947</t>
  </si>
  <si>
    <t xml:space="preserve">59472</t>
  </si>
  <si>
    <t xml:space="preserve">17154</t>
  </si>
  <si>
    <t xml:space="preserve">NC1=CC(Cl)=C(C=C1)C(O)=O</t>
  </si>
  <si>
    <t xml:space="preserve">MBDUKNCPOPMRJQ-UHFFFAOYSA-N</t>
  </si>
  <si>
    <t xml:space="preserve">Benzoic acids and derivatives</t>
  </si>
  <si>
    <t xml:space="preserve">216.91052</t>
  </si>
  <si>
    <t xml:space="preserve">C2H2ClF3O2S</t>
  </si>
  <si>
    <t xml:space="preserve">2,2,2-Trifluoroethanesulfonyl chloride</t>
  </si>
  <si>
    <t xml:space="preserve">200770</t>
  </si>
  <si>
    <t xml:space="preserve">HMDB0245338</t>
  </si>
  <si>
    <t xml:space="preserve">437824</t>
  </si>
  <si>
    <t xml:space="preserve">74242</t>
  </si>
  <si>
    <t xml:space="preserve">FC(F)(F)CS(Cl)(=O)=O</t>
  </si>
  <si>
    <t xml:space="preserve">CXCHEKCRJQRVNG-UHFFFAOYSA-N</t>
  </si>
  <si>
    <t xml:space="preserve">Sulfonyl halides</t>
  </si>
  <si>
    <t xml:space="preserve">Sulfonyl chlorides</t>
  </si>
  <si>
    <t xml:space="preserve">216.96859</t>
  </si>
  <si>
    <t xml:space="preserve">C6H3FN2O4S</t>
  </si>
  <si>
    <t xml:space="preserve">2,1,3-Benzoxadiazole-4-sulfonic acid, 7-fluoro-</t>
  </si>
  <si>
    <t xml:space="preserve">200759</t>
  </si>
  <si>
    <t xml:space="preserve">HMDB0245326</t>
  </si>
  <si>
    <t xml:space="preserve">OS(=O)(=O)C1=CC=C(F)C2=NON=C12</t>
  </si>
  <si>
    <t xml:space="preserve">BXHVBQRYTWNRSK-UHFFFAOYSA-N</t>
  </si>
  <si>
    <t xml:space="preserve">Benzoxadiazoles</t>
  </si>
  <si>
    <t xml:space="preserve">217.97989</t>
  </si>
  <si>
    <t xml:space="preserve">C4H10NO3PS</t>
  </si>
  <si>
    <t xml:space="preserve">Acephate</t>
  </si>
  <si>
    <t xml:space="preserve">203082</t>
  </si>
  <si>
    <t xml:space="preserve">HMDB0247901</t>
  </si>
  <si>
    <t xml:space="preserve">44455</t>
  </si>
  <si>
    <t xml:space="preserve">C14426</t>
  </si>
  <si>
    <t xml:space="preserve">34520</t>
  </si>
  <si>
    <t xml:space="preserve">1982</t>
  </si>
  <si>
    <t xml:space="preserve">30560-19-1</t>
  </si>
  <si>
    <t xml:space="preserve">COP(=O)(SC)N=C(C)O</t>
  </si>
  <si>
    <t xml:space="preserve">YASYVMFAVPKPKE-UHFFFAOYSA-N</t>
  </si>
  <si>
    <t xml:space="preserve">218.04062</t>
  </si>
  <si>
    <t xml:space="preserve">C5H7N3O4</t>
  </si>
  <si>
    <t xml:space="preserve">Creatinine bicarbonate; Azaserine</t>
  </si>
  <si>
    <t xml:space="preserve">205290; 203808</t>
  </si>
  <si>
    <t xml:space="preserve">HMDB0250527; HMDB0248767</t>
  </si>
  <si>
    <t xml:space="preserve">129641569; 5248314</t>
  </si>
  <si>
    <t xml:space="preserve">CN1C(OC(O)=O)C(=O)N=C1N; NC(COC(=O)C=[N+]=[N-])C(O)=O</t>
  </si>
  <si>
    <t xml:space="preserve">RUCQWBMWRCONLY-UHFFFAOYSA-N; MZZGOOYMKKIOOX-UHFFFAOYSA-N</t>
  </si>
  <si>
    <t xml:space="preserve">218.10370</t>
  </si>
  <si>
    <t xml:space="preserve">C8H15NO3</t>
  </si>
  <si>
    <t xml:space="preserve">N-Acetylleucine</t>
  </si>
  <si>
    <t xml:space="preserve">51519</t>
  </si>
  <si>
    <t xml:space="preserve">HMDB0011756</t>
  </si>
  <si>
    <t xml:space="preserve">43866</t>
  </si>
  <si>
    <t xml:space="preserve">C02710</t>
  </si>
  <si>
    <t xml:space="preserve">17786</t>
  </si>
  <si>
    <t xml:space="preserve">70912</t>
  </si>
  <si>
    <t xml:space="preserve">1188-21-2</t>
  </si>
  <si>
    <t xml:space="preserve">CC(C)C[C@H](NC(C)=O)C(O)=O</t>
  </si>
  <si>
    <t xml:space="preserve">WXNXCEHXYPACJF-ZETCQYMHSA-N</t>
  </si>
  <si>
    <t xml:space="preserve">218.16774</t>
  </si>
  <si>
    <t xml:space="preserve">C13H21N3</t>
  </si>
  <si>
    <t xml:space="preserve">QUINPIROLE</t>
  </si>
  <si>
    <t xml:space="preserve">210825</t>
  </si>
  <si>
    <t xml:space="preserve">HMDB0257056</t>
  </si>
  <si>
    <t xml:space="preserve">91928</t>
  </si>
  <si>
    <t xml:space="preserve">1257</t>
  </si>
  <si>
    <t xml:space="preserve">CCCN1CCCC2CC3=C(CC12)C=NN3</t>
  </si>
  <si>
    <t xml:space="preserve">FTSUPYGMFAPCFZ-UHFFFAOYSA-N</t>
  </si>
  <si>
    <t xml:space="preserve">219.05152</t>
  </si>
  <si>
    <t xml:space="preserve">C9H10N4O4</t>
  </si>
  <si>
    <t xml:space="preserve">Furapyrimidone; Acefylline</t>
  </si>
  <si>
    <t xml:space="preserve">207010; 203076</t>
  </si>
  <si>
    <t xml:space="preserve">HMDB0252532; HMDB0247895</t>
  </si>
  <si>
    <t xml:space="preserve">; 330005</t>
  </si>
  <si>
    <t xml:space="preserve">114738; 69550</t>
  </si>
  <si>
    <t xml:space="preserve">[O-][N+](=O)C1=CC=C(O1)C=NN1CCCNC1=O; CN1C2=C(N(CC(O)=O)C=N2)C(=O)N(C)C1=O</t>
  </si>
  <si>
    <t xml:space="preserve">NITMRIAAAKECLS-UHFFFAOYSA-N; HCYFGRCYSCXKNQ-UHFFFAOYSA-N</t>
  </si>
  <si>
    <t xml:space="preserve">Furans; Imidazopyrimidines</t>
  </si>
  <si>
    <t xml:space="preserve">Nitrofurans; Purines and purine derivatives</t>
  </si>
  <si>
    <t xml:space="preserve">219.17556</t>
  </si>
  <si>
    <t xml:space="preserve">C15H24O</t>
  </si>
  <si>
    <t xml:space="preserve">4-Nonylphenol; beta-Santalol; 2-trans,6-trans-Farnesal</t>
  </si>
  <si>
    <t xml:space="preserve">35139; 35804; 35476</t>
  </si>
  <si>
    <t xml:space="preserve">HMDB0038982; HMDB0036716; HMDB0060356</t>
  </si>
  <si>
    <t xml:space="preserve">44536; 53559; 44756</t>
  </si>
  <si>
    <t xml:space="preserve">LMPK15010001; LMPR0103800003; LMPR0103010012</t>
  </si>
  <si>
    <t xml:space="preserve">C14550; C09720; C03461</t>
  </si>
  <si>
    <t xml:space="preserve">34440; 10441; 15894</t>
  </si>
  <si>
    <t xml:space="preserve">1752; 6857681; 5280598</t>
  </si>
  <si>
    <t xml:space="preserve">104-40-5; 77-42-9; 502-67-0</t>
  </si>
  <si>
    <t xml:space="preserve">C1C=C(CCCCCCCCC)C=CC=1O; C1C[C@@H]2C[C@H]1[C@@](C)(CC/C=C(\CO)/C)C2=C; C(=C(/C)\CC/C=C(\C)/CC/C=C(\C)/C)/C=O</t>
  </si>
  <si>
    <t xml:space="preserve">IGFHQQFPSIBGKE-UHFFFAOYSA-N; OJYKYCDSGQGTRJ-GQYWAMEOSA-N; YHRUHBBTQZKMEX-YFVJMOTDSA-N</t>
  </si>
  <si>
    <t xml:space="preserve">Benzenoids; Lipids and lipid-like molecules; Lipids and lipid-like molecules</t>
  </si>
  <si>
    <t xml:space="preserve">Phenols; Prenol lipids; Prenol lipids</t>
  </si>
  <si>
    <t xml:space="preserve">1-hydroxy-2-unsubstituted benzenoids; Sesquiterpenoids; Sesquiterpenoids</t>
  </si>
  <si>
    <t xml:space="preserve">221.15103</t>
  </si>
  <si>
    <t xml:space="preserve">C12H24O2</t>
  </si>
  <si>
    <t xml:space="preserve">FA(12:0)</t>
  </si>
  <si>
    <t xml:space="preserve">59</t>
  </si>
  <si>
    <t xml:space="preserve">HMDB0000638</t>
  </si>
  <si>
    <t xml:space="preserve">357</t>
  </si>
  <si>
    <t xml:space="preserve">LMFA01010012</t>
  </si>
  <si>
    <t xml:space="preserve">C02679</t>
  </si>
  <si>
    <t xml:space="preserve">30805</t>
  </si>
  <si>
    <t xml:space="preserve">3893</t>
  </si>
  <si>
    <t xml:space="preserve">143-07-7</t>
  </si>
  <si>
    <t xml:space="preserve">C(CC)CCCCCCCCC(=O)O</t>
  </si>
  <si>
    <t xml:space="preserve">POULHZVOKOAJMA-UHFFFAOYSA-N</t>
  </si>
  <si>
    <t xml:space="preserve">225.02674</t>
  </si>
  <si>
    <t xml:space="preserve">C6H12O2S2</t>
  </si>
  <si>
    <t xml:space="preserve">2,5-Dimethyl-1,4-dithiane-2,5-diol; Ethyl 2-(methyldithio)propionate; 2,4-Bis(methylthio)butyric acid</t>
  </si>
  <si>
    <t xml:space="preserve">57773; 62232; 211430</t>
  </si>
  <si>
    <t xml:space="preserve">HMDB0033556; HMDB0038896; HMDB0257800</t>
  </si>
  <si>
    <t xml:space="preserve">89366; 93515; </t>
  </si>
  <si>
    <t xml:space="preserve">62105; 90972; 54110821</t>
  </si>
  <si>
    <t xml:space="preserve">55704-78-4; 23747-43-5; </t>
  </si>
  <si>
    <t xml:space="preserve">CC1(O)CSC(C)(O)CS1; CCOC(=O)C(C)SSC; CSCCC(SC)C(O)=O</t>
  </si>
  <si>
    <t xml:space="preserve">NHKIYYMFGJBOTK-UHFFFAOYSA-N; DZOQRCWJNNRVPT-UHFFFAOYSA-N; NGYPZWVLQXBEJM-UHFFFAOYSA-N</t>
  </si>
  <si>
    <t xml:space="preserve">Organoheterocyclic compounds; Organic acids and derivatives; Lipids and lipid-like molecules</t>
  </si>
  <si>
    <t xml:space="preserve">Dithianes; Carboxylic acids and derivatives; Fatty Acyls</t>
  </si>
  <si>
    <t xml:space="preserve">Unclassified; Carboxylic acid derivatives; Fatty acids and conjugates</t>
  </si>
  <si>
    <t xml:space="preserve">225.14958</t>
  </si>
  <si>
    <t xml:space="preserve">C13H22O3</t>
  </si>
  <si>
    <t xml:space="preserve">Methyl dihydrojasmonate; Riesling acetal; 4,5-Dihydrovomifoliol</t>
  </si>
  <si>
    <t xml:space="preserve">56217; 61100; 63758</t>
  </si>
  <si>
    <t xml:space="preserve">HMDB0031740; HMDB0037562; HMDB0040615</t>
  </si>
  <si>
    <t xml:space="preserve">; 92419; </t>
  </si>
  <si>
    <t xml:space="preserve">89741; 156167; 138758</t>
  </si>
  <si>
    <t xml:space="preserve">102861; 57473083; 23136584</t>
  </si>
  <si>
    <t xml:space="preserve">24851-98-7; ; 142173-08-8</t>
  </si>
  <si>
    <t xml:space="preserve">CCCCC[C@@H]1[C@@H](CC(=O)OC)CCC1=O; CC1=CC(O)CC(C)(C)C11CCC(C)(O)O1; CC(O)\C=C\C1(O)C(C)CC(=O)CC1(C)C</t>
  </si>
  <si>
    <t xml:space="preserve">KVWWIYGFBYDJQC-GHMZBOCLSA-N; SJZGKFZUNCXEEW-UHFFFAOYSA-N; IHDJYDVWNNFPHR-AATRIKPKSA-N</t>
  </si>
  <si>
    <t xml:space="preserve">Lipids and lipid-like molecules; Organoheterocyclic compounds; Lipids and lipid-like molecules</t>
  </si>
  <si>
    <t xml:space="preserve">Fatty Acyls; Tetrahydrofurans; Prenol lipids</t>
  </si>
  <si>
    <t xml:space="preserve">Lineolic acids and derivatives; Unclassified; Sesquiterpenoids</t>
  </si>
  <si>
    <t xml:space="preserve">225.92769</t>
  </si>
  <si>
    <t xml:space="preserve">C7H5Cl2NS</t>
  </si>
  <si>
    <t xml:space="preserve">Chlorthiamid</t>
  </si>
  <si>
    <t xml:space="preserve">204979</t>
  </si>
  <si>
    <t xml:space="preserve">HMDB0250145</t>
  </si>
  <si>
    <t xml:space="preserve">68792</t>
  </si>
  <si>
    <t xml:space="preserve">C11041</t>
  </si>
  <si>
    <t xml:space="preserve">15968</t>
  </si>
  <si>
    <t xml:space="preserve">1918-13-4</t>
  </si>
  <si>
    <t xml:space="preserve">SC(=N)C1=C(Cl)C=CC=C1Cl</t>
  </si>
  <si>
    <t xml:space="preserve">KGKGSIUWJCAFPX-UHFFFAOYSA-N</t>
  </si>
  <si>
    <t xml:space="preserve">Halobenzenes</t>
  </si>
  <si>
    <t xml:space="preserve">226.95934</t>
  </si>
  <si>
    <t xml:space="preserve">C6H6O7</t>
  </si>
  <si>
    <t xml:space="preserve">Oxalosuccinic acid; oxalosuccinate</t>
  </si>
  <si>
    <t xml:space="preserve">48205; 257257</t>
  </si>
  <si>
    <t xml:space="preserve">HMDB0003974; HMDB0304444</t>
  </si>
  <si>
    <t xml:space="preserve">; 3326</t>
  </si>
  <si>
    <t xml:space="preserve">C05379; C05379</t>
  </si>
  <si>
    <t xml:space="preserve">44712; 7815</t>
  </si>
  <si>
    <t xml:space="preserve">; 972</t>
  </si>
  <si>
    <t xml:space="preserve">1948-82-9; 1948-82-9</t>
  </si>
  <si>
    <t xml:space="preserve">OC(=O)C[C@H](C(O)=O)C(=O)C(O)=O; OC(=O)CC(C(O)=O)C(=O)C(O)=O</t>
  </si>
  <si>
    <t xml:space="preserve">UFSCUAXLTRFIDC-REOHCLBHSA-N; UFSCUAXLTRFIDC-UHFFFAOYSA-N</t>
  </si>
  <si>
    <t xml:space="preserve">Tricarboxylic acids and derivatives; Tricarboxylic acids and derivatives</t>
  </si>
  <si>
    <t xml:space="preserve">227.12656</t>
  </si>
  <si>
    <t xml:space="preserve">C12H20O4</t>
  </si>
  <si>
    <t xml:space="preserve">Traumatic acid</t>
  </si>
  <si>
    <t xml:space="preserve">2817</t>
  </si>
  <si>
    <t xml:space="preserve">HMDB0000933</t>
  </si>
  <si>
    <t xml:space="preserve">5882</t>
  </si>
  <si>
    <t xml:space="preserve">LMFA01170002</t>
  </si>
  <si>
    <t xml:space="preserve">C16308</t>
  </si>
  <si>
    <t xml:space="preserve">545687</t>
  </si>
  <si>
    <t xml:space="preserve">5283028</t>
  </si>
  <si>
    <t xml:space="preserve">6402-36-4</t>
  </si>
  <si>
    <t xml:space="preserve">C(CC(=O)O)CCCCCC/C=C/C(=O)O</t>
  </si>
  <si>
    <t xml:space="preserve">MAZWDMBCPDUFDJ-VQHVLOKHSA-N</t>
  </si>
  <si>
    <t xml:space="preserve">228.03492</t>
  </si>
  <si>
    <t xml:space="preserve">C8H9NO2S</t>
  </si>
  <si>
    <t xml:space="preserve">Oxisuran</t>
  </si>
  <si>
    <t xml:space="preserve">209893</t>
  </si>
  <si>
    <t xml:space="preserve">HMDB0255990</t>
  </si>
  <si>
    <t xml:space="preserve">33770</t>
  </si>
  <si>
    <t xml:space="preserve">CS(=O)CC(=O)C1=CC=CC=N1</t>
  </si>
  <si>
    <t xml:space="preserve">DSWLRNLRVBAVFC-UHFFFAOYSA-N</t>
  </si>
  <si>
    <t xml:space="preserve">228.99993</t>
  </si>
  <si>
    <t xml:space="preserve">C7H4O6</t>
  </si>
  <si>
    <t xml:space="preserve">Chelidonic acid</t>
  </si>
  <si>
    <t xml:space="preserve">204765</t>
  </si>
  <si>
    <t xml:space="preserve">HMDB0249899</t>
  </si>
  <si>
    <t xml:space="preserve">67007</t>
  </si>
  <si>
    <t xml:space="preserve">C08476</t>
  </si>
  <si>
    <t xml:space="preserve">7431</t>
  </si>
  <si>
    <t xml:space="preserve">99-32-1</t>
  </si>
  <si>
    <t xml:space="preserve">OC(=O)C1=CC(=O)C=C(O1)C(O)=O</t>
  </si>
  <si>
    <t xml:space="preserve">PBAYDYUZOSNJGU-UHFFFAOYSA-N</t>
  </si>
  <si>
    <t xml:space="preserve">229.04787</t>
  </si>
  <si>
    <t xml:space="preserve">C7H8N2O4</t>
  </si>
  <si>
    <t xml:space="preserve">Trimidox</t>
  </si>
  <si>
    <t xml:space="preserve">212645</t>
  </si>
  <si>
    <t xml:space="preserve">HMDB0259245</t>
  </si>
  <si>
    <t xml:space="preserve">45164</t>
  </si>
  <si>
    <t xml:space="preserve">135409350</t>
  </si>
  <si>
    <t xml:space="preserve">95933-74-7</t>
  </si>
  <si>
    <t xml:space="preserve">NC(=NO)C1=CC(O)=C(O)C(O)=C1</t>
  </si>
  <si>
    <t xml:space="preserve">MSLJYSGFUMYUDX-UHFFFAOYSA-N</t>
  </si>
  <si>
    <t xml:space="preserve">Phenols</t>
  </si>
  <si>
    <t xml:space="preserve">Benzenetriols and derivatives</t>
  </si>
  <si>
    <t xml:space="preserve">230.02905</t>
  </si>
  <si>
    <t xml:space="preserve">C11H7NS</t>
  </si>
  <si>
    <t xml:space="preserve">1-Naphthyl isothiocyanate; 2-Naphthyl isothiocyanate</t>
  </si>
  <si>
    <t xml:space="preserve">199494; 200625</t>
  </si>
  <si>
    <t xml:space="preserve">HMDB0243961; HMDB0245184</t>
  </si>
  <si>
    <t xml:space="preserve">35455; </t>
  </si>
  <si>
    <t xml:space="preserve">; 74222</t>
  </si>
  <si>
    <t xml:space="preserve">S=C=NC1=CC=CC2=CC=CC=C12; S=C=NC1=CC2=CC=CC=C2C=C1</t>
  </si>
  <si>
    <t xml:space="preserve">JBDOSUUXMYMWQH-UHFFFAOYSA-N; RTMXPNYHPHIDHX-UHFFFAOYSA-N</t>
  </si>
  <si>
    <t xml:space="preserve">Naphthalenes; Naphthalenes</t>
  </si>
  <si>
    <t xml:space="preserve">230.15358</t>
  </si>
  <si>
    <t xml:space="preserve">C15H21NO</t>
  </si>
  <si>
    <t xml:space="preserve">(2E,4E,6Z)-2,4,6-Decatrienoic acid dehydropiperidide; Rotundine A; alpha-Pyrrolidinovalerophenone</t>
  </si>
  <si>
    <t xml:space="preserve">57751; 59155; 200124</t>
  </si>
  <si>
    <t xml:space="preserve">HMDB0033530; HMDB0035271; HMDB0244638</t>
  </si>
  <si>
    <t xml:space="preserve">89342; 90578; 85222</t>
  </si>
  <si>
    <t xml:space="preserve">131751449; 10728239; 11148955</t>
  </si>
  <si>
    <t xml:space="preserve">43110-67-4; ; </t>
  </si>
  <si>
    <t xml:space="preserve">CCC\C=C\C=C/C=C/C(=O)N1CCCC=C1; CC(=O)CCC1CC2=C(C)N=CC=C2C1(C)C; CCCC(N1CCCC1)C(=O)C1=CC=CC=C1</t>
  </si>
  <si>
    <t xml:space="preserve">MYQLSFPPFMXWEZ-YXMVYKBFSA-N; RNURUJBYBMGADV-UHFFFAOYSA-N; YDIIDRWHPFMLGR-UHFFFAOYSA-N</t>
  </si>
  <si>
    <t xml:space="preserve">Organoheterocyclic compounds; Organoheterocyclic compounds; Organic oxygen compounds</t>
  </si>
  <si>
    <t xml:space="preserve">Pyridines and derivatives; Pyridines and derivatives; Organooxygen compounds</t>
  </si>
  <si>
    <t xml:space="preserve">Hydropyridines; Methylpyridines; Carbonyl compounds</t>
  </si>
  <si>
    <t xml:space="preserve">230.98161</t>
  </si>
  <si>
    <t xml:space="preserve">C9H6N4OS2</t>
  </si>
  <si>
    <t xml:space="preserve">1-(5-Phenyl-1,2,4-thiadiazol-3-yl)-3-sulfanylideneurea</t>
  </si>
  <si>
    <t xml:space="preserve">213374</t>
  </si>
  <si>
    <t xml:space="preserve">HMDB0260234</t>
  </si>
  <si>
    <t xml:space="preserve">90864630</t>
  </si>
  <si>
    <t xml:space="preserve">O=C(NC1=NSC(=N1)C1=CC=CC=C1)N=S</t>
  </si>
  <si>
    <t xml:space="preserve">NRHGUSADCJTUOX-UHFFFAOYSA-N</t>
  </si>
  <si>
    <t xml:space="preserve">231.01500</t>
  </si>
  <si>
    <t xml:space="preserve">C12H6N2O2</t>
  </si>
  <si>
    <t xml:space="preserve">1,5-Naphthalene diisocyanate</t>
  </si>
  <si>
    <t xml:space="preserve">199753</t>
  </si>
  <si>
    <t xml:space="preserve">HMDB0244232</t>
  </si>
  <si>
    <t xml:space="preserve">73158</t>
  </si>
  <si>
    <t xml:space="preserve">C19464</t>
  </si>
  <si>
    <t xml:space="preserve">18503</t>
  </si>
  <si>
    <t xml:space="preserve">3173-72-6</t>
  </si>
  <si>
    <t xml:space="preserve">O=C=NC1=CC=CC2=C1C=CC=C2N=C=O</t>
  </si>
  <si>
    <t xml:space="preserve">SBJCUZQNHOLYMD-UHFFFAOYSA-N</t>
  </si>
  <si>
    <t xml:space="preserve">Naphthalenes</t>
  </si>
  <si>
    <t xml:space="preserve">232.04161</t>
  </si>
  <si>
    <t xml:space="preserve">C12H11NO2S</t>
  </si>
  <si>
    <t xml:space="preserve">Brassicanal B</t>
  </si>
  <si>
    <t xml:space="preserve">61961</t>
  </si>
  <si>
    <t xml:space="preserve">HMDB0038592</t>
  </si>
  <si>
    <t xml:space="preserve">93257</t>
  </si>
  <si>
    <t xml:space="preserve">368117</t>
  </si>
  <si>
    <t xml:space="preserve">126654-63-5</t>
  </si>
  <si>
    <t xml:space="preserve">CC1(O)CSC2=C(C=O)C3=CC=CC=C3N12</t>
  </si>
  <si>
    <t xml:space="preserve">ZIEFIDANMCIAOW-UHFFFAOYSA-N</t>
  </si>
  <si>
    <t xml:space="preserve">Indoles and derivatives</t>
  </si>
  <si>
    <t xml:space="preserve">Indoles</t>
  </si>
  <si>
    <t xml:space="preserve">232.89187</t>
  </si>
  <si>
    <t xml:space="preserve">C2H4S5</t>
  </si>
  <si>
    <t xml:space="preserve">Lenthionine</t>
  </si>
  <si>
    <t xml:space="preserve">55853</t>
  </si>
  <si>
    <t xml:space="preserve">HMDB0031258</t>
  </si>
  <si>
    <t xml:space="preserve">66932</t>
  </si>
  <si>
    <t xml:space="preserve">C08382</t>
  </si>
  <si>
    <t xml:space="preserve">6408</t>
  </si>
  <si>
    <t xml:space="preserve">67521</t>
  </si>
  <si>
    <t xml:space="preserve">292-46-6</t>
  </si>
  <si>
    <t xml:space="preserve">C1SSCSSS1</t>
  </si>
  <si>
    <t xml:space="preserve">DZKOKXZNCDGVRY-UHFFFAOYSA-N</t>
  </si>
  <si>
    <t xml:space="preserve">Organic trisulfides</t>
  </si>
  <si>
    <t xml:space="preserve">232.99148</t>
  </si>
  <si>
    <t xml:space="preserve">C6H3F5N2</t>
  </si>
  <si>
    <t xml:space="preserve">Pentafluorophenylhydrazine</t>
  </si>
  <si>
    <t xml:space="preserve">210141</t>
  </si>
  <si>
    <t xml:space="preserve">HMDB0256267</t>
  </si>
  <si>
    <t xml:space="preserve">NNC1=C(F)C(F)=C(F)C(F)=C1F</t>
  </si>
  <si>
    <t xml:space="preserve">BYCUWCJUPSUFBX-UHFFFAOYSA-N</t>
  </si>
  <si>
    <t xml:space="preserve">Phenylhydrazines</t>
  </si>
  <si>
    <t xml:space="preserve">233.96030</t>
  </si>
  <si>
    <t xml:space="preserve">C7H5NO4S</t>
  </si>
  <si>
    <t xml:space="preserve">5-Mercapto-2-nitro-benzoic acid</t>
  </si>
  <si>
    <t xml:space="preserve">200691</t>
  </si>
  <si>
    <t xml:space="preserve">HMDB0245253</t>
  </si>
  <si>
    <t xml:space="preserve">123648</t>
  </si>
  <si>
    <t xml:space="preserve">OC(=O)C1=CC(S)=CC=C1[N+]([O-])=O</t>
  </si>
  <si>
    <t xml:space="preserve">GANZODCWZFAEGN-UHFFFAOYSA-N</t>
  </si>
  <si>
    <t xml:space="preserve">234.95043</t>
  </si>
  <si>
    <t xml:space="preserve">C4H9ClO5S2</t>
  </si>
  <si>
    <t xml:space="preserve">Clomesone</t>
  </si>
  <si>
    <t xml:space="preserve">205143</t>
  </si>
  <si>
    <t xml:space="preserve">HMDB0250349</t>
  </si>
  <si>
    <t xml:space="preserve">100651</t>
  </si>
  <si>
    <t xml:space="preserve">CS(=O)(=O)CS(=O)(=O)OCCCl</t>
  </si>
  <si>
    <t xml:space="preserve">SEHSPJCWCBQHPF-UHFFFAOYSA-N</t>
  </si>
  <si>
    <t xml:space="preserve">235.04567</t>
  </si>
  <si>
    <t xml:space="preserve">C4H6O4</t>
  </si>
  <si>
    <t xml:space="preserve">Methylmalonic acid; Succinic acid</t>
  </si>
  <si>
    <t xml:space="preserve">2921; 2857</t>
  </si>
  <si>
    <t xml:space="preserve">HMDB0000202; HMDB0000254</t>
  </si>
  <si>
    <t xml:space="preserve">3712; 114</t>
  </si>
  <si>
    <t xml:space="preserve">LMFA01170118; LMFA01170043</t>
  </si>
  <si>
    <t xml:space="preserve">C02170; C00042</t>
  </si>
  <si>
    <t xml:space="preserve">30860; 15741</t>
  </si>
  <si>
    <t xml:space="preserve">487; 1110</t>
  </si>
  <si>
    <t xml:space="preserve">516-05-2; 110-15-6</t>
  </si>
  <si>
    <t xml:space="preserve">C(=O)(O)C(C)C(=O)O; C(CCC(=O)O)(=O)O</t>
  </si>
  <si>
    <t xml:space="preserve">ZIYVHBGGAOATLY-UHFFFAOYSA-N; KDYFGRWQOYBRFD-UHFFFAOYSA-N</t>
  </si>
  <si>
    <t xml:space="preserve">Dicarboxylic acids and derivatives; Dicarboxylic acids and derivatives</t>
  </si>
  <si>
    <t xml:space="preserve">235.16727</t>
  </si>
  <si>
    <t xml:space="preserve">C10H24N4</t>
  </si>
  <si>
    <t xml:space="preserve">1,4,8,11-Tetraazacyclotetradecane; 1,4-Bis(3-aminopropyl)piperazine</t>
  </si>
  <si>
    <t xml:space="preserve">199747; 202569</t>
  </si>
  <si>
    <t xml:space="preserve">HMDB0244225; HMDB0247321</t>
  </si>
  <si>
    <t xml:space="preserve">37401; </t>
  </si>
  <si>
    <t xml:space="preserve">; 81629</t>
  </si>
  <si>
    <t xml:space="preserve">C1CNCCNCCCNCCNC1; NCCCN1CCN(CCCN)CC1</t>
  </si>
  <si>
    <t xml:space="preserve">MDAXKAUIABOHTD-UHFFFAOYSA-N; XUSNPFGLKGCWGN-UHFFFAOYSA-N</t>
  </si>
  <si>
    <t xml:space="preserve">Organic nitrogen compounds; Organoheterocyclic compounds</t>
  </si>
  <si>
    <t xml:space="preserve">Organonitrogen compounds; Diazinanes</t>
  </si>
  <si>
    <t xml:space="preserve">Amines; Piperazines</t>
  </si>
  <si>
    <t xml:space="preserve">236.09890</t>
  </si>
  <si>
    <t xml:space="preserve">C9H19N3S</t>
  </si>
  <si>
    <t xml:space="preserve">1-Azidosulfanylnonane</t>
  </si>
  <si>
    <t xml:space="preserve">209331</t>
  </si>
  <si>
    <t xml:space="preserve">HMDB0255333</t>
  </si>
  <si>
    <t xml:space="preserve">57283219</t>
  </si>
  <si>
    <t xml:space="preserve">CCCCCCCCCSN=[N+]=[N-]</t>
  </si>
  <si>
    <t xml:space="preserve">DWSCKFBUVUUMFM-UHFFFAOYSA-N</t>
  </si>
  <si>
    <t xml:space="preserve">Organic salts</t>
  </si>
  <si>
    <t xml:space="preserve">Organic azides</t>
  </si>
  <si>
    <t xml:space="preserve">237.05965</t>
  </si>
  <si>
    <t xml:space="preserve">C11H12OS</t>
  </si>
  <si>
    <t xml:space="preserve">2-(Methylthiomethyl)-3-phenyl-2-propenal</t>
  </si>
  <si>
    <t xml:space="preserve">60800</t>
  </si>
  <si>
    <t xml:space="preserve">HMDB0037166</t>
  </si>
  <si>
    <t xml:space="preserve">92134</t>
  </si>
  <si>
    <t xml:space="preserve">16204499</t>
  </si>
  <si>
    <t xml:space="preserve">65887-08-3</t>
  </si>
  <si>
    <t xml:space="preserve">CSC\C(C=O)=C\C1=CC=CC=C1</t>
  </si>
  <si>
    <t xml:space="preserve">QJDHQEQDIWDMOT-YRNVUSSQSA-N</t>
  </si>
  <si>
    <t xml:space="preserve">Phenylpropanoids and polyketides</t>
  </si>
  <si>
    <t xml:space="preserve">Cinnamaldehydes</t>
  </si>
  <si>
    <t xml:space="preserve">237.08610</t>
  </si>
  <si>
    <t xml:space="preserve">C11H16N2O5</t>
  </si>
  <si>
    <t xml:space="preserve">1-(beta-D-Ribofuranosyl)-1,4-dihydronicotinamide</t>
  </si>
  <si>
    <t xml:space="preserve">51436</t>
  </si>
  <si>
    <t xml:space="preserve">HMDB0011648</t>
  </si>
  <si>
    <t xml:space="preserve">62397</t>
  </si>
  <si>
    <t xml:space="preserve">C15497</t>
  </si>
  <si>
    <t xml:space="preserve">55458</t>
  </si>
  <si>
    <t xml:space="preserve">11507134</t>
  </si>
  <si>
    <t xml:space="preserve">NC(=O)C1=CN(C=CC1)[C@@H]1O[C@H](CO)[C@@H](O)[C@H]1O</t>
  </si>
  <si>
    <t xml:space="preserve">MAKBMGXNXXXBFE-TURQNECASA-N</t>
  </si>
  <si>
    <t xml:space="preserve">238.99040</t>
  </si>
  <si>
    <t xml:space="preserve">C4H8N4O4S2</t>
  </si>
  <si>
    <t xml:space="preserve">Tetramine</t>
  </si>
  <si>
    <t xml:space="preserve">212353</t>
  </si>
  <si>
    <t xml:space="preserve">HMDB0258920</t>
  </si>
  <si>
    <t xml:space="preserve">O=S1(=O)N2CN3CN1CN(C2)S3(=O)=O</t>
  </si>
  <si>
    <t xml:space="preserve">AGGKEGLBGGJEBZ-UHFFFAOYSA-N</t>
  </si>
  <si>
    <t xml:space="preserve">Sulfuric acid diamides</t>
  </si>
  <si>
    <t xml:space="preserve">240.05401</t>
  </si>
  <si>
    <t xml:space="preserve">C10H11NO6</t>
  </si>
  <si>
    <t xml:space="preserve">2,4-Dihydroxy-6,7-dimethoxy-2H-1,4-benzoxazin-3(4H)-one; 2,4-Dihydroxy-7,8-dimethoxy-2H-1,4-benzoxazin-3(4H)-one</t>
  </si>
  <si>
    <t xml:space="preserve">61086; 61087</t>
  </si>
  <si>
    <t xml:space="preserve">HMDB0037548; HMDB0037549</t>
  </si>
  <si>
    <t xml:space="preserve">92405; 92406</t>
  </si>
  <si>
    <t xml:space="preserve">14893473; 11139254</t>
  </si>
  <si>
    <t xml:space="preserve">67467-45-2; 60032-92-0</t>
  </si>
  <si>
    <t xml:space="preserve">COC1=C(OC)C=C2N(O)C(=O)C(O)OC2=C1; COC1=C(OC)C2=C(C=C1)N(O)C(=O)C(O)O2</t>
  </si>
  <si>
    <t xml:space="preserve">VVCAIBZWJDJGJQ-UHFFFAOYSA-N; VBXNJRCPOOQJML-UHFFFAOYSA-N</t>
  </si>
  <si>
    <t xml:space="preserve">Benzoxazines; Benzoxazines</t>
  </si>
  <si>
    <t xml:space="preserve">Benzoxazinones; Benzoxazinones</t>
  </si>
  <si>
    <t xml:space="preserve">241.01227</t>
  </si>
  <si>
    <t xml:space="preserve">C6H11O8P</t>
  </si>
  <si>
    <t xml:space="preserve">Inositol cyclic phosphate</t>
  </si>
  <si>
    <t xml:space="preserve">47407</t>
  </si>
  <si>
    <t xml:space="preserve">HMDB0001125</t>
  </si>
  <si>
    <t xml:space="preserve">6020</t>
  </si>
  <si>
    <t xml:space="preserve">C04299</t>
  </si>
  <si>
    <t xml:space="preserve">18426</t>
  </si>
  <si>
    <t xml:space="preserve">122331</t>
  </si>
  <si>
    <t xml:space="preserve">43119-57-9</t>
  </si>
  <si>
    <t xml:space="preserve">O[C@H]1[C@H]2OP(O)(=O)O[C@H]2[C@H](O)[C@@H](O)[C@@H]1O</t>
  </si>
  <si>
    <t xml:space="preserve">SXHMVNXROAUURW-FTYOSCRSSA-N</t>
  </si>
  <si>
    <t xml:space="preserve">241.03477</t>
  </si>
  <si>
    <t xml:space="preserve">C9H8O5</t>
  </si>
  <si>
    <t xml:space="preserve">4-Hydroxy-benzenepropanedioate; 3-Methoxy-4,5-methylenedioxybenzoic acid</t>
  </si>
  <si>
    <t xml:space="preserve">81847; 55539</t>
  </si>
  <si>
    <t xml:space="preserve">HMDB0059809; HMDB0030800</t>
  </si>
  <si>
    <t xml:space="preserve">; 87205</t>
  </si>
  <si>
    <t xml:space="preserve">89654; </t>
  </si>
  <si>
    <t xml:space="preserve">66886955; 607309</t>
  </si>
  <si>
    <t xml:space="preserve">; 526-34-1</t>
  </si>
  <si>
    <t xml:space="preserve">OC(=O)CC(=O)OC1=CC=C(O)C=C1; COC1=C2OCOC2=CC(=C1)C(O)=O</t>
  </si>
  <si>
    <t xml:space="preserve">LEOVWDSHDAVANJ-UHFFFAOYSA-N; AOHAPDDBNAPPIN-UHFFFAOYSA-N</t>
  </si>
  <si>
    <t xml:space="preserve">Phenol esters; Benzene and substituted derivatives</t>
  </si>
  <si>
    <t xml:space="preserve">Unclassified; Benzoic acids and derivatives</t>
  </si>
  <si>
    <t xml:space="preserve">241.05877</t>
  </si>
  <si>
    <t xml:space="preserve">C6H15N2O6P</t>
  </si>
  <si>
    <t xml:space="preserve">5-phosphonooxy-L-lysine</t>
  </si>
  <si>
    <t xml:space="preserve">81706</t>
  </si>
  <si>
    <t xml:space="preserve">HMDB0059600</t>
  </si>
  <si>
    <t xml:space="preserve">63462</t>
  </si>
  <si>
    <t xml:space="preserve">C03366</t>
  </si>
  <si>
    <t xml:space="preserve">16752</t>
  </si>
  <si>
    <t xml:space="preserve">25163995</t>
  </si>
  <si>
    <t xml:space="preserve">[H][C@](N)(CC[C@]([H])(CN)OP(O)(O)=O)C(O)=O</t>
  </si>
  <si>
    <t xml:space="preserve">WLPXLNNUXMDSPG-UHNVWZDZSA-N</t>
  </si>
  <si>
    <t xml:space="preserve">241.08346</t>
  </si>
  <si>
    <t xml:space="preserve">C10H14N2O5</t>
  </si>
  <si>
    <t xml:space="preserve">Thymidine</t>
  </si>
  <si>
    <t xml:space="preserve">46969</t>
  </si>
  <si>
    <t xml:space="preserve">HMDB0000273</t>
  </si>
  <si>
    <t xml:space="preserve">3375</t>
  </si>
  <si>
    <t xml:space="preserve">C00214</t>
  </si>
  <si>
    <t xml:space="preserve">17748</t>
  </si>
  <si>
    <t xml:space="preserve">5789</t>
  </si>
  <si>
    <t xml:space="preserve">50-89-5</t>
  </si>
  <si>
    <t xml:space="preserve">CC1=CN([C@H]2C[C@H](O)[C@@H](CO)O2)C(=O)NC1=O</t>
  </si>
  <si>
    <t xml:space="preserve">IQFYYKKMVGJFEH-XLPZGREQSA-N</t>
  </si>
  <si>
    <t xml:space="preserve">Nucleosides, nucleotides, and analogues</t>
  </si>
  <si>
    <t xml:space="preserve">Pyrimidine nucleosides</t>
  </si>
  <si>
    <t xml:space="preserve">Pyrimidine 2'-deoxyribonucleosides</t>
  </si>
  <si>
    <t xml:space="preserve">242.01891</t>
  </si>
  <si>
    <t xml:space="preserve">C3H8N3O5P</t>
  </si>
  <si>
    <t xml:space="preserve">Phosphoguanidinoacetate</t>
  </si>
  <si>
    <t xml:space="preserve">48160</t>
  </si>
  <si>
    <t xml:space="preserve">HMDB0003705</t>
  </si>
  <si>
    <t xml:space="preserve">6976</t>
  </si>
  <si>
    <t xml:space="preserve">C03166</t>
  </si>
  <si>
    <t xml:space="preserve">16034</t>
  </si>
  <si>
    <t xml:space="preserve">188984</t>
  </si>
  <si>
    <t xml:space="preserve">5115-19-5</t>
  </si>
  <si>
    <t xml:space="preserve">N\C(NP(O)(O)=O)=N/CC(O)=O</t>
  </si>
  <si>
    <t xml:space="preserve">UUZLOPBEONRDRY-UHFFFAOYSA-N</t>
  </si>
  <si>
    <t xml:space="preserve">242.05134</t>
  </si>
  <si>
    <t xml:space="preserve">C10H15NO5S</t>
  </si>
  <si>
    <t xml:space="preserve">Diethylamino 2,5-dihydroxybenzenesulfonate</t>
  </si>
  <si>
    <t xml:space="preserve">211515</t>
  </si>
  <si>
    <t xml:space="preserve">HMDB0257905</t>
  </si>
  <si>
    <t xml:space="preserve">15548711</t>
  </si>
  <si>
    <t xml:space="preserve">CCN(CC)OS(=O)(=O)C1=C(O)C=CC(O)=C1</t>
  </si>
  <si>
    <t xml:space="preserve">SJXACOOQVUIXRC-UHFFFAOYSA-N</t>
  </si>
  <si>
    <t xml:space="preserve">Benzenesulfonic acids and derivatives</t>
  </si>
  <si>
    <t xml:space="preserve">242.07772</t>
  </si>
  <si>
    <t xml:space="preserve">C9H15N3O6</t>
  </si>
  <si>
    <t xml:space="preserve">Asparaginylglutamic acid; Aspartyl-Glutamine; Aspartyl-Gamma-glutamate</t>
  </si>
  <si>
    <t xml:space="preserve">53769; 53790; 53804</t>
  </si>
  <si>
    <t xml:space="preserve">HMDB0028730; HMDB0028751; HMDB0028767</t>
  </si>
  <si>
    <t xml:space="preserve">23845; ; 85681</t>
  </si>
  <si>
    <t xml:space="preserve">73824; ; </t>
  </si>
  <si>
    <t xml:space="preserve">7019991; 22169419; 131750735</t>
  </si>
  <si>
    <t xml:space="preserve">20917-58-2; ; </t>
  </si>
  <si>
    <t xml:space="preserve">N[C@@H](CC(N)=O)C(=O)N[C@@H](CCC(O)=O)C(O)=O; NC(CC(O)=O)C(=O)NC(CCC(N)=O)C(O)=O; NC(CCC(=O)NC(=O)C(N)CC(O)=O)C(O)=O</t>
  </si>
  <si>
    <t xml:space="preserve">IIFDPDVJAHQFSR-WHFBIAKZSA-N; GSMPSRPMQQDRIB-UHFFFAOYSA-N; BEVYCXGDASRHRK-UHFFFAOYSA-N</t>
  </si>
  <si>
    <t xml:space="preserve">243.03243</t>
  </si>
  <si>
    <t xml:space="preserve">C10H12O5S</t>
  </si>
  <si>
    <t xml:space="preserve">4-phenylbutanic acid-O-sulphate</t>
  </si>
  <si>
    <t xml:space="preserve">82000</t>
  </si>
  <si>
    <t xml:space="preserve">HMDB0059983</t>
  </si>
  <si>
    <t xml:space="preserve">88699</t>
  </si>
  <si>
    <t xml:space="preserve">124202078</t>
  </si>
  <si>
    <t xml:space="preserve">OS(=O)(=O)OC(=O)CCCC1=CC=CC=C1</t>
  </si>
  <si>
    <t xml:space="preserve">QSAHCHSSSJBMMN-UHFFFAOYSA-N</t>
  </si>
  <si>
    <t xml:space="preserve">243.06277</t>
  </si>
  <si>
    <t xml:space="preserve">C8H16O6</t>
  </si>
  <si>
    <t xml:space="preserve">Ethyl beta-D-glucopyranoside</t>
  </si>
  <si>
    <t xml:space="preserve">54832</t>
  </si>
  <si>
    <t xml:space="preserve">HMDB0029968</t>
  </si>
  <si>
    <t xml:space="preserve">121667</t>
  </si>
  <si>
    <t xml:space="preserve">3198-49-0</t>
  </si>
  <si>
    <t xml:space="preserve">CCO[C@@H]1O[C@H](CO)[C@@H](O)[C@H](O)[C@H]1O</t>
  </si>
  <si>
    <t xml:space="preserve">WYUFTYLVLQZQNH-JAJWTYFOSA-N</t>
  </si>
  <si>
    <t xml:space="preserve">244.03231</t>
  </si>
  <si>
    <t xml:space="preserve">C9H6F3N3O2</t>
  </si>
  <si>
    <t xml:space="preserve">1-Cyano-N-[4-(trifluoromethoxy)phenyl]formohydrazide</t>
  </si>
  <si>
    <t xml:space="preserve">211648</t>
  </si>
  <si>
    <t xml:space="preserve">HMDB0258057</t>
  </si>
  <si>
    <t xml:space="preserve">57445226</t>
  </si>
  <si>
    <t xml:space="preserve">NN(C(=O)C#N)C1=CC=C(OC(F)(F)F)C=C1</t>
  </si>
  <si>
    <t xml:space="preserve">WAQUEYKNSGETTO-UHFFFAOYSA-N</t>
  </si>
  <si>
    <t xml:space="preserve">Anilides</t>
  </si>
  <si>
    <t xml:space="preserve">244.06327</t>
  </si>
  <si>
    <t xml:space="preserve">C9H10FNO3</t>
  </si>
  <si>
    <t xml:space="preserve">2-Fluoro-5-hydroxy-L-phenylalanine</t>
  </si>
  <si>
    <t xml:space="preserve">200137</t>
  </si>
  <si>
    <t xml:space="preserve">HMDB0244653</t>
  </si>
  <si>
    <t xml:space="preserve">14211589</t>
  </si>
  <si>
    <t xml:space="preserve">NC(CC1=C(F)C=CC(O)=C1)C(O)=O</t>
  </si>
  <si>
    <t xml:space="preserve">YTYMWTLCTJSNDC-UHFFFAOYSA-N</t>
  </si>
  <si>
    <t xml:space="preserve">244.90473</t>
  </si>
  <si>
    <t xml:space="preserve">CH6O8P2</t>
  </si>
  <si>
    <t xml:space="preserve">Methylene diphosphate</t>
  </si>
  <si>
    <t xml:space="preserve">208722</t>
  </si>
  <si>
    <t xml:space="preserve">HMDB0254634</t>
  </si>
  <si>
    <t xml:space="preserve">10262446</t>
  </si>
  <si>
    <t xml:space="preserve">OP(O)(=O)OCOP(O)(O)=O</t>
  </si>
  <si>
    <t xml:space="preserve">FKKCPZSMQFVXFV-UHFFFAOYSA-N</t>
  </si>
  <si>
    <t xml:space="preserve">247.04934</t>
  </si>
  <si>
    <t xml:space="preserve">C8H13N2O5P</t>
  </si>
  <si>
    <t xml:space="preserve">Pyridoxamine 5'-phosphate</t>
  </si>
  <si>
    <t xml:space="preserve">47651</t>
  </si>
  <si>
    <t xml:space="preserve">HMDB0001555</t>
  </si>
  <si>
    <t xml:space="preserve">236</t>
  </si>
  <si>
    <t xml:space="preserve">C00647</t>
  </si>
  <si>
    <t xml:space="preserve">18335</t>
  </si>
  <si>
    <t xml:space="preserve">1053</t>
  </si>
  <si>
    <t xml:space="preserve">529-96-4</t>
  </si>
  <si>
    <t xml:space="preserve">CC1=NC=C(COP(O)(O)=O)C(CN)=C1O</t>
  </si>
  <si>
    <t xml:space="preserve">ZMJGSOSNSPKHNH-UHFFFAOYSA-N</t>
  </si>
  <si>
    <t xml:space="preserve">Pyridoxamines</t>
  </si>
  <si>
    <t xml:space="preserve">247.98542</t>
  </si>
  <si>
    <t xml:space="preserve">C7H11NO6P2</t>
  </si>
  <si>
    <t xml:space="preserve">Piridronic acid</t>
  </si>
  <si>
    <t xml:space="preserve">210424</t>
  </si>
  <si>
    <t xml:space="preserve">HMDB0256596</t>
  </si>
  <si>
    <t xml:space="preserve">OP(O)(=O)C(CC1=CC=CC=N1)P(O)(O)=O</t>
  </si>
  <si>
    <t xml:space="preserve">NGMZSXZBZNXBGX-UHFFFAOYSA-N</t>
  </si>
  <si>
    <t xml:space="preserve">Bisphosphonates</t>
  </si>
  <si>
    <t xml:space="preserve">248.91784</t>
  </si>
  <si>
    <t xml:space="preserve">C6H4S4</t>
  </si>
  <si>
    <t xml:space="preserve">Tetrathiafulvalene</t>
  </si>
  <si>
    <t xml:space="preserve">212365</t>
  </si>
  <si>
    <t xml:space="preserve">HMDB0258933</t>
  </si>
  <si>
    <t xml:space="preserve">52444</t>
  </si>
  <si>
    <t xml:space="preserve">S1C=CSC1=C1SC=CS1</t>
  </si>
  <si>
    <t xml:space="preserve">FHCPAXDKURNIOZ-UHFFFAOYSA-N</t>
  </si>
  <si>
    <t xml:space="preserve">Dithioles</t>
  </si>
  <si>
    <t xml:space="preserve">1,3-dithioles</t>
  </si>
  <si>
    <t xml:space="preserve">248.98001</t>
  </si>
  <si>
    <t xml:space="preserve">C5H6N6S2</t>
  </si>
  <si>
    <t xml:space="preserve">Bis-A-tda</t>
  </si>
  <si>
    <t xml:space="preserve">204216</t>
  </si>
  <si>
    <t xml:space="preserve">HMDB0249237</t>
  </si>
  <si>
    <t xml:space="preserve">97676</t>
  </si>
  <si>
    <t xml:space="preserve">C(NC1=NN=CS1)NC1=NN=CS1</t>
  </si>
  <si>
    <t xml:space="preserve">WMAHFAYLCMTHCB-UHFFFAOYSA-N</t>
  </si>
  <si>
    <t xml:space="preserve">249.14965</t>
  </si>
  <si>
    <t xml:space="preserve">C15H22O3</t>
  </si>
  <si>
    <t xml:space="preserve">2-cis,4-trans-xanthoxin; Piperdial; Gemfibrozil</t>
  </si>
  <si>
    <t xml:space="preserve">256892; 59635; 53446</t>
  </si>
  <si>
    <t xml:space="preserve">HMDB0304066; HMDB0035798; HMDB0015371</t>
  </si>
  <si>
    <t xml:space="preserve">64102; ; 3023</t>
  </si>
  <si>
    <t xml:space="preserve">C13453; C09711; C07020</t>
  </si>
  <si>
    <t xml:space="preserve">32304; ; 5296</t>
  </si>
  <si>
    <t xml:space="preserve">5282222; 3508640; 3463</t>
  </si>
  <si>
    <t xml:space="preserve">8066-07-7; 100288-36-6; 25812-30-0</t>
  </si>
  <si>
    <t xml:space="preserve">[H]\C(C=O)=C(/C)\C(\[H])=C(/[H])[C@@]12O[C@]1(C)C[C@@]([H])(O)CC2(C)C; CC1C=C(C=O)C(C=O)C(O)C2CC(C)(C)CC12; CC1=CC(OCCCC(C)(C)C(O)=O)=C(C)C=C1</t>
  </si>
  <si>
    <t xml:space="preserve">ZTALKMXOHWQNIA-TVBSHJCBSA-N; XXMVNOYKYOCDTD-UHFFFAOYSA-N; HEMJJKBWTPKOJG-UHFFFAOYSA-N</t>
  </si>
  <si>
    <t xml:space="preserve">Lipids and lipid-like molecules; Organic oxygen compounds; Benzenoids</t>
  </si>
  <si>
    <t xml:space="preserve">Prenol lipids; Organooxygen compounds; Phenol ethers</t>
  </si>
  <si>
    <t xml:space="preserve">Sesquiterpenoids; Alcohols and polyols; Unclassified</t>
  </si>
  <si>
    <t xml:space="preserve">249.18192</t>
  </si>
  <si>
    <t xml:space="preserve">C14H28O2</t>
  </si>
  <si>
    <t xml:space="preserve">FA(14:0); Hexyl octanoate</t>
  </si>
  <si>
    <t xml:space="preserve">61; 7187</t>
  </si>
  <si>
    <t xml:space="preserve">HMDB0000806; HMDB0036216</t>
  </si>
  <si>
    <t xml:space="preserve">196; 97183</t>
  </si>
  <si>
    <t xml:space="preserve">LMFA01010014; LMFA07010448</t>
  </si>
  <si>
    <t xml:space="preserve">C06424; C13798</t>
  </si>
  <si>
    <t xml:space="preserve">28875; 87490</t>
  </si>
  <si>
    <t xml:space="preserve">11005; 14228</t>
  </si>
  <si>
    <t xml:space="preserve">544-63-8; 1117-55-1</t>
  </si>
  <si>
    <t xml:space="preserve">C(CCCC)CCCCCCCCC(=O)O; O=C(CCCCCCC)OCCCCCC</t>
  </si>
  <si>
    <t xml:space="preserve">TUNFSRHWOTWDNC-UHFFFAOYSA-N; PBGWNXWNCSSXCO-UHFFFAOYSA-N</t>
  </si>
  <si>
    <t xml:space="preserve">Fatty acids and conjugates; Fatty acid esters</t>
  </si>
  <si>
    <t xml:space="preserve">250.06183</t>
  </si>
  <si>
    <t xml:space="preserve">C8H14ClN5</t>
  </si>
  <si>
    <t xml:space="preserve">Atrazine</t>
  </si>
  <si>
    <t xml:space="preserve">64874</t>
  </si>
  <si>
    <t xml:space="preserve">HMDB0041830</t>
  </si>
  <si>
    <t xml:space="preserve">44582</t>
  </si>
  <si>
    <t xml:space="preserve">C06551</t>
  </si>
  <si>
    <t xml:space="preserve">15930</t>
  </si>
  <si>
    <t xml:space="preserve">2256</t>
  </si>
  <si>
    <t xml:space="preserve">1912-24-9</t>
  </si>
  <si>
    <t xml:space="preserve">CCNC1=NC(Cl)=NC(NC(C)C)=N1</t>
  </si>
  <si>
    <t xml:space="preserve">MXWJVTOOROXGIU-UHFFFAOYSA-N</t>
  </si>
  <si>
    <t xml:space="preserve">Triazines</t>
  </si>
  <si>
    <t xml:space="preserve">1,3,5-triazines</t>
  </si>
  <si>
    <t xml:space="preserve">250.98383</t>
  </si>
  <si>
    <t xml:space="preserve">C6H6O6S</t>
  </si>
  <si>
    <t xml:space="preserve">Pyrogallol-1-O-sulphate; Pyrogallol-2-O-sulphate; 5-Sulfoxymethylfurfural</t>
  </si>
  <si>
    <t xml:space="preserve">82032; 82034; 81798</t>
  </si>
  <si>
    <t xml:space="preserve">HMDB0060016; HMDB0060018; HMDB0059752</t>
  </si>
  <si>
    <t xml:space="preserve">; ; 435498</t>
  </si>
  <si>
    <t xml:space="preserve">89613; 89615; </t>
  </si>
  <si>
    <t xml:space="preserve">54110629; 92013661; 154718</t>
  </si>
  <si>
    <t xml:space="preserve">OC1=C(O)C(OS(O)(=O)=O)=CC=C1; OC1=CC=CC(O)=C1OS(O)(=O)=O; OS(=O)(=O)OCC1=CC=C(O1)C=O</t>
  </si>
  <si>
    <t xml:space="preserve">NGVLEQPKHLWZLN-UHFFFAOYSA-N; XADBYTWTQXSBAF-UHFFFAOYSA-N; WVMJEBICTINBRO-UHFFFAOYSA-N</t>
  </si>
  <si>
    <t xml:space="preserve">Organic sulfuric acids and derivatives; Organic sulfuric acids and derivatives; Organooxygen compounds</t>
  </si>
  <si>
    <t xml:space="preserve">Arylsulfates; Arylsulfates; Carbonyl compounds</t>
  </si>
  <si>
    <t xml:space="preserve">251.14745</t>
  </si>
  <si>
    <t xml:space="preserve">C12H20N4O2</t>
  </si>
  <si>
    <t xml:space="preserve">Hexazinone</t>
  </si>
  <si>
    <t xml:space="preserve">207530</t>
  </si>
  <si>
    <t xml:space="preserve">HMDB0253153</t>
  </si>
  <si>
    <t xml:space="preserve">68694</t>
  </si>
  <si>
    <t xml:space="preserve">C10926</t>
  </si>
  <si>
    <t xml:space="preserve">39965</t>
  </si>
  <si>
    <t xml:space="preserve">51235-04-2</t>
  </si>
  <si>
    <t xml:space="preserve">CN(C)C1=NC(=O)N(C2CCCCC2)C(=O)N1C</t>
  </si>
  <si>
    <t xml:space="preserve">CAWXEEYDBZRFPE-UHFFFAOYSA-N</t>
  </si>
  <si>
    <t xml:space="preserve">251.20246</t>
  </si>
  <si>
    <t xml:space="preserve">C16H28O2</t>
  </si>
  <si>
    <t xml:space="preserve">7Z,10Z-Hexadecadienoic acid; Geranyl hexanoate; 7-Hexadecynoic acid</t>
  </si>
  <si>
    <t xml:space="preserve">1218; 7366; 981</t>
  </si>
  <si>
    <t xml:space="preserve">HMDB0000477; HMDB0029351; HMDB0247253</t>
  </si>
  <si>
    <t xml:space="preserve">45809; 86212; 35150</t>
  </si>
  <si>
    <t xml:space="preserve">LMFA01030807; LMFA07010627; LMFA01030496</t>
  </si>
  <si>
    <t xml:space="preserve">86147; ; </t>
  </si>
  <si>
    <t xml:space="preserve">13932172; 12571389; 5312633</t>
  </si>
  <si>
    <t xml:space="preserve">28290-73-5; 10032-02-7; </t>
  </si>
  <si>
    <t xml:space="preserve">C(=O)(O)CCCCC/C=C\C/C=C\CCCCC; O=C(CCCCC)OC/C=C(/C)\CC/C=C(\C)/C; C(CCCCCC#CCCCCCCCC)(=O)O</t>
  </si>
  <si>
    <t xml:space="preserve">WPJGPAAPSBVXNU-HZJYTTRNSA-N; ARVSCQUZFFSNKF-QINSGFPZSA-N; XNLVWARRDCVUBL-UHFFFAOYSA-N</t>
  </si>
  <si>
    <t xml:space="preserve">Fatty acids and conjugates; Fatty alcohol esters; Fatty acids and conjugates</t>
  </si>
  <si>
    <t xml:space="preserve">251.96720</t>
  </si>
  <si>
    <t xml:space="preserve">C6H4FN3O3S</t>
  </si>
  <si>
    <t xml:space="preserve">4-(Aminosulfonyl)-7-fluoro-2,1,3-benzoxadiazole</t>
  </si>
  <si>
    <t xml:space="preserve">202847</t>
  </si>
  <si>
    <t xml:space="preserve">HMDB0247643</t>
  </si>
  <si>
    <t xml:space="preserve">122067</t>
  </si>
  <si>
    <t xml:space="preserve">NS(=O)(=O)C1=CC=C(F)C2=NON=C12</t>
  </si>
  <si>
    <t xml:space="preserve">XROXHZMRDABMHS-UHFFFAOYSA-N</t>
  </si>
  <si>
    <t xml:space="preserve">252.95969</t>
  </si>
  <si>
    <t xml:space="preserve">C4H10O6S2</t>
  </si>
  <si>
    <t xml:space="preserve">butane-1,4-disulfonic acid; Ethylene dimethanesulfonate</t>
  </si>
  <si>
    <t xml:space="preserve">204401; 206593</t>
  </si>
  <si>
    <t xml:space="preserve">HMDB0249454; HMDB0252069</t>
  </si>
  <si>
    <t xml:space="preserve">119022; 20796</t>
  </si>
  <si>
    <t xml:space="preserve">OS(=O)(=O)CCCCS(O)(=O)=O; CS(=O)(=O)OCCOS(C)(=O)=O</t>
  </si>
  <si>
    <t xml:space="preserve">VERAMNDAEAQRGS-UHFFFAOYSA-N; QSQFARNGNIZGAW-UHFFFAOYSA-N</t>
  </si>
  <si>
    <t xml:space="preserve">Organic sulfonic acids and derivatives; Organic sulfonic acids and derivatives</t>
  </si>
  <si>
    <t xml:space="preserve">Organosulfonic acids and derivatives; Organosulfonic acids and derivatives</t>
  </si>
  <si>
    <t xml:space="preserve">254.01476</t>
  </si>
  <si>
    <t xml:space="preserve">C12H11Cl2NO</t>
  </si>
  <si>
    <t xml:space="preserve">Propyzamide</t>
  </si>
  <si>
    <t xml:space="preserve">210644</t>
  </si>
  <si>
    <t xml:space="preserve">HMDB0256847</t>
  </si>
  <si>
    <t xml:space="preserve">69973</t>
  </si>
  <si>
    <t xml:space="preserve">C14333</t>
  </si>
  <si>
    <t xml:space="preserve">34935</t>
  </si>
  <si>
    <t xml:space="preserve">32154</t>
  </si>
  <si>
    <t xml:space="preserve">23950-58-5</t>
  </si>
  <si>
    <t xml:space="preserve">CC(C)(NC(=O)C1=CC(Cl)=CC(Cl)=C1)C#C</t>
  </si>
  <si>
    <t xml:space="preserve">PHNUZKMIPFFYSO-UHFFFAOYSA-N</t>
  </si>
  <si>
    <t xml:space="preserve">254.85497</t>
  </si>
  <si>
    <t xml:space="preserve">C3H6S6</t>
  </si>
  <si>
    <t xml:space="preserve">1,2,3,5,6,8-Hexathionane; 1,2,4,5,7,8-Hexathionane</t>
  </si>
  <si>
    <t xml:space="preserve">62907; 62709</t>
  </si>
  <si>
    <t xml:space="preserve">HMDB0039648; HMDB0039432</t>
  </si>
  <si>
    <t xml:space="preserve">94203; 94006</t>
  </si>
  <si>
    <t xml:space="preserve">173681; 173680</t>
  </si>
  <si>
    <t xml:space="preserve">6428768; 580002</t>
  </si>
  <si>
    <t xml:space="preserve">103439-80-1; 81531-38-6</t>
  </si>
  <si>
    <t xml:space="preserve">C1SCSSSCSS1; C1SSCSSCSS1</t>
  </si>
  <si>
    <t xml:space="preserve">ZOJCTXCAPUGEKN-UHFFFAOYSA-N; BWXFNUCDJXXBHX-UHFFFAOYSA-N</t>
  </si>
  <si>
    <t xml:space="preserve">Organic trisulfides; Organic disulfides</t>
  </si>
  <si>
    <t xml:space="preserve">254.99680</t>
  </si>
  <si>
    <t xml:space="preserve">C10H8O6S</t>
  </si>
  <si>
    <t xml:space="preserve">4-Methylumbelliferone sulfate</t>
  </si>
  <si>
    <t xml:space="preserve">197124</t>
  </si>
  <si>
    <t xml:space="preserve">HMDB0240465</t>
  </si>
  <si>
    <t xml:space="preserve">4083</t>
  </si>
  <si>
    <t xml:space="preserve">C11585</t>
  </si>
  <si>
    <t xml:space="preserve">1905</t>
  </si>
  <si>
    <t xml:space="preserve">84843</t>
  </si>
  <si>
    <t xml:space="preserve">25892-63-1</t>
  </si>
  <si>
    <t xml:space="preserve">CC1=CC(=O)OC2=C1C=CC(OS(O)(=O)=O)=C2</t>
  </si>
  <si>
    <t xml:space="preserve">FUYLLJCBCKRIAL-UHFFFAOYSA-N</t>
  </si>
  <si>
    <t xml:space="preserve">Coumarins and derivatives</t>
  </si>
  <si>
    <t xml:space="preserve">255.10365</t>
  </si>
  <si>
    <t xml:space="preserve">C11H19F3OS</t>
  </si>
  <si>
    <t xml:space="preserve">3-Octylthio-1,1,1-trifluoro-2-propanone</t>
  </si>
  <si>
    <t xml:space="preserve">202781</t>
  </si>
  <si>
    <t xml:space="preserve">HMDB0247568</t>
  </si>
  <si>
    <t xml:space="preserve">146089</t>
  </si>
  <si>
    <t xml:space="preserve">CCCCCCCCSCC(=O)C(F)(F)F</t>
  </si>
  <si>
    <t xml:space="preserve">WMQHRXUKAYSPPK-UHFFFAOYSA-N</t>
  </si>
  <si>
    <t xml:space="preserve">256.96019</t>
  </si>
  <si>
    <t xml:space="preserve">C9H3ClF6O</t>
  </si>
  <si>
    <t xml:space="preserve">3,5-Bis(trifluoromethyl)benzoyl chloride</t>
  </si>
  <si>
    <t xml:space="preserve">201420</t>
  </si>
  <si>
    <t xml:space="preserve">HMDB0246047</t>
  </si>
  <si>
    <t xml:space="preserve">101856</t>
  </si>
  <si>
    <t xml:space="preserve">FC(F)(F)C1=CC(=CC(=C1)C(Cl)=O)C(F)(F)F</t>
  </si>
  <si>
    <t xml:space="preserve">WAKMMQSMEDJRRI-UHFFFAOYSA-N</t>
  </si>
  <si>
    <t xml:space="preserve">256.99987</t>
  </si>
  <si>
    <t xml:space="preserve">C9H6F4O2</t>
  </si>
  <si>
    <t xml:space="preserve">4-Fluoro-2-(trifluoromethyl)phenylacetic acid</t>
  </si>
  <si>
    <t xml:space="preserve">200305</t>
  </si>
  <si>
    <t xml:space="preserve">HMDB0244849</t>
  </si>
  <si>
    <t xml:space="preserve">442965</t>
  </si>
  <si>
    <t xml:space="preserve">2737592</t>
  </si>
  <si>
    <t xml:space="preserve">OC(=O)CC1=C(C=C(F)C=C1)C(F)(F)F</t>
  </si>
  <si>
    <t xml:space="preserve">BMUFUJMVNODTAD-UHFFFAOYSA-N</t>
  </si>
  <si>
    <t xml:space="preserve">257.03050</t>
  </si>
  <si>
    <t xml:space="preserve">C10H10O8</t>
  </si>
  <si>
    <t xml:space="preserve">Glucaron</t>
  </si>
  <si>
    <t xml:space="preserve">203077</t>
  </si>
  <si>
    <t xml:space="preserve">HMDB0247896</t>
  </si>
  <si>
    <t xml:space="preserve">1980</t>
  </si>
  <si>
    <t xml:space="preserve">CC(=O)OC1C2OC(=O)C(OC(C)=O)C2OC1=O</t>
  </si>
  <si>
    <t xml:space="preserve">ZOZKYEHVNDEUCO-UHFFFAOYSA-N</t>
  </si>
  <si>
    <t xml:space="preserve">Tetracarboxylic acids and derivatives</t>
  </si>
  <si>
    <t xml:space="preserve">257.07874</t>
  </si>
  <si>
    <t xml:space="preserve">C10H14N2O6</t>
  </si>
  <si>
    <t xml:space="preserve">Imidazoleacetic acid riboside</t>
  </si>
  <si>
    <t xml:space="preserve">47910</t>
  </si>
  <si>
    <t xml:space="preserve">HMDB0002331</t>
  </si>
  <si>
    <t xml:space="preserve">6626</t>
  </si>
  <si>
    <t xml:space="preserve">C05131</t>
  </si>
  <si>
    <t xml:space="preserve">440569</t>
  </si>
  <si>
    <t xml:space="preserve">29605-99-0</t>
  </si>
  <si>
    <t xml:space="preserve">OC[C@H]1O[C@H]([C@H](O)[C@@H]1O)N1C=NC(CC(O)=O)=C1</t>
  </si>
  <si>
    <t xml:space="preserve">AHPWEWASPTZMEK-PEBGCTIMSA-N</t>
  </si>
  <si>
    <t xml:space="preserve">Imidazole ribonucleosides and ribonucleotides</t>
  </si>
  <si>
    <t xml:space="preserve">259.02268</t>
  </si>
  <si>
    <t xml:space="preserve">C8H14O7</t>
  </si>
  <si>
    <t xml:space="preserve">Ethyl glucuronide</t>
  </si>
  <si>
    <t xml:space="preserve">50893</t>
  </si>
  <si>
    <t xml:space="preserve">HMDB0010325</t>
  </si>
  <si>
    <t xml:space="preserve">61648</t>
  </si>
  <si>
    <t xml:space="preserve">87248</t>
  </si>
  <si>
    <t xml:space="preserve">18392195</t>
  </si>
  <si>
    <t xml:space="preserve">17685-04-0</t>
  </si>
  <si>
    <t xml:space="preserve">CCO[C@@H]1O[C@@H]([C@@H](O)[C@H](O)[C@H]1O)C(O)=O</t>
  </si>
  <si>
    <t xml:space="preserve">IWJBVMJWSPZNJH-UQGZVRACSA-N</t>
  </si>
  <si>
    <t xml:space="preserve">260.99413</t>
  </si>
  <si>
    <t xml:space="preserve">C6H11O7P</t>
  </si>
  <si>
    <t xml:space="preserve">2-(Phosphonomethyl)pentanedioic acid</t>
  </si>
  <si>
    <t xml:space="preserve">200406</t>
  </si>
  <si>
    <t xml:space="preserve">HMDB0244955</t>
  </si>
  <si>
    <t xml:space="preserve">10130754</t>
  </si>
  <si>
    <t xml:space="preserve">OC(=O)CCC(CP(O)(O)=O)C(O)=O</t>
  </si>
  <si>
    <t xml:space="preserve">ISEYJGQFXSTPMQ-UHFFFAOYSA-N</t>
  </si>
  <si>
    <t xml:space="preserve">261.03149</t>
  </si>
  <si>
    <t xml:space="preserve">C13H11O4P</t>
  </si>
  <si>
    <t xml:space="preserve">2-Phenoxy-4H-1,3,2-benzodioxaphosphorin 2-oxide</t>
  </si>
  <si>
    <t xml:space="preserve">210305</t>
  </si>
  <si>
    <t xml:space="preserve">HMDB0256447</t>
  </si>
  <si>
    <t xml:space="preserve">O=P1(OC2=CC=CC=C2)OCC2=CC=CC=C2O1</t>
  </si>
  <si>
    <t xml:space="preserve">BXVSAYBZSGIURM-UHFFFAOYSA-N</t>
  </si>
  <si>
    <t xml:space="preserve">261.13273</t>
  </si>
  <si>
    <t xml:space="preserve">C8H18N6O4</t>
  </si>
  <si>
    <t xml:space="preserve">Streptidine</t>
  </si>
  <si>
    <t xml:space="preserve">212003</t>
  </si>
  <si>
    <t xml:space="preserve">HMDB0258506</t>
  </si>
  <si>
    <t xml:space="preserve">201527</t>
  </si>
  <si>
    <t xml:space="preserve">NC(=N)NC1C(O)C(O)C(O)C(NC(N)=N)C1O</t>
  </si>
  <si>
    <t xml:space="preserve">MSXMXWJPFIDEMT-UHFFFAOYSA-N</t>
  </si>
  <si>
    <t xml:space="preserve">Alcohols and polyols</t>
  </si>
  <si>
    <t xml:space="preserve">263.00667</t>
  </si>
  <si>
    <t xml:space="preserve">C10H16S4</t>
  </si>
  <si>
    <t xml:space="preserve">5,8-Dihydro-6-(4-methyl-3-pentenyl)-1,2,3,4-tetrathiocin</t>
  </si>
  <si>
    <t xml:space="preserve">61577</t>
  </si>
  <si>
    <t xml:space="preserve">HMDB0038142</t>
  </si>
  <si>
    <t xml:space="preserve">92883</t>
  </si>
  <si>
    <t xml:space="preserve">166665</t>
  </si>
  <si>
    <t xml:space="preserve">10912402</t>
  </si>
  <si>
    <t xml:space="preserve">82203-03-0</t>
  </si>
  <si>
    <t xml:space="preserve">CC(C)=CCC\C1=C\CSSSSC1</t>
  </si>
  <si>
    <t xml:space="preserve">OKRAIIIRDYCGGZ-POHAHGRESA-N</t>
  </si>
  <si>
    <t xml:space="preserve">265.00239</t>
  </si>
  <si>
    <t xml:space="preserve">C7H8O6S</t>
  </si>
  <si>
    <t xml:space="preserve">Methylpyrogallol sulfate 3; Methylpyrogallol sulfate 1; Methylpyrogallol sulfate 2</t>
  </si>
  <si>
    <t xml:space="preserve">197296; 197299; 197307</t>
  </si>
  <si>
    <t xml:space="preserve">HMDB0240694; HMDB0240699; HMDB0240709</t>
  </si>
  <si>
    <t xml:space="preserve">133548; ; 176448</t>
  </si>
  <si>
    <t xml:space="preserve">122164840; 122397220; 122397221</t>
  </si>
  <si>
    <t xml:space="preserve">COC1=C(O)C=CC=C1OS(O)(=O)=O; COC1=CC=CC(O)=C1OS(O)(=O)=O; COC1=C(O)C(OS(O)(=O)=O)=CC=C1</t>
  </si>
  <si>
    <t xml:space="preserve">ARLAWMCEVZUXEY-UHFFFAOYSA-N; DIWVSUYQBQOOTK-UHFFFAOYSA-N; NTXOJWKIHIOUQN-UHFFFAOYSA-N</t>
  </si>
  <si>
    <t xml:space="preserve">Organic sulfuric acids and derivatives; Organic sulfuric acids and derivatives; Organic sulfuric acids and derivatives</t>
  </si>
  <si>
    <t xml:space="preserve">Arylsulfates; Arylsulfates; Arylsulfates</t>
  </si>
  <si>
    <t xml:space="preserve">265.05849</t>
  </si>
  <si>
    <t xml:space="preserve">C8H15N2O6P</t>
  </si>
  <si>
    <t xml:space="preserve">N(alpha)-Phosphorylalanylproline</t>
  </si>
  <si>
    <t xml:space="preserve">209297</t>
  </si>
  <si>
    <t xml:space="preserve">HMDB0255288</t>
  </si>
  <si>
    <t xml:space="preserve">12800888</t>
  </si>
  <si>
    <t xml:space="preserve">CC(NP(O)(O)=O)C(=O)N1CCCC1C(O)=O</t>
  </si>
  <si>
    <t xml:space="preserve">UGGHNDGDVCUWQX-UHFFFAOYSA-N</t>
  </si>
  <si>
    <t xml:space="preserve">265.21780</t>
  </si>
  <si>
    <t xml:space="preserve">C17H30O2</t>
  </si>
  <si>
    <t xml:space="preserve">Methyl 2E,4Z-hexadecadienoate; cis-Linoleic acid; Ethyl 3,7,11-trimethyldodeca-2,4-dienoate</t>
  </si>
  <si>
    <t xml:space="preserve">55700; 1429; 206561</t>
  </si>
  <si>
    <t xml:space="preserve">HMDB0031050; HMDB0250290; HMDB0252032</t>
  </si>
  <si>
    <t xml:space="preserve">87374; 834138; </t>
  </si>
  <si>
    <t xml:space="preserve">; LMFA01031075; </t>
  </si>
  <si>
    <t xml:space="preserve">172000; ; </t>
  </si>
  <si>
    <t xml:space="preserve">131751123; 54029176; 38759</t>
  </si>
  <si>
    <t xml:space="preserve">54977-89-8; ; </t>
  </si>
  <si>
    <t xml:space="preserve">CCCCCCCCCCC\C=C/C=C/C(=O)OC; C(CCCCCCCC=CCC=CCCCC)(=O)O; CCOC(=O)C=C(C)C=CCC(C)CCCC(C)C</t>
  </si>
  <si>
    <t xml:space="preserve">ACUIYXOOZPHRRA-DHEZTBRESA-N; LEIXEEFBKOMCEQ-UHFFFAOYSA-N; FYQGBXGJFWXIPP-UHFFFAOYSA-N</t>
  </si>
  <si>
    <t xml:space="preserve">Fatty Acyls; Fatty Acyls; Prenol lipids</t>
  </si>
  <si>
    <t xml:space="preserve">Fatty acid esters; Fatty acids and conjugates; Sesquiterpenoids</t>
  </si>
  <si>
    <t xml:space="preserve">265.99158</t>
  </si>
  <si>
    <t xml:space="preserve">C9H6ClN5OS</t>
  </si>
  <si>
    <t xml:space="preserve">5-Chloro-4-(2-imidazolin-4-on-2-ylamino)-2,1,3-benzothiazdiazole</t>
  </si>
  <si>
    <t xml:space="preserve">82811</t>
  </si>
  <si>
    <t xml:space="preserve">HMDB0060964</t>
  </si>
  <si>
    <t xml:space="preserve">125355057</t>
  </si>
  <si>
    <t xml:space="preserve">125292-32-2</t>
  </si>
  <si>
    <t xml:space="preserve">ClC1=C(NC2=NC(=O)CN2)C2=NSN=C2C=C1</t>
  </si>
  <si>
    <t xml:space="preserve">UAPHNYZODWBPMU-UHFFFAOYSA-N</t>
  </si>
  <si>
    <t xml:space="preserve">Benzothiadiazoles</t>
  </si>
  <si>
    <t xml:space="preserve">266.08920</t>
  </si>
  <si>
    <t xml:space="preserve">C10H13N5O4</t>
  </si>
  <si>
    <t xml:space="preserve">Adenosine; Deoxyguanosine; Vidarabine</t>
  </si>
  <si>
    <t xml:space="preserve">46843; 46862; 52599</t>
  </si>
  <si>
    <t xml:space="preserve">HMDB0000050; HMDB0000085; HMDB0014340</t>
  </si>
  <si>
    <t xml:space="preserve">86; 3395; 3020</t>
  </si>
  <si>
    <t xml:space="preserve">C00212; C00330; C07195</t>
  </si>
  <si>
    <t xml:space="preserve">16335; 17172; 45327</t>
  </si>
  <si>
    <t xml:space="preserve">60961; 187790; 21704</t>
  </si>
  <si>
    <t xml:space="preserve">58-61-7; 961-07-9; 5536-17-4</t>
  </si>
  <si>
    <t xml:space="preserve">NC1=C2N=CN([C@@H]3O[C@H](CO)[C@@H](O)[C@H]3O)C2=NC=N1; NC1=NC2=C(N=CN2[C@H]2C[C@H](O)[C@@H](CO)O2)C(=O)N1; NC1=NC=NC2=C1N=CN2[C@@H]1O[C@H](CO)[C@@H](O)[C@@H]1O</t>
  </si>
  <si>
    <t xml:space="preserve">OIRDTQYFTABQOQ-KQYNXXCUSA-N; YKBGVTZYEHREMT-KVQBGUIXSA-N; OIRDTQYFTABQOQ-UHTZMRCNSA-N</t>
  </si>
  <si>
    <t xml:space="preserve">Nucleosides, nucleotides, and analogues; Nucleosides, nucleotides, and analogues; Nucleosides, nucleotides, and analogues</t>
  </si>
  <si>
    <t xml:space="preserve">Purine nucleosides; Purine nucleosides; Purine nucleosides</t>
  </si>
  <si>
    <t xml:space="preserve">Unclassified; Purine 2'-deoxyribonucleosides; Unclassified</t>
  </si>
  <si>
    <t xml:space="preserve">266.14665</t>
  </si>
  <si>
    <t xml:space="preserve">C11H23N3O3</t>
  </si>
  <si>
    <t xml:space="preserve">Lysylvaline; Valyllysine</t>
  </si>
  <si>
    <t xml:space="preserve">53985; 54143</t>
  </si>
  <si>
    <t xml:space="preserve">HMDB0028964; HMDB0029132</t>
  </si>
  <si>
    <t xml:space="preserve">23853; 455651</t>
  </si>
  <si>
    <t xml:space="preserve">73607; 75014</t>
  </si>
  <si>
    <t xml:space="preserve">6992341; 168058</t>
  </si>
  <si>
    <t xml:space="preserve">20556-11-0; 22677-62-9</t>
  </si>
  <si>
    <t xml:space="preserve">CC(C)[C@H](NC(=O)[C@@H](N)CCCCN)C(O)=O; CC(C)[C@H](N)C(=O)N[C@@H](CCCCN)C(O)=O</t>
  </si>
  <si>
    <t xml:space="preserve">YQAIUOWPSUOINN-IUCAKERBSA-N; JKHXYJKMNSSFFL-IUCAKERBSA-N</t>
  </si>
  <si>
    <t xml:space="preserve">266.97434</t>
  </si>
  <si>
    <t xml:space="preserve">C9H10O5S</t>
  </si>
  <si>
    <t xml:space="preserve">3-Phenylpropionic acid sulfate; 4-Allylpyrocatechol sulfate</t>
  </si>
  <si>
    <t xml:space="preserve">197074; 257674</t>
  </si>
  <si>
    <t xml:space="preserve">HMDB0240372; HMDB0304934</t>
  </si>
  <si>
    <t xml:space="preserve">149433375; 155342006</t>
  </si>
  <si>
    <t xml:space="preserve">2177304-64-0; </t>
  </si>
  <si>
    <t xml:space="preserve">OS(=O)(=O)OC(=O)CCC1=CC=CC=C1; OC1=C(OS(O)(=O)=O)C=CC(CC=C)=C1</t>
  </si>
  <si>
    <t xml:space="preserve">LRJRUWWLXQZANS-UHFFFAOYSA-N; USWXDXYEVISELK-UHFFFAOYSA-N</t>
  </si>
  <si>
    <t xml:space="preserve">Benzene and substituted derivatives; Organic sulfuric acids and derivatives</t>
  </si>
  <si>
    <t xml:space="preserve">Unclassified; Arylsulfates</t>
  </si>
  <si>
    <t xml:space="preserve">267.19667</t>
  </si>
  <si>
    <t xml:space="preserve">C16H30O4</t>
  </si>
  <si>
    <t xml:space="preserve">Hexadecanedioic acid</t>
  </si>
  <si>
    <t xml:space="preserve">2837</t>
  </si>
  <si>
    <t xml:space="preserve">HMDB0000672</t>
  </si>
  <si>
    <t xml:space="preserve">5642</t>
  </si>
  <si>
    <t xml:space="preserve">LMFA01170022</t>
  </si>
  <si>
    <t xml:space="preserve">C08260</t>
  </si>
  <si>
    <t xml:space="preserve">73722</t>
  </si>
  <si>
    <t xml:space="preserve">10459</t>
  </si>
  <si>
    <t xml:space="preserve">505-54-4</t>
  </si>
  <si>
    <t xml:space="preserve">C(CCCCCCCCCCCCCCC(=O)O)(=O)O</t>
  </si>
  <si>
    <t xml:space="preserve">QQHJDPROMQRDLA-UHFFFAOYSA-N</t>
  </si>
  <si>
    <t xml:space="preserve">267.97603</t>
  </si>
  <si>
    <t xml:space="preserve">C7H9N3O4S</t>
  </si>
  <si>
    <t xml:space="preserve">Methaniazide</t>
  </si>
  <si>
    <t xml:space="preserve">208629</t>
  </si>
  <si>
    <t xml:space="preserve">HMDB0254522</t>
  </si>
  <si>
    <t xml:space="preserve">320361</t>
  </si>
  <si>
    <t xml:space="preserve">3769</t>
  </si>
  <si>
    <t xml:space="preserve">OS(=O)(=O)CNNC(=O)C1=CC=NC=C1</t>
  </si>
  <si>
    <t xml:space="preserve">GQZQCROBCYNTMU-UHFFFAOYSA-N</t>
  </si>
  <si>
    <t xml:space="preserve">268.94991</t>
  </si>
  <si>
    <t xml:space="preserve">C12H8OS2</t>
  </si>
  <si>
    <t xml:space="preserve">Arctinal</t>
  </si>
  <si>
    <t xml:space="preserve">255270</t>
  </si>
  <si>
    <t xml:space="preserve">HMDB0302302</t>
  </si>
  <si>
    <t xml:space="preserve">CC#CC1=CC=C(S1)C1=CC=C(S1)C=O</t>
  </si>
  <si>
    <t xml:space="preserve">ZEAXBOPUTILUGH-UHFFFAOYSA-N</t>
  </si>
  <si>
    <t xml:space="preserve">Bi- and oligothiophenes</t>
  </si>
  <si>
    <t xml:space="preserve">269.01210</t>
  </si>
  <si>
    <t xml:space="preserve">C10H8O4S</t>
  </si>
  <si>
    <t xml:space="preserve">2-Naphthol sulfate; 1-Naphthyl sulfate</t>
  </si>
  <si>
    <t xml:space="preserve">198647; 199496</t>
  </si>
  <si>
    <t xml:space="preserve">HMDB0242152; HMDB0243963</t>
  </si>
  <si>
    <t xml:space="preserve">167215; </t>
  </si>
  <si>
    <t xml:space="preserve">74428; 114775</t>
  </si>
  <si>
    <t xml:space="preserve">OS(=O)(=O)OC1=CC2=CC=CC=C2C=C1; OS(=O)(=O)OC1=CC=CC2=CC=CC=C12</t>
  </si>
  <si>
    <t xml:space="preserve">HXEZIDSFDHEIIQ-UHFFFAOYSA-N; FVMQKVNBLZGWAH-UHFFFAOYSA-N</t>
  </si>
  <si>
    <t xml:space="preserve">269.08431</t>
  </si>
  <si>
    <t xml:space="preserve">C16H17ClN2O</t>
  </si>
  <si>
    <t xml:space="preserve">Tetrazepam</t>
  </si>
  <si>
    <t xml:space="preserve">65004</t>
  </si>
  <si>
    <t xml:space="preserve">HMDB0042029</t>
  </si>
  <si>
    <t xml:space="preserve">96211</t>
  </si>
  <si>
    <t xml:space="preserve">25215</t>
  </si>
  <si>
    <t xml:space="preserve">10379-14-3</t>
  </si>
  <si>
    <t xml:space="preserve">CN1C2=C(C=C(Cl)C=C2)C(=NCC1=O)C1=CCCCC1</t>
  </si>
  <si>
    <t xml:space="preserve">IQWYAQCHYZHJOS-UHFFFAOYSA-N</t>
  </si>
  <si>
    <t xml:space="preserve">Benzodiazepines</t>
  </si>
  <si>
    <t xml:space="preserve">1,4-benzodiazepines</t>
  </si>
  <si>
    <t xml:space="preserve">270.98121</t>
  </si>
  <si>
    <t xml:space="preserve">C5H7ClN2O4S</t>
  </si>
  <si>
    <t xml:space="preserve">3-(Methylsulfonyl)-2-oxoimidazolidine-1-carbonyl chloride</t>
  </si>
  <si>
    <t xml:space="preserve">201989</t>
  </si>
  <si>
    <t xml:space="preserve">HMDB0246658</t>
  </si>
  <si>
    <t xml:space="preserve">CS(=O)(=O)N1CCN(C(Cl)=O)C1=O</t>
  </si>
  <si>
    <t xml:space="preserve">ZWTPALHHEULAPI-UHFFFAOYSA-N</t>
  </si>
  <si>
    <t xml:space="preserve">Sulfonylureas</t>
  </si>
  <si>
    <t xml:space="preserve">271.07948</t>
  </si>
  <si>
    <t xml:space="preserve">C15H14S</t>
  </si>
  <si>
    <t xml:space="preserve">2-Phenyl-3,4-dihydro-2H-thiochromene</t>
  </si>
  <si>
    <t xml:space="preserve">200726</t>
  </si>
  <si>
    <t xml:space="preserve">HMDB0245290</t>
  </si>
  <si>
    <t xml:space="preserve">22251</t>
  </si>
  <si>
    <t xml:space="preserve">C1CC2=CC=CC=C2SC1C1=CC=CC=C1</t>
  </si>
  <si>
    <t xml:space="preserve">NRYGFMAOIPXXBW-UHFFFAOYSA-N</t>
  </si>
  <si>
    <t xml:space="preserve">Thiochromanes</t>
  </si>
  <si>
    <t xml:space="preserve">Thioflavans</t>
  </si>
  <si>
    <t xml:space="preserve">271.10229</t>
  </si>
  <si>
    <t xml:space="preserve">C12H18O2S</t>
  </si>
  <si>
    <t xml:space="preserve">3-[(2-Methyl-3-furanyl)thio]-4-heptanone</t>
  </si>
  <si>
    <t xml:space="preserve">60793</t>
  </si>
  <si>
    <t xml:space="preserve">HMDB0037158</t>
  </si>
  <si>
    <t xml:space="preserve">92126</t>
  </si>
  <si>
    <t xml:space="preserve">43598</t>
  </si>
  <si>
    <t xml:space="preserve">61295-41-8</t>
  </si>
  <si>
    <t xml:space="preserve">CCCC(=O)C(CC)SC1=C(C)OC=C1</t>
  </si>
  <si>
    <t xml:space="preserve">GFRRQSASJZMMJC-UHFFFAOYSA-N</t>
  </si>
  <si>
    <t xml:space="preserve">Thioethers</t>
  </si>
  <si>
    <t xml:space="preserve">Aryl thioethers</t>
  </si>
  <si>
    <t xml:space="preserve">272.09154</t>
  </si>
  <si>
    <t xml:space="preserve">C10H15N5O2</t>
  </si>
  <si>
    <t xml:space="preserve">6-Deoxypenciclovir</t>
  </si>
  <si>
    <t xml:space="preserve">202332</t>
  </si>
  <si>
    <t xml:space="preserve">HMDB0247053</t>
  </si>
  <si>
    <t xml:space="preserve">128517</t>
  </si>
  <si>
    <t xml:space="preserve">NC1=NC=C2N=CN(CCC(CO)CO)C2=N1</t>
  </si>
  <si>
    <t xml:space="preserve">WJOWACPJSFGNRM-UHFFFAOYSA-N</t>
  </si>
  <si>
    <t xml:space="preserve">273.00925</t>
  </si>
  <si>
    <t xml:space="preserve">C11H9FN2O3</t>
  </si>
  <si>
    <t xml:space="preserve">Sorbinil</t>
  </si>
  <si>
    <t xml:space="preserve">211918</t>
  </si>
  <si>
    <t xml:space="preserve">HMDB0258388</t>
  </si>
  <si>
    <t xml:space="preserve">5252</t>
  </si>
  <si>
    <t xml:space="preserve">FC1=CC2=C(OCCC22NC(=O)NC2=O)C=C1</t>
  </si>
  <si>
    <t xml:space="preserve">LXANPKRCLVQAOG-UHFFFAOYSA-N</t>
  </si>
  <si>
    <t xml:space="preserve">Azolidines</t>
  </si>
  <si>
    <t xml:space="preserve">Imidazolidines</t>
  </si>
  <si>
    <t xml:space="preserve">273.04636</t>
  </si>
  <si>
    <t xml:space="preserve">C8H18O6S2</t>
  </si>
  <si>
    <t xml:space="preserve">Dimethylmyleran; 1,6-Hexanediol, dimethanesulfonate</t>
  </si>
  <si>
    <t xml:space="preserve">206027; 207529</t>
  </si>
  <si>
    <t xml:space="preserve">HMDB0251403; HMDB0253151</t>
  </si>
  <si>
    <t xml:space="preserve">67107; </t>
  </si>
  <si>
    <t xml:space="preserve">5937; 145735</t>
  </si>
  <si>
    <t xml:space="preserve">CC(CCC(C)OS(C)(=O)=O)OS(C)(=O)=O; CS(=O)(=O)OCCCCCCOS(C)(=O)=O</t>
  </si>
  <si>
    <t xml:space="preserve">JDZNTUQRMDAIRO-UHFFFAOYSA-N; WZOJEWBBWCYINS-UHFFFAOYSA-N</t>
  </si>
  <si>
    <t xml:space="preserve">274.10395</t>
  </si>
  <si>
    <t xml:space="preserve">C10H17N3O6</t>
  </si>
  <si>
    <t xml:space="preserve">N2-gamma-Glutamylglutamine</t>
  </si>
  <si>
    <t xml:space="preserve">51507</t>
  </si>
  <si>
    <t xml:space="preserve">HMDB0011738</t>
  </si>
  <si>
    <t xml:space="preserve">62461</t>
  </si>
  <si>
    <t xml:space="preserve">C05283</t>
  </si>
  <si>
    <t xml:space="preserve">73707</t>
  </si>
  <si>
    <t xml:space="preserve">150914</t>
  </si>
  <si>
    <t xml:space="preserve">10148-81-9</t>
  </si>
  <si>
    <t xml:space="preserve">N[C@@H](CCC(=O)N[C@@H](CCC(N)=O)C(O)=O)C(O)=O</t>
  </si>
  <si>
    <t xml:space="preserve">JBFYFLXEJFQWMU-WDSKDSINSA-N</t>
  </si>
  <si>
    <t xml:space="preserve">274.94592</t>
  </si>
  <si>
    <t xml:space="preserve">C6H8O6S2</t>
  </si>
  <si>
    <t xml:space="preserve">Sulfanegen</t>
  </si>
  <si>
    <t xml:space="preserve">212067</t>
  </si>
  <si>
    <t xml:space="preserve">HMDB0258580</t>
  </si>
  <si>
    <t xml:space="preserve">138170</t>
  </si>
  <si>
    <t xml:space="preserve">24830990</t>
  </si>
  <si>
    <t xml:space="preserve">OC(=O)C1(O)CSC(O)(CS1)C(O)=O</t>
  </si>
  <si>
    <t xml:space="preserve">GYZMXMSJOZUNEQ-UHFFFAOYSA-N</t>
  </si>
  <si>
    <t xml:space="preserve">Dithianes</t>
  </si>
  <si>
    <t xml:space="preserve">275.04506</t>
  </si>
  <si>
    <t xml:space="preserve">C10H12N2O5</t>
  </si>
  <si>
    <t xml:space="preserve">(±)-2-(1-Methylpropyl)-4,6-dinitrophenol</t>
  </si>
  <si>
    <t xml:space="preserve">56851</t>
  </si>
  <si>
    <t xml:space="preserve">HMDB0032559</t>
  </si>
  <si>
    <t xml:space="preserve">69953</t>
  </si>
  <si>
    <t xml:space="preserve">C14302</t>
  </si>
  <si>
    <t xml:space="preserve">83632</t>
  </si>
  <si>
    <t xml:space="preserve">6950</t>
  </si>
  <si>
    <t xml:space="preserve">88-85-7</t>
  </si>
  <si>
    <t xml:space="preserve">CCC(C)C1=C(O)C(=CC(=C1)N(=O)=O)N(=O)=O</t>
  </si>
  <si>
    <t xml:space="preserve">OWZPCEFYPSAJFR-UHFFFAOYSA-N</t>
  </si>
  <si>
    <t xml:space="preserve">Nitrophenols</t>
  </si>
  <si>
    <t xml:space="preserve">277.03566</t>
  </si>
  <si>
    <t xml:space="preserve">C12H8O5</t>
  </si>
  <si>
    <t xml:space="preserve">4-Hydroxy-8-methoxy-2H-furo[2,3-h]-1-benzopyran-2-one; 9-Hydroxy-4-methoxypsoralen</t>
  </si>
  <si>
    <t xml:space="preserve">56943; 60313</t>
  </si>
  <si>
    <t xml:space="preserve">HMDB0032659; HMDB0036628</t>
  </si>
  <si>
    <t xml:space="preserve">88600; 91681</t>
  </si>
  <si>
    <t xml:space="preserve">174185; </t>
  </si>
  <si>
    <t xml:space="preserve">85748760; 3083726</t>
  </si>
  <si>
    <t xml:space="preserve">196503-96-5; 1603-47-0</t>
  </si>
  <si>
    <t xml:space="preserve">COC1=CC2=C(O1)C=CC1=C2OC(=O)C=C1O; COC1=C2C=CC(=O)OC2=C(O)C2=C1C=CO2</t>
  </si>
  <si>
    <t xml:space="preserve">CJAULYJMFDTPBE-UHFFFAOYSA-N; MVJHUMZXIJPVHV-UHFFFAOYSA-N</t>
  </si>
  <si>
    <t xml:space="preserve">Phenylpropanoids and polyketides; Phenylpropanoids and polyketides</t>
  </si>
  <si>
    <t xml:space="preserve">Coumarins and derivatives; Coumarins and derivatives</t>
  </si>
  <si>
    <t xml:space="preserve">Furanocoumarins; Furanocoumarins</t>
  </si>
  <si>
    <t xml:space="preserve">277.18191</t>
  </si>
  <si>
    <t xml:space="preserve">C14H28NO2</t>
  </si>
  <si>
    <t xml:space="preserve">5-Doxyl</t>
  </si>
  <si>
    <t xml:space="preserve">202103</t>
  </si>
  <si>
    <t xml:space="preserve">HMDB0246783</t>
  </si>
  <si>
    <t xml:space="preserve">71310021</t>
  </si>
  <si>
    <t xml:space="preserve">CCCCCC1(CCCC)OCC(C)(C)N1[O]</t>
  </si>
  <si>
    <t xml:space="preserve">RESAASZTYZUQHZ-UHFFFAOYSA-N</t>
  </si>
  <si>
    <t xml:space="preserve">Oxazolidines</t>
  </si>
  <si>
    <t xml:space="preserve">277.21700</t>
  </si>
  <si>
    <t xml:space="preserve">C16H32O2</t>
  </si>
  <si>
    <t xml:space="preserve">FA(16:0)</t>
  </si>
  <si>
    <t xml:space="preserve">48</t>
  </si>
  <si>
    <t xml:space="preserve">HMDB0000220</t>
  </si>
  <si>
    <t xml:space="preserve">187</t>
  </si>
  <si>
    <t xml:space="preserve">LMFA01010001</t>
  </si>
  <si>
    <t xml:space="preserve">C00249</t>
  </si>
  <si>
    <t xml:space="preserve">15756</t>
  </si>
  <si>
    <t xml:space="preserve">985</t>
  </si>
  <si>
    <t xml:space="preserve">57-10-3</t>
  </si>
  <si>
    <t xml:space="preserve">OC(CCCCCCCCCCCCCCC)=O</t>
  </si>
  <si>
    <t xml:space="preserve">IPCSVZSSVZVIGE-UHFFFAOYSA-N</t>
  </si>
  <si>
    <t xml:space="preserve">279.04011</t>
  </si>
  <si>
    <t xml:space="preserve">C10H14N2O4S</t>
  </si>
  <si>
    <t xml:space="preserve">4'-Thiothymidine</t>
  </si>
  <si>
    <t xml:space="preserve">201969</t>
  </si>
  <si>
    <t xml:space="preserve">HMDB0246637</t>
  </si>
  <si>
    <t xml:space="preserve">22316427</t>
  </si>
  <si>
    <t xml:space="preserve">CC1=CN(C2CC(O)C(CO)S2)C(=O)NC1=O</t>
  </si>
  <si>
    <t xml:space="preserve">IVUDHNYLTWOARV-UHFFFAOYSA-N</t>
  </si>
  <si>
    <t xml:space="preserve">Nucleoside and nucleotide analogues</t>
  </si>
  <si>
    <t xml:space="preserve">Thionucleosides</t>
  </si>
  <si>
    <t xml:space="preserve">279.23337</t>
  </si>
  <si>
    <t xml:space="preserve">C17H30</t>
  </si>
  <si>
    <t xml:space="preserve">(Z,Z)-1,8,11-Heptadecatriene; (5Z,8Z)-1,5,8-Heptadecatriene</t>
  </si>
  <si>
    <t xml:space="preserve">255433; 64190</t>
  </si>
  <si>
    <t xml:space="preserve">HMDB0302479; HMDB0041082</t>
  </si>
  <si>
    <t xml:space="preserve">; 95515</t>
  </si>
  <si>
    <t xml:space="preserve">5352709; 101631554</t>
  </si>
  <si>
    <t xml:space="preserve">; 145297-96-7</t>
  </si>
  <si>
    <t xml:space="preserve">CCCCC\C=C/C\C=C/CCCCCC=C; CCCCCCCC\C=C\C\C=C\CCC=C</t>
  </si>
  <si>
    <t xml:space="preserve">XFZBIINLEPBMDY-NERFDCTISA-N; MYHCPULNJBZGRM-HFPDKQRBSA-N</t>
  </si>
  <si>
    <t xml:space="preserve">Hydrocarbons; Hydrocarbons</t>
  </si>
  <si>
    <t xml:space="preserve">Unsaturated hydrocarbons; Unsaturated hydrocarbons</t>
  </si>
  <si>
    <t xml:space="preserve">Olefins; Olefins</t>
  </si>
  <si>
    <t xml:space="preserve">280.98883</t>
  </si>
  <si>
    <t xml:space="preserve">C9H10O6S</t>
  </si>
  <si>
    <t xml:space="preserve">3-[3-(Sulfooxy)phenyl]propanoic acid; Ethylparaben sufate; 3-[4-(sulfooxy)phenyl]propanoic acid</t>
  </si>
  <si>
    <t xml:space="preserve">115462; 197304; 144383</t>
  </si>
  <si>
    <t xml:space="preserve">HMDB0094710; HMDB0240706; HMDB0125171</t>
  </si>
  <si>
    <t xml:space="preserve">64414; 133704; </t>
  </si>
  <si>
    <t xml:space="preserve">187488; 22908099; 49844036</t>
  </si>
  <si>
    <t xml:space="preserve">OC(=O)CCC1=CC(OS(O)(=O)=O)=CC=C1; CCOC(=O)C1=CC=C(OS(O)(=O)=O)C=C1; OC(=O)CCC1=CC=C(OS(O)(=O)=O)C=C1</t>
  </si>
  <si>
    <t xml:space="preserve">IQWLPDPKVFZEOK-UHFFFAOYSA-N; LJXYMXIWXRFOHR-UHFFFAOYSA-N; YKAVCSNFDHAGEG-UHFFFAOYSA-N</t>
  </si>
  <si>
    <t xml:space="preserve">281.08697</t>
  </si>
  <si>
    <t xml:space="preserve">C10H18O9</t>
  </si>
  <si>
    <t xml:space="preserve">Xylobiose</t>
  </si>
  <si>
    <t xml:space="preserve">54768</t>
  </si>
  <si>
    <t xml:space="preserve">HMDB0029894</t>
  </si>
  <si>
    <t xml:space="preserve">C01630</t>
  </si>
  <si>
    <t xml:space="preserve">131750922</t>
  </si>
  <si>
    <t xml:space="preserve">6860-47-5</t>
  </si>
  <si>
    <t xml:space="preserve">O[C@@H]1CO[C@@H](O[C@H]2COC(O)[C@H](O)[C@H]2O)[C@H](O)[C@H]1O</t>
  </si>
  <si>
    <t xml:space="preserve">LGQKSQQRKHFMLI-BIDIDBDVSA-N</t>
  </si>
  <si>
    <t xml:space="preserve">281.24633</t>
  </si>
  <si>
    <t xml:space="preserve">C18H34O2</t>
  </si>
  <si>
    <t xml:space="preserve">FA(18:1); cis-Vaccenic acid; Elaidic acid</t>
  </si>
  <si>
    <t xml:space="preserve">512; 584; 581</t>
  </si>
  <si>
    <t xml:space="preserve">HMDB0000207; HMDB0240219; HMDB0000573</t>
  </si>
  <si>
    <t xml:space="preserve">190; 3552; 3406</t>
  </si>
  <si>
    <t xml:space="preserve">LMFA01030002; LMFA01030076; LMFA01030073</t>
  </si>
  <si>
    <t xml:space="preserve">C00712; C08367; C01712</t>
  </si>
  <si>
    <t xml:space="preserve">16196; 50464; 27997</t>
  </si>
  <si>
    <t xml:space="preserve">445639; 5282761; 637517</t>
  </si>
  <si>
    <t xml:space="preserve">112-80-1; 506-17-2; 112-79-8</t>
  </si>
  <si>
    <t xml:space="preserve">OC(=O)CCCCCCC/C=C\CCCCCCCC; C(CCC/C=C\CCCCCC)CCCCCC(=O)O; C(/CCCCCCCC)=C\CCCCCCCC(=O)O</t>
  </si>
  <si>
    <t xml:space="preserve">ZQPPMHVWECSIRJ-KTKRTIGZSA-N; UWHZIFQPPBDJPM-FPLPWBNLSA-N; ZQPPMHVWECSIRJ-MDZDMXLPSA-N</t>
  </si>
  <si>
    <t xml:space="preserve">281.97236</t>
  </si>
  <si>
    <t xml:space="preserve">C12H7Cl2NO3</t>
  </si>
  <si>
    <t xml:space="preserve">Nitrofen</t>
  </si>
  <si>
    <t xml:space="preserve">64961</t>
  </si>
  <si>
    <t xml:space="preserve">HMDB0041951</t>
  </si>
  <si>
    <t xml:space="preserve">68808</t>
  </si>
  <si>
    <t xml:space="preserve">C11065</t>
  </si>
  <si>
    <t xml:space="preserve">15787</t>
  </si>
  <si>
    <t xml:space="preserve">1836-75-5</t>
  </si>
  <si>
    <t xml:space="preserve">ClC1=CC(Cl)=C(OC2=CC=C(C=C2)N(=O)=O)C=C1</t>
  </si>
  <si>
    <t xml:space="preserve">XITQUSLLOSKDTB-UHFFFAOYSA-N</t>
  </si>
  <si>
    <t xml:space="preserve">Diphenylethers</t>
  </si>
  <si>
    <t xml:space="preserve">282.02519</t>
  </si>
  <si>
    <t xml:space="preserve">C11H15Cl2NO</t>
  </si>
  <si>
    <t xml:space="preserve">Dichloroisoproterenol</t>
  </si>
  <si>
    <t xml:space="preserve">205847</t>
  </si>
  <si>
    <t xml:space="preserve">HMDB0251197</t>
  </si>
  <si>
    <t xml:space="preserve">5806</t>
  </si>
  <si>
    <t xml:space="preserve">CC(C)NCC(O)C1=CC=C(Cl)C(Cl)=C1</t>
  </si>
  <si>
    <t xml:space="preserve">VKMGSWIFEHZQRS-UHFFFAOYSA-N</t>
  </si>
  <si>
    <t xml:space="preserve">282.08166</t>
  </si>
  <si>
    <t xml:space="preserve">C10H13N5O5</t>
  </si>
  <si>
    <t xml:space="preserve">Guanosine</t>
  </si>
  <si>
    <t xml:space="preserve">46890</t>
  </si>
  <si>
    <t xml:space="preserve">HMDB0000133</t>
  </si>
  <si>
    <t xml:space="preserve">87</t>
  </si>
  <si>
    <t xml:space="preserve">C00387</t>
  </si>
  <si>
    <t xml:space="preserve">16750</t>
  </si>
  <si>
    <t xml:space="preserve">6802</t>
  </si>
  <si>
    <t xml:space="preserve">118-00-3</t>
  </si>
  <si>
    <t xml:space="preserve">NC1=NC2=C(N=CN2[C@@H]2O[C@H](CO)[C@@H](O)[C@H]2O)C(=O)N1</t>
  </si>
  <si>
    <t xml:space="preserve">NYHBQMYGNKIUIF-UUOKFMHZSA-N</t>
  </si>
  <si>
    <t xml:space="preserve">Purine nucleosides</t>
  </si>
  <si>
    <t xml:space="preserve">282.97908</t>
  </si>
  <si>
    <t xml:space="preserve">C4H6N4O12</t>
  </si>
  <si>
    <t xml:space="preserve">Erythrityl Tetranitrate</t>
  </si>
  <si>
    <t xml:space="preserve">53596</t>
  </si>
  <si>
    <t xml:space="preserve">HMDB0015551</t>
  </si>
  <si>
    <t xml:space="preserve">85532</t>
  </si>
  <si>
    <t xml:space="preserve">60072</t>
  </si>
  <si>
    <t xml:space="preserve">5284553</t>
  </si>
  <si>
    <t xml:space="preserve">7297-25-8</t>
  </si>
  <si>
    <t xml:space="preserve">[O-][N+](=O)OC[C@@H](O[N+]([O-])=O)[C@H](CO[N+]([O-])=O)O[N+]([O-])=O</t>
  </si>
  <si>
    <t xml:space="preserve">SNFOERUNNSHUGP-ZXZARUISSA-N</t>
  </si>
  <si>
    <t xml:space="preserve">283.07317</t>
  </si>
  <si>
    <t xml:space="preserve">C15H12N2O4</t>
  </si>
  <si>
    <t xml:space="preserve">2-Acetylamino-7-methoxy-3H-phenoxazin-3-one; Phenytoin catechol</t>
  </si>
  <si>
    <t xml:space="preserve">197320; 82722</t>
  </si>
  <si>
    <t xml:space="preserve">HMDB0240722; HMDB0060865</t>
  </si>
  <si>
    <t xml:space="preserve">; 1855</t>
  </si>
  <si>
    <t xml:space="preserve">68781031; 169703</t>
  </si>
  <si>
    <t xml:space="preserve">; 35531-90-9</t>
  </si>
  <si>
    <t xml:space="preserve">COC1=CC2=C(C=C1)N=C1C=C(NC(C)=O)C(=O)C=C1O2; OC1=C(O)C=C(C=C1)C1(NC(=O)NC1=O)C1=CC=CC=C1</t>
  </si>
  <si>
    <t xml:space="preserve">DOTQQODPKREUTR-UHFFFAOYSA-N; WWEKVOUOQUHVHS-UHFFFAOYSA-N</t>
  </si>
  <si>
    <t xml:space="preserve">Benzoxazines; Azolidines</t>
  </si>
  <si>
    <t xml:space="preserve">Phenoxazines; Imidazolidines</t>
  </si>
  <si>
    <t xml:space="preserve">284.02596</t>
  </si>
  <si>
    <t xml:space="preserve">C11H11N3O2S</t>
  </si>
  <si>
    <t xml:space="preserve">Sulfapyridine; Pyridinin</t>
  </si>
  <si>
    <t xml:space="preserve">53160; 210745</t>
  </si>
  <si>
    <t xml:space="preserve">HMDB0015028; HMDB0256968</t>
  </si>
  <si>
    <t xml:space="preserve">2552; </t>
  </si>
  <si>
    <t xml:space="preserve">132842; </t>
  </si>
  <si>
    <t xml:space="preserve">5336; </t>
  </si>
  <si>
    <t xml:space="preserve">144-83-2; </t>
  </si>
  <si>
    <t xml:space="preserve">NC1=CC=C(C=C1)S(=O)(=O)NC1=CC=CC=N1; NC1=CC=C(C=C1)S(=O)(=O)C1=NC=C(N)C=C1</t>
  </si>
  <si>
    <t xml:space="preserve">GECHUMIMRBOMGK-UHFFFAOYSA-N; XVMSFILGAMDHEY-UHFFFAOYSA-N</t>
  </si>
  <si>
    <t xml:space="preserve">Benzenesulfonamides; Benzenesulfonyl compounds</t>
  </si>
  <si>
    <t xml:space="preserve">285.01051</t>
  </si>
  <si>
    <t xml:space="preserve">C9H10N4O3S2</t>
  </si>
  <si>
    <t xml:space="preserve">Sulfametrole</t>
  </si>
  <si>
    <t xml:space="preserve">212064</t>
  </si>
  <si>
    <t xml:space="preserve">HMDB0258577</t>
  </si>
  <si>
    <t xml:space="preserve">88258</t>
  </si>
  <si>
    <t xml:space="preserve">COC1=NSNC1=NS(=O)(=O)C1=CC=C(N)C=C1</t>
  </si>
  <si>
    <t xml:space="preserve">IZOYMGQQVNAMHS-UHFFFAOYSA-N</t>
  </si>
  <si>
    <t xml:space="preserve">285.11634</t>
  </si>
  <si>
    <t xml:space="preserve">C17H18N2</t>
  </si>
  <si>
    <t xml:space="preserve">Desmethylmianserin</t>
  </si>
  <si>
    <t xml:space="preserve">205723</t>
  </si>
  <si>
    <t xml:space="preserve">HMDB0251058</t>
  </si>
  <si>
    <t xml:space="preserve">1271</t>
  </si>
  <si>
    <t xml:space="preserve">115194</t>
  </si>
  <si>
    <t xml:space="preserve">71936-92-0</t>
  </si>
  <si>
    <t xml:space="preserve">C1CN2C(CN1)C1=CC=CC=C1CC1=CC=CC=C21</t>
  </si>
  <si>
    <t xml:space="preserve">ZBILSSSEXRZGKS-UHFFFAOYSA-N</t>
  </si>
  <si>
    <t xml:space="preserve">Benzazepines</t>
  </si>
  <si>
    <t xml:space="preserve">Dibenzazepines</t>
  </si>
  <si>
    <t xml:space="preserve">286.92077</t>
  </si>
  <si>
    <t xml:space="preserve">C8H6Cl4</t>
  </si>
  <si>
    <t xml:space="preserve">Tetrachloro-m-xylene</t>
  </si>
  <si>
    <t xml:space="preserve">200907</t>
  </si>
  <si>
    <t xml:space="preserve">HMDB0245478</t>
  </si>
  <si>
    <t xml:space="preserve">70139</t>
  </si>
  <si>
    <t xml:space="preserve">CC1=C(Cl)C(Cl)=C(Cl)C(C)=C1Cl</t>
  </si>
  <si>
    <t xml:space="preserve">NTUBJKOTTSFEEV-UHFFFAOYSA-N</t>
  </si>
  <si>
    <t xml:space="preserve">Xylenes</t>
  </si>
  <si>
    <t xml:space="preserve">288.02413</t>
  </si>
  <si>
    <t xml:space="preserve">C15H14ClNO2S</t>
  </si>
  <si>
    <t xml:space="preserve">Clopidogrel carboxylic acid</t>
  </si>
  <si>
    <t xml:space="preserve">205149</t>
  </si>
  <si>
    <t xml:space="preserve">HMDB0250357</t>
  </si>
  <si>
    <t xml:space="preserve">83504</t>
  </si>
  <si>
    <t xml:space="preserve">4129546</t>
  </si>
  <si>
    <t xml:space="preserve">OC(=O)C(N1CCC2=C(C1)C=CS2)C1=CC=CC=C1Cl</t>
  </si>
  <si>
    <t xml:space="preserve">DCASRSISIKYPDD-UHFFFAOYSA-N</t>
  </si>
  <si>
    <t xml:space="preserve">288.91990</t>
  </si>
  <si>
    <t xml:space="preserve">C9H7Cl3O3</t>
  </si>
  <si>
    <t xml:space="preserve">Fenoprop</t>
  </si>
  <si>
    <t xml:space="preserve">206716</t>
  </si>
  <si>
    <t xml:space="preserve">HMDB0252208</t>
  </si>
  <si>
    <t xml:space="preserve">C14532</t>
  </si>
  <si>
    <t xml:space="preserve">7158</t>
  </si>
  <si>
    <t xml:space="preserve">CC(OC1=CC(Cl)=C(Cl)C=C1Cl)C(O)=O</t>
  </si>
  <si>
    <t xml:space="preserve">ZLSWBLPERHFHIS-UHFFFAOYSA-N</t>
  </si>
  <si>
    <t xml:space="preserve">2-phenoxypropionic acids</t>
  </si>
  <si>
    <t xml:space="preserve">288.99431</t>
  </si>
  <si>
    <t xml:space="preserve">C11H10O5S</t>
  </si>
  <si>
    <t xml:space="preserve">Menadione bisulfite</t>
  </si>
  <si>
    <t xml:space="preserve">208552</t>
  </si>
  <si>
    <t xml:space="preserve">HMDB0254432</t>
  </si>
  <si>
    <t xml:space="preserve">63930</t>
  </si>
  <si>
    <t xml:space="preserve">8536</t>
  </si>
  <si>
    <t xml:space="preserve">CC1(CC(=O)C2=CC=CC=C2C1=O)S(O)(=O)=O</t>
  </si>
  <si>
    <t xml:space="preserve">WIXFIQKTHUVFDI-UHFFFAOYSA-N</t>
  </si>
  <si>
    <t xml:space="preserve">Naphthoquinones</t>
  </si>
  <si>
    <t xml:space="preserve">289.02907</t>
  </si>
  <si>
    <t xml:space="preserve">C13H12N2O5S</t>
  </si>
  <si>
    <t xml:space="preserve">Nimesulide</t>
  </si>
  <si>
    <t xml:space="preserve">209569</t>
  </si>
  <si>
    <t xml:space="preserve">HMDB0255611</t>
  </si>
  <si>
    <t xml:space="preserve">44341</t>
  </si>
  <si>
    <t xml:space="preserve">44445</t>
  </si>
  <si>
    <t xml:space="preserve">4495</t>
  </si>
  <si>
    <t xml:space="preserve">51803-78-2</t>
  </si>
  <si>
    <t xml:space="preserve">CS(=O)(=O)NC1=C(OC2=CC=CC=C2)C=C(C=C1)[N+]([O-])=O</t>
  </si>
  <si>
    <t xml:space="preserve">HYWYRSMBCFDLJT-UHFFFAOYSA-N</t>
  </si>
  <si>
    <t xml:space="preserve">289.06749</t>
  </si>
  <si>
    <t xml:space="preserve">C10H14N2O8</t>
  </si>
  <si>
    <t xml:space="preserve">Glutamic acid glutamate</t>
  </si>
  <si>
    <t xml:space="preserve">207240</t>
  </si>
  <si>
    <t xml:space="preserve">HMDB0252808</t>
  </si>
  <si>
    <t xml:space="preserve">NC1CCC(=O)OOC(=O)CCC(N)C(=O)OOC1=O</t>
  </si>
  <si>
    <t xml:space="preserve">IWJFFRXLMNLEMO-UHFFFAOYSA-N</t>
  </si>
  <si>
    <t xml:space="preserve">289.18299</t>
  </si>
  <si>
    <t xml:space="preserve">C18H26O3</t>
  </si>
  <si>
    <t xml:space="preserve">Octinoxate; (9Z,11E,13E,15Z)-4-Oxo-9,11,13,15-octadecatetraenoic acid; Octyl 4-methoxycinnamic acid</t>
  </si>
  <si>
    <t xml:space="preserve">209827; 55724; 83377</t>
  </si>
  <si>
    <t xml:space="preserve">HMDB0255909; HMDB0031098; HMDB0061861</t>
  </si>
  <si>
    <t xml:space="preserve">; 87406; 43282</t>
  </si>
  <si>
    <t xml:space="preserve">; 138781; </t>
  </si>
  <si>
    <t xml:space="preserve">; 131751133; 5355130</t>
  </si>
  <si>
    <t xml:space="preserve">; 17699-21-7; </t>
  </si>
  <si>
    <t xml:space="preserve">CCCCC(CC)COC(=O)C=CC1=CC=C(OC)C=C1; CC\C=C/C=C/C=C\C=C\CCCCC(=O)CCC(O)=O; [H]\C(=C(\[H])C1=CC=C(OC)C=C1)C(=O)OCC(CC)CCCC</t>
  </si>
  <si>
    <t xml:space="preserve">YBGZDTIWKVFICR-UHFFFAOYSA-N; ZYOSGENSARGRME-WYVWLRFESA-N; YBGZDTIWKVFICR-JLHYYAGUSA-N</t>
  </si>
  <si>
    <t xml:space="preserve">Phenylpropanoids and polyketides; Lipids and lipid-like molecules; Phenylpropanoids and polyketides</t>
  </si>
  <si>
    <t xml:space="preserve">Cinnamic acids and derivatives; Fatty Acyls; Cinnamic acids and derivatives</t>
  </si>
  <si>
    <t xml:space="preserve">Cinnamic acid esters; Lineolic acids and derivatives; Cinnamic acid esters</t>
  </si>
  <si>
    <t xml:space="preserve">290.91177</t>
  </si>
  <si>
    <t xml:space="preserve">C8HCl3N2O</t>
  </si>
  <si>
    <t xml:space="preserve">4-Hydroxychlorothalonil</t>
  </si>
  <si>
    <t xml:space="preserve">197250</t>
  </si>
  <si>
    <t xml:space="preserve">HMDB0240624</t>
  </si>
  <si>
    <t xml:space="preserve">133542</t>
  </si>
  <si>
    <t xml:space="preserve">34217</t>
  </si>
  <si>
    <t xml:space="preserve">28343-61-5</t>
  </si>
  <si>
    <t xml:space="preserve">OC1=C(C#N)C(Cl)=C(C#N)C(Cl)=C1Cl</t>
  </si>
  <si>
    <t xml:space="preserve">MDQKYGOECVSPIW-UHFFFAOYSA-N</t>
  </si>
  <si>
    <t xml:space="preserve">Benzonitriles</t>
  </si>
  <si>
    <t xml:space="preserve">291.07068</t>
  </si>
  <si>
    <t xml:space="preserve">C7H14N6S2</t>
  </si>
  <si>
    <t xml:space="preserve">Hydrazinecarbothioamide,2-[2-[2-(aminothioxomethyl)-2-methylhydrazinylidene]propylidene]-N-methyl-</t>
  </si>
  <si>
    <t xml:space="preserve">203059</t>
  </si>
  <si>
    <t xml:space="preserve">HMDB0247878</t>
  </si>
  <si>
    <t xml:space="preserve">6711198</t>
  </si>
  <si>
    <t xml:space="preserve">CNC(=S)NN=CC(C)=NNC(=S)NC</t>
  </si>
  <si>
    <t xml:space="preserve">VEXRMMJOMMTPKJ-UHFFFAOYSA-N</t>
  </si>
  <si>
    <t xml:space="preserve">291.19659</t>
  </si>
  <si>
    <t xml:space="preserve">C18H30O4</t>
  </si>
  <si>
    <t xml:space="preserve">13(S)-Hydroperoxylinolenic acid</t>
  </si>
  <si>
    <t xml:space="preserve">3007</t>
  </si>
  <si>
    <t xml:space="preserve">HMDB0301803</t>
  </si>
  <si>
    <t xml:space="preserve">36052</t>
  </si>
  <si>
    <t xml:space="preserve">LMFA02000052</t>
  </si>
  <si>
    <t xml:space="preserve">C04785</t>
  </si>
  <si>
    <t xml:space="preserve">48905</t>
  </si>
  <si>
    <t xml:space="preserve">5497123</t>
  </si>
  <si>
    <t xml:space="preserve">67597-26-6</t>
  </si>
  <si>
    <t xml:space="preserve">C(CCCCCCC/C=C\C=C\[C@@H](OO)C/C=C\CC)(=O)O</t>
  </si>
  <si>
    <t xml:space="preserve">UYQGVDXDXBAABN-FQSPHKRJSA-N</t>
  </si>
  <si>
    <t xml:space="preserve">Lineolic acids and derivatives</t>
  </si>
  <si>
    <t xml:space="preserve">292.90958</t>
  </si>
  <si>
    <t xml:space="preserve">C12H7Cl3</t>
  </si>
  <si>
    <t xml:space="preserve">2,3,4-Trichlorobiphenyl</t>
  </si>
  <si>
    <t xml:space="preserve">200851</t>
  </si>
  <si>
    <t xml:space="preserve">HMDB0245422</t>
  </si>
  <si>
    <t xml:space="preserve">69992</t>
  </si>
  <si>
    <t xml:space="preserve">C14357</t>
  </si>
  <si>
    <t xml:space="preserve">34222</t>
  </si>
  <si>
    <t xml:space="preserve">41541</t>
  </si>
  <si>
    <t xml:space="preserve">55702-46-0</t>
  </si>
  <si>
    <t xml:space="preserve">ClC1=CC=C(C(Cl)=C1Cl)C1=CC=CC=C1</t>
  </si>
  <si>
    <t xml:space="preserve">IUYHQGMDSZOPDZ-UHFFFAOYSA-N</t>
  </si>
  <si>
    <t xml:space="preserve">Biphenyls and derivatives</t>
  </si>
  <si>
    <t xml:space="preserve">292.95397</t>
  </si>
  <si>
    <t xml:space="preserve">C8H9O9PS</t>
  </si>
  <si>
    <t xml:space="preserve">(3-Methoxy-4-phosphonooxyphenyl)-oxomethanesulfonic acid</t>
  </si>
  <si>
    <t xml:space="preserve">211437</t>
  </si>
  <si>
    <t xml:space="preserve">HMDB0257809</t>
  </si>
  <si>
    <t xml:space="preserve">53657791</t>
  </si>
  <si>
    <t xml:space="preserve">COC1=C(OP(O)(O)=O)C=CC(=C1)C(=O)S(O)(=O)=O</t>
  </si>
  <si>
    <t xml:space="preserve">ARBWFKBMXJNIEZ-UHFFFAOYSA-N</t>
  </si>
  <si>
    <t xml:space="preserve">293.02219</t>
  </si>
  <si>
    <t xml:space="preserve">C14H10O5</t>
  </si>
  <si>
    <t xml:space="preserve">Alternariol; Isogentisin; Gentisin</t>
  </si>
  <si>
    <t xml:space="preserve">55563; 55592; 56232</t>
  </si>
  <si>
    <t xml:space="preserve">HMDB0030831; HMDB0030871; HMDB0031760</t>
  </si>
  <si>
    <t xml:space="preserve">71377; 68111; 68108</t>
  </si>
  <si>
    <t xml:space="preserve">C16838; C10070; C10066</t>
  </si>
  <si>
    <t xml:space="preserve">64983; 6017; 5324</t>
  </si>
  <si>
    <t xml:space="preserve">5359485; 5281640; 5281636</t>
  </si>
  <si>
    <t xml:space="preserve">641-38-3; 491-64-5; 437-50-3</t>
  </si>
  <si>
    <t xml:space="preserve">CC1=CC(O)=CC2=C1C1=C(C(=O)O2)C(O)=CC(O)=C1; COC1=CC2=C(OC3=CC(O)=CC(O)=C3C2=O)C=C1; COC1=CC(O)=C2C(=O)C3=CC(O)=CC=C3OC2=C1</t>
  </si>
  <si>
    <t xml:space="preserve">CEBXXEKPIIDJHL-UHFFFAOYSA-N; FVIYCYAHKMJVJK-UHFFFAOYSA-N; XOXYHGOIRWABTC-UHFFFAOYSA-N</t>
  </si>
  <si>
    <t xml:space="preserve">Phenylpropanoids and polyketides; Organoheterocyclic compounds; Organoheterocyclic compounds</t>
  </si>
  <si>
    <t xml:space="preserve">Coumarins and derivatives; Benzopyrans; Benzopyrans</t>
  </si>
  <si>
    <t xml:space="preserve">Unclassified; 1-benzopyrans; 1-benzopyrans</t>
  </si>
  <si>
    <t xml:space="preserve">293.10127</t>
  </si>
  <si>
    <t xml:space="preserve">C11H14N6O4</t>
  </si>
  <si>
    <t xml:space="preserve">5'-N-Methylcarboxamidoadenosine</t>
  </si>
  <si>
    <t xml:space="preserve">202191</t>
  </si>
  <si>
    <t xml:space="preserve">HMDB0246883</t>
  </si>
  <si>
    <t xml:space="preserve">288044</t>
  </si>
  <si>
    <t xml:space="preserve">CNC(=O)C1OC(C(O)C1O)N1C=NC2=C1N=CN=C2N</t>
  </si>
  <si>
    <t xml:space="preserve">PLYRYAHDNXANEG-UHFFFAOYSA-N</t>
  </si>
  <si>
    <t xml:space="preserve">293.18042</t>
  </si>
  <si>
    <t xml:space="preserve">C14H30O4S</t>
  </si>
  <si>
    <t xml:space="preserve">Sodium Tetradecyl Sulfate</t>
  </si>
  <si>
    <t xml:space="preserve">52815</t>
  </si>
  <si>
    <t xml:space="preserve">HMDB0014607</t>
  </si>
  <si>
    <t xml:space="preserve">85386</t>
  </si>
  <si>
    <t xml:space="preserve">5248</t>
  </si>
  <si>
    <t xml:space="preserve">1191-50-0</t>
  </si>
  <si>
    <t xml:space="preserve">[H]OS(=O)(=O)OC([H])([H])C([H])([H])C([H])([H])C([H])([H])C([H])([H])C([H])([H])C([H])([H])C([H])([H])C([H])([H])C([H])([H])C([H])([H])C([H])([H])C([H])([H])C([H])([H])[H]</t>
  </si>
  <si>
    <t xml:space="preserve">URLJMZWTXZTZRR-UHFFFAOYSA-N</t>
  </si>
  <si>
    <t xml:space="preserve">Sulfuric acid esters</t>
  </si>
  <si>
    <t xml:space="preserve">294.98976</t>
  </si>
  <si>
    <t xml:space="preserve">C13H6F2N2S</t>
  </si>
  <si>
    <t xml:space="preserve">Benzonitrile, 3-fluoro-5-(2-(2-(fluoromethyl)-4-thiazolyl)ethynyl)-</t>
  </si>
  <si>
    <t xml:space="preserve">211926</t>
  </si>
  <si>
    <t xml:space="preserve">HMDB0258401</t>
  </si>
  <si>
    <t xml:space="preserve">FCC1=NC(=CS1)C#CC1=CC(=CC(F)=C1)C#N</t>
  </si>
  <si>
    <t xml:space="preserve">WTLBLIGPXACYET-UHFFFAOYSA-N</t>
  </si>
  <si>
    <t xml:space="preserve">295.22900</t>
  </si>
  <si>
    <t xml:space="preserve">C18H32O3</t>
  </si>
  <si>
    <t xml:space="preserve">9,10-Epoxyoctadecenoic acid; 12,13-EpOME; alpha-Dimorphecolic acid</t>
  </si>
  <si>
    <t xml:space="preserve">2992; 2993; 3142</t>
  </si>
  <si>
    <t xml:space="preserve">HMDB0004701; HMDB0004702; HMDB0004670</t>
  </si>
  <si>
    <t xml:space="preserve">; 63352; 45662</t>
  </si>
  <si>
    <t xml:space="preserve">LMFA02000037; LMFA02000038; LMFA02000188</t>
  </si>
  <si>
    <t xml:space="preserve">C14825; C14826; C14767</t>
  </si>
  <si>
    <t xml:space="preserve">34494; 38299; 34496</t>
  </si>
  <si>
    <t xml:space="preserve">6246154; 5356421; 5312830</t>
  </si>
  <si>
    <t xml:space="preserve">; ; 73543-67-6</t>
  </si>
  <si>
    <t xml:space="preserve">C(CCCCCCCC1OC1C/C=C\CCCCC)(=O)O; C(CCCCCCC/C=C\CC1OC1CCCCC)(=O)O; C(CCCCCCC[C@H](O)/C=C/C=C\CCCCC)(=O)O</t>
  </si>
  <si>
    <t xml:space="preserve">FBUKMFOXMZRGRB-YFHOEESVSA-N; CCPPLLJZDQAOHD-FLIBITNWSA-N; NPDSHTNEKLQQIJ-UINYOVNOSA-N</t>
  </si>
  <si>
    <t xml:space="preserve">Fatty acids and conjugates; Fatty acids and conjugates; Lineolic acids and derivatives</t>
  </si>
  <si>
    <t xml:space="preserve">296.94281</t>
  </si>
  <si>
    <t xml:space="preserve">CH2F3NO2S</t>
  </si>
  <si>
    <t xml:space="preserve">Trifluoromethanesulfonamide</t>
  </si>
  <si>
    <t xml:space="preserve">212608</t>
  </si>
  <si>
    <t xml:space="preserve">HMDB0259206</t>
  </si>
  <si>
    <t xml:space="preserve">NS(=O)(=O)C(F)(F)F</t>
  </si>
  <si>
    <t xml:space="preserve">KAKQVSNHTBLJCH-UHFFFAOYSA-N</t>
  </si>
  <si>
    <t xml:space="preserve">297.04701</t>
  </si>
  <si>
    <t xml:space="preserve">C12H15N2O3PS</t>
  </si>
  <si>
    <t xml:space="preserve">QUINALPHOS</t>
  </si>
  <si>
    <t xml:space="preserve">210803</t>
  </si>
  <si>
    <t xml:space="preserve">HMDB0257033</t>
  </si>
  <si>
    <t xml:space="preserve">68785</t>
  </si>
  <si>
    <t xml:space="preserve">C11030</t>
  </si>
  <si>
    <t xml:space="preserve">8712</t>
  </si>
  <si>
    <t xml:space="preserve">26124</t>
  </si>
  <si>
    <t xml:space="preserve">13593-03-8</t>
  </si>
  <si>
    <t xml:space="preserve">CCOP(=S)(OCC)OC1=NC2=CC=CC=C2N=C1</t>
  </si>
  <si>
    <t xml:space="preserve">JYQUHIFYBATCCY-UHFFFAOYSA-N</t>
  </si>
  <si>
    <t xml:space="preserve">Diazanaphthalenes</t>
  </si>
  <si>
    <t xml:space="preserve">Benzodiazines</t>
  </si>
  <si>
    <t xml:space="preserve">297.15395</t>
  </si>
  <si>
    <t xml:space="preserve">C19H22O3</t>
  </si>
  <si>
    <t xml:space="preserve">Doisynoestrol</t>
  </si>
  <si>
    <t xml:space="preserve">206714</t>
  </si>
  <si>
    <t xml:space="preserve">HMDB0252206</t>
  </si>
  <si>
    <t xml:space="preserve">70919</t>
  </si>
  <si>
    <t xml:space="preserve">C15453</t>
  </si>
  <si>
    <t xml:space="preserve">97911</t>
  </si>
  <si>
    <t xml:space="preserve">15372-34-6</t>
  </si>
  <si>
    <t xml:space="preserve">CCC1C2=C(CCC1(C)C(O)=O)C1=C(C=C2)C=C(OC)C=C1</t>
  </si>
  <si>
    <t xml:space="preserve">HZZSXUIUESWVSS-UHFFFAOYSA-N</t>
  </si>
  <si>
    <t xml:space="preserve">Steroids and steroid derivatives</t>
  </si>
  <si>
    <t xml:space="preserve">Steroid acids</t>
  </si>
  <si>
    <t xml:space="preserve">297.27891</t>
  </si>
  <si>
    <t xml:space="preserve">C19H38O2</t>
  </si>
  <si>
    <t xml:space="preserve">Tuberculostearic acid; FA(19:0)</t>
  </si>
  <si>
    <t xml:space="preserve">463; 65</t>
  </si>
  <si>
    <t xml:space="preserve">HMDB0004085; HMDB0000772</t>
  </si>
  <si>
    <t xml:space="preserve">4294; 4207</t>
  </si>
  <si>
    <t xml:space="preserve">LMFA01020396; LMFA01010019</t>
  </si>
  <si>
    <t xml:space="preserve">C16794; C16535</t>
  </si>
  <si>
    <t xml:space="preserve">68565; 39246</t>
  </si>
  <si>
    <t xml:space="preserve">65037; 12591</t>
  </si>
  <si>
    <t xml:space="preserve">542-47-2; 646-30-0</t>
  </si>
  <si>
    <t xml:space="preserve">C(CCCCCCCCC(C)CCCCCCCC)(=O)O; C(CCCCCCCCC)CCCCCCCCC(=O)O</t>
  </si>
  <si>
    <t xml:space="preserve">BEOUGZFCUMNGOU-UHFFFAOYSA-N; ISYWECDDZWTKFF-UHFFFAOYSA-N</t>
  </si>
  <si>
    <t xml:space="preserve">299.07834</t>
  </si>
  <si>
    <t xml:space="preserve">C9H18O6S</t>
  </si>
  <si>
    <t xml:space="preserve">Neosalacinol</t>
  </si>
  <si>
    <t xml:space="preserve">209505</t>
  </si>
  <si>
    <t xml:space="preserve">HMDB0255529</t>
  </si>
  <si>
    <t xml:space="preserve">75029133</t>
  </si>
  <si>
    <t xml:space="preserve">OCC([O-])C(O)C[S+]1CC(O)C(O)C1CO</t>
  </si>
  <si>
    <t xml:space="preserve">RPLSMILMVIUFAQ-UHFFFAOYSA-N</t>
  </si>
  <si>
    <t xml:space="preserve">Thiolanes</t>
  </si>
  <si>
    <t xml:space="preserve">299.13347</t>
  </si>
  <si>
    <t xml:space="preserve">C18H20N2</t>
  </si>
  <si>
    <t xml:space="preserve">Mianserin</t>
  </si>
  <si>
    <t xml:space="preserve">53653</t>
  </si>
  <si>
    <t xml:space="preserve">HMDB0015620</t>
  </si>
  <si>
    <t xml:space="preserve">1270</t>
  </si>
  <si>
    <t xml:space="preserve">51137</t>
  </si>
  <si>
    <t xml:space="preserve">4184</t>
  </si>
  <si>
    <t xml:space="preserve">24219-97-4</t>
  </si>
  <si>
    <t xml:space="preserve">CN1CCN2C(C1)C1=CC=CC=C1CC1=CC=CC=C21</t>
  </si>
  <si>
    <t xml:space="preserve">UEQUQVLFIPOEMF-UHFFFAOYSA-N</t>
  </si>
  <si>
    <t xml:space="preserve">299.25928</t>
  </si>
  <si>
    <t xml:space="preserve">C18H36O3</t>
  </si>
  <si>
    <t xml:space="preserve">2-Hydroxystearic acid</t>
  </si>
  <si>
    <t xml:space="preserve">1951</t>
  </si>
  <si>
    <t xml:space="preserve">HMDB0062549</t>
  </si>
  <si>
    <t xml:space="preserve">LMFA01050485</t>
  </si>
  <si>
    <t xml:space="preserve">C03045</t>
  </si>
  <si>
    <t xml:space="preserve">18129</t>
  </si>
  <si>
    <t xml:space="preserve">439887</t>
  </si>
  <si>
    <t xml:space="preserve">26531-80-6</t>
  </si>
  <si>
    <t xml:space="preserve">O[C@H](C(=O)O)CCCCCCCCCCCCCCCC</t>
  </si>
  <si>
    <t xml:space="preserve">KIHBGTRZFAVZRV-KRWDZBQOSA-N</t>
  </si>
  <si>
    <t xml:space="preserve">299.95206</t>
  </si>
  <si>
    <t xml:space="preserve">C8H10NO5PS</t>
  </si>
  <si>
    <t xml:space="preserve">Methyl parathion</t>
  </si>
  <si>
    <t xml:space="preserve">210007</t>
  </si>
  <si>
    <t xml:space="preserve">HMDB0256125</t>
  </si>
  <si>
    <t xml:space="preserve">44552</t>
  </si>
  <si>
    <t xml:space="preserve">C14228</t>
  </si>
  <si>
    <t xml:space="preserve">38746</t>
  </si>
  <si>
    <t xml:space="preserve">4130</t>
  </si>
  <si>
    <t xml:space="preserve">298-00-0</t>
  </si>
  <si>
    <t xml:space="preserve">COP(=S)(OC)OC1=CC=C(C=C1)[N+]([O-])=O</t>
  </si>
  <si>
    <t xml:space="preserve">RLBIQVVOMOPOHC-UHFFFAOYSA-N</t>
  </si>
  <si>
    <t xml:space="preserve">Organic thiophosphoric acids and derivatives</t>
  </si>
  <si>
    <t xml:space="preserve">Thiophosphoric acid esters</t>
  </si>
  <si>
    <t xml:space="preserve">300.01534</t>
  </si>
  <si>
    <t xml:space="preserve">C11H11NO7S</t>
  </si>
  <si>
    <t xml:space="preserve">4-Sulfoxyphenylacetyl dehydroalanine</t>
  </si>
  <si>
    <t xml:space="preserve">201914</t>
  </si>
  <si>
    <t xml:space="preserve">HMDB0246581</t>
  </si>
  <si>
    <t xml:space="preserve">424737</t>
  </si>
  <si>
    <t xml:space="preserve">126394</t>
  </si>
  <si>
    <t xml:space="preserve">OC(=O)C(=C)NC(=O)CC1=CC=C(OS(O)(=O)=O)C=C1</t>
  </si>
  <si>
    <t xml:space="preserve">BTLKSOMRDDBUNH-UHFFFAOYSA-N</t>
  </si>
  <si>
    <t xml:space="preserve">300.04295</t>
  </si>
  <si>
    <t xml:space="preserve">C16H12ClNO3</t>
  </si>
  <si>
    <t xml:space="preserve">Benoxaprofen</t>
  </si>
  <si>
    <t xml:space="preserve">203984</t>
  </si>
  <si>
    <t xml:space="preserve">HMDB0248956</t>
  </si>
  <si>
    <t xml:space="preserve">76114</t>
  </si>
  <si>
    <t xml:space="preserve">39941</t>
  </si>
  <si>
    <t xml:space="preserve">CC(C(O)=O)C1=CC2=C(OC(=N2)C2=CC=C(Cl)C=C2)C=C1</t>
  </si>
  <si>
    <t xml:space="preserve">MITFXPHMIHQXPI-UHFFFAOYSA-N</t>
  </si>
  <si>
    <t xml:space="preserve">Oxazoles</t>
  </si>
  <si>
    <t xml:space="preserve">300.97695</t>
  </si>
  <si>
    <t xml:space="preserve">C11H10Cl2N2O5</t>
  </si>
  <si>
    <t xml:space="preserve">Dehydrochloramphenicol</t>
  </si>
  <si>
    <t xml:space="preserve">205625</t>
  </si>
  <si>
    <t xml:space="preserve">HMDB0250945</t>
  </si>
  <si>
    <t xml:space="preserve">22536</t>
  </si>
  <si>
    <t xml:space="preserve">OCC(NC(=O)C(Cl)Cl)C(=O)C1=CC=C(C=C1)[N+]([O-])=O</t>
  </si>
  <si>
    <t xml:space="preserve">ZMCQNNUYRHSMAB-UHFFFAOYSA-N</t>
  </si>
  <si>
    <t xml:space="preserve">301.05439</t>
  </si>
  <si>
    <t xml:space="preserve">C8H17O5PS</t>
  </si>
  <si>
    <t xml:space="preserve">Preparation 11</t>
  </si>
  <si>
    <t xml:space="preserve">210567</t>
  </si>
  <si>
    <t xml:space="preserve">HMDB0256765</t>
  </si>
  <si>
    <t xml:space="preserve">CCOC(=O)COP(=S)(OCC)OCC</t>
  </si>
  <si>
    <t xml:space="preserve">FCZCIXQGZOUIDN-UHFFFAOYSA-N</t>
  </si>
  <si>
    <t xml:space="preserve">301.09910</t>
  </si>
  <si>
    <t xml:space="preserve">C18H18O2</t>
  </si>
  <si>
    <t xml:space="preserve">Magnolol; Honokiol</t>
  </si>
  <si>
    <t xml:space="preserve">208448; 207582</t>
  </si>
  <si>
    <t xml:space="preserve">HMDB0254305; HMDB0253212</t>
  </si>
  <si>
    <t xml:space="preserve">68465; 68445</t>
  </si>
  <si>
    <t xml:space="preserve">C10651; C10630</t>
  </si>
  <si>
    <t xml:space="preserve">72300; 72303</t>
  </si>
  <si>
    <t xml:space="preserve">528-43-8; 564-73-8</t>
  </si>
  <si>
    <t xml:space="preserve">OC1=C(C=C(CC=C)C=C1)C1=C(O)C=CC(CC=C)=C1; OC1=C(CC=C)C=C(C=C1)C1=C(O)C=CC(CC=C)=C1</t>
  </si>
  <si>
    <t xml:space="preserve">VVOAZFWZEDHOOU-UHFFFAOYSA-N; FVYXIJYOAGAUQK-UHFFFAOYSA-N</t>
  </si>
  <si>
    <t xml:space="preserve">Biphenyls and derivatives; Biphenyls and derivatives</t>
  </si>
  <si>
    <t xml:space="preserve">302.03663</t>
  </si>
  <si>
    <t xml:space="preserve">C11H13N3O3S</t>
  </si>
  <si>
    <t xml:space="preserve">Sulfisoxazole</t>
  </si>
  <si>
    <t xml:space="preserve">52657</t>
  </si>
  <si>
    <t xml:space="preserve">HMDB0014408</t>
  </si>
  <si>
    <t xml:space="preserve">43339</t>
  </si>
  <si>
    <t xml:space="preserve">C07318</t>
  </si>
  <si>
    <t xml:space="preserve">102484</t>
  </si>
  <si>
    <t xml:space="preserve">5344</t>
  </si>
  <si>
    <t xml:space="preserve">127-69-5</t>
  </si>
  <si>
    <t xml:space="preserve">CC1=NOC(NS(=O)(=O)C2=CC=C(N)C=C2)=C1C</t>
  </si>
  <si>
    <t xml:space="preserve">NHUHCSRWZMLRLA-UHFFFAOYSA-N</t>
  </si>
  <si>
    <t xml:space="preserve">302.13561</t>
  </si>
  <si>
    <t xml:space="preserve">C12H21N3O6</t>
  </si>
  <si>
    <t xml:space="preserve">NOTA; N-(N-(3-Amino-3-carboxypropyl)-3-amino-3-carboxypropyl)azetidine-2-carboxylic acid; N5-Acetyl-N2-gamma-L-glutamyl-L-ornithine</t>
  </si>
  <si>
    <t xml:space="preserve">209695; 209063; 62700</t>
  </si>
  <si>
    <t xml:space="preserve">HMDB0255756; HMDB0255025; HMDB0039423</t>
  </si>
  <si>
    <t xml:space="preserve">; ; 93997</t>
  </si>
  <si>
    <t xml:space="preserve">; 25520; 168581</t>
  </si>
  <si>
    <t xml:space="preserve">124326; 3450503; 131752643</t>
  </si>
  <si>
    <t xml:space="preserve">; ; 102148-92-5</t>
  </si>
  <si>
    <t xml:space="preserve">OC(=O)CN1CCN(CC(O)=O)CCN(CC(O)=O)CC1; NC(CCNC(CCN1CCC1C(O)=O)C(O)=O)C(O)=O; CC(=O)NCCCC(NC(=O)CCC(N)C(O)=O)C(O)=O</t>
  </si>
  <si>
    <t xml:space="preserve">JHALWMSZGCVVEM-UHFFFAOYSA-N; KRGPXXHMOXVMMM-UHFFFAOYSA-N; JAAJGIIASALJIT-UHFFFAOYSA-N</t>
  </si>
  <si>
    <t xml:space="preserve">303.03830</t>
  </si>
  <si>
    <t xml:space="preserve">C10H13N2O7P</t>
  </si>
  <si>
    <t xml:space="preserve">Thymidine 3',5'-cyclic monophosphate</t>
  </si>
  <si>
    <t xml:space="preserve">47658</t>
  </si>
  <si>
    <t xml:space="preserve">HMDB0001570</t>
  </si>
  <si>
    <t xml:space="preserve">C00364</t>
  </si>
  <si>
    <t xml:space="preserve">17013</t>
  </si>
  <si>
    <t xml:space="preserve">53477735</t>
  </si>
  <si>
    <t xml:space="preserve">6453-60-7</t>
  </si>
  <si>
    <t xml:space="preserve">CC1=CN([C@H]2CC3OP(O)(=O)OCC3O2)C(=O)NC1=O</t>
  </si>
  <si>
    <t xml:space="preserve">QSJFDOVQWZVUQG-KAVNDROISA-N</t>
  </si>
  <si>
    <t xml:space="preserve">Diazines</t>
  </si>
  <si>
    <t xml:space="preserve">Pyrimidines and pyrimidine derivatives</t>
  </si>
  <si>
    <t xml:space="preserve">303.94719</t>
  </si>
  <si>
    <t xml:space="preserve">C9H8INO3</t>
  </si>
  <si>
    <t xml:space="preserve">2-Benzamido-2-iodoacetic acid; 2-Iodohippuric acid; m-Iodohippuric acid</t>
  </si>
  <si>
    <t xml:space="preserve">207296; 200621; 208428</t>
  </si>
  <si>
    <t xml:space="preserve">HMDB0252867; HMDB0245180; HMDB0254277</t>
  </si>
  <si>
    <t xml:space="preserve">; 314210; </t>
  </si>
  <si>
    <t xml:space="preserve">; 140408; </t>
  </si>
  <si>
    <t xml:space="preserve">53714767; 8614; 40341</t>
  </si>
  <si>
    <t xml:space="preserve">OC(=O)C(I)NC(=O)C1=CC=CC=C1; OC(=O)CN=C(O)C1=CC=CC=C1I; OC(=O)CNC(=O)C1=CC(I)=CC=C1</t>
  </si>
  <si>
    <t xml:space="preserve">CCZLNXBCKWTPEU-UHFFFAOYSA-N; CORFWQGVBFFZHF-UHFFFAOYSA-N; JFJVYCLGHWPODH-UHFFFAOYSA-N</t>
  </si>
  <si>
    <t xml:space="preserve">Benzenoids; Benzenoids; Benzenoids</t>
  </si>
  <si>
    <t xml:space="preserve">Benzene and substituted derivatives; Benzene and substituted derivatives; Benzene and substituted derivatives</t>
  </si>
  <si>
    <t xml:space="preserve">Benzoic acids and derivatives; Benzoic acids and derivatives; Benzoic acids and derivatives</t>
  </si>
  <si>
    <t xml:space="preserve">305.03612</t>
  </si>
  <si>
    <t xml:space="preserve">C13H16Cl2O4</t>
  </si>
  <si>
    <t xml:space="preserve">Dictyostelium</t>
  </si>
  <si>
    <t xml:space="preserve">205896</t>
  </si>
  <si>
    <t xml:space="preserve">HMDB0251253</t>
  </si>
  <si>
    <t xml:space="preserve">64598</t>
  </si>
  <si>
    <t xml:space="preserve">123886</t>
  </si>
  <si>
    <t xml:space="preserve">CCCCCC(=O)C1=C(O)C(Cl)=C(OC)C(Cl)=C1O</t>
  </si>
  <si>
    <t xml:space="preserve">VUDQSRFCCHQIIU-UHFFFAOYSA-N</t>
  </si>
  <si>
    <t xml:space="preserve">305.07656</t>
  </si>
  <si>
    <t xml:space="preserve">C11H11F3N2O2</t>
  </si>
  <si>
    <t xml:space="preserve">Dezinamide</t>
  </si>
  <si>
    <t xml:space="preserve">205754</t>
  </si>
  <si>
    <t xml:space="preserve">HMDB0251101</t>
  </si>
  <si>
    <t xml:space="preserve">146291</t>
  </si>
  <si>
    <t xml:space="preserve">NC(=O)N1CC(C1)OC1=CC=CC(=C1)C(F)(F)F</t>
  </si>
  <si>
    <t xml:space="preserve">LIAILJLSVRAGSM-UHFFFAOYSA-N</t>
  </si>
  <si>
    <t xml:space="preserve">305.17136</t>
  </si>
  <si>
    <t xml:space="preserve">C12H24N2O4</t>
  </si>
  <si>
    <t xml:space="preserve">Carisoprodol</t>
  </si>
  <si>
    <t xml:space="preserve">52759</t>
  </si>
  <si>
    <t xml:space="preserve">HMDB0014539</t>
  </si>
  <si>
    <t xml:space="preserve">3947</t>
  </si>
  <si>
    <t xml:space="preserve">C07927</t>
  </si>
  <si>
    <t xml:space="preserve">3419</t>
  </si>
  <si>
    <t xml:space="preserve">2576</t>
  </si>
  <si>
    <t xml:space="preserve">78-44-4</t>
  </si>
  <si>
    <t xml:space="preserve">CCCC(C)(COC(N)=O)COC(=O)NC(C)C</t>
  </si>
  <si>
    <t xml:space="preserve">OFZCIYFFPZCNJE-UHFFFAOYSA-N</t>
  </si>
  <si>
    <t xml:space="preserve">305.24858</t>
  </si>
  <si>
    <t xml:space="preserve">C18H36O2</t>
  </si>
  <si>
    <t xml:space="preserve">FA(18:0)</t>
  </si>
  <si>
    <t xml:space="preserve">64</t>
  </si>
  <si>
    <t xml:space="preserve">HMDB0000827</t>
  </si>
  <si>
    <t xml:space="preserve">189</t>
  </si>
  <si>
    <t xml:space="preserve">LMFA01010018</t>
  </si>
  <si>
    <t xml:space="preserve">C01530</t>
  </si>
  <si>
    <t xml:space="preserve">28842</t>
  </si>
  <si>
    <t xml:space="preserve">5281</t>
  </si>
  <si>
    <t xml:space="preserve">57-11-4</t>
  </si>
  <si>
    <t xml:space="preserve">C(CCCCCCCC)CCCCCCCCC(=O)O</t>
  </si>
  <si>
    <t xml:space="preserve">QIQXTHQIDYTFRH-UHFFFAOYSA-N</t>
  </si>
  <si>
    <t xml:space="preserve">307.26315</t>
  </si>
  <si>
    <t xml:space="preserve">C20H36O2</t>
  </si>
  <si>
    <t xml:space="preserve">FA(20:2); Sclareol</t>
  </si>
  <si>
    <t xml:space="preserve">1397; 60500</t>
  </si>
  <si>
    <t xml:space="preserve">HMDB0005060; HMDB0036827</t>
  </si>
  <si>
    <t xml:space="preserve">62964; </t>
  </si>
  <si>
    <t xml:space="preserve">LMFA01031043; </t>
  </si>
  <si>
    <t xml:space="preserve">C16525; C09183</t>
  </si>
  <si>
    <t xml:space="preserve">73731; 9053</t>
  </si>
  <si>
    <t xml:space="preserve">6439848; 521332</t>
  </si>
  <si>
    <t xml:space="preserve">5598-38-9; 515-03-7</t>
  </si>
  <si>
    <t xml:space="preserve">C(CCCCCCCCC/C=C\C/C=C\CCCCC)(=O)O; CC(O)(CCC1C(C)(O)CCC2C(C)(C)CCCC12C)C=C</t>
  </si>
  <si>
    <t xml:space="preserve">XSXIVVZCUAHUJO-HZJYTTRNSA-N; XVULBTBTFGYVRC-UHFFFAOYSA-N</t>
  </si>
  <si>
    <t xml:space="preserve">Fatty Acyls; Prenol lipids</t>
  </si>
  <si>
    <t xml:space="preserve">Fatty acids and conjugates; Diterpenoids</t>
  </si>
  <si>
    <t xml:space="preserve">309.20527</t>
  </si>
  <si>
    <t xml:space="preserve">C18H32O5</t>
  </si>
  <si>
    <t xml:space="preserve">Corchorifatty acid F; Auxin a</t>
  </si>
  <si>
    <t xml:space="preserve">59738; 61862</t>
  </si>
  <si>
    <t xml:space="preserve">HMDB0035919; HMDB0038483</t>
  </si>
  <si>
    <t xml:space="preserve">91118; 93162</t>
  </si>
  <si>
    <t xml:space="preserve">91218; 142254</t>
  </si>
  <si>
    <t xml:space="preserve">44559173; 92772</t>
  </si>
  <si>
    <t xml:space="preserve">95341-44-9; </t>
  </si>
  <si>
    <t xml:space="preserve">CC\C=C/CC(O)C(O)\C=C\C(O)CCCCCCCC(O)=O; CCC(C)C1CC(C(C)CC)C(=C1)C(O)CC(O)C(O)C(O)=O</t>
  </si>
  <si>
    <t xml:space="preserve">MKYUCBXUUSZMQB-MKZMYESJSA-N; RKOUCPMGBBKLNK-UHFFFAOYSA-N</t>
  </si>
  <si>
    <t xml:space="preserve">Lineolic acids and derivatives; Monoterpenoids</t>
  </si>
  <si>
    <t xml:space="preserve">309.27744</t>
  </si>
  <si>
    <t xml:space="preserve">C20H38O2</t>
  </si>
  <si>
    <t xml:space="preserve">FA(20:1); Ethyl oleate</t>
  </si>
  <si>
    <t xml:space="preserve">593; 7546</t>
  </si>
  <si>
    <t xml:space="preserve">HMDB0002231; HMDB0034451</t>
  </si>
  <si>
    <t xml:space="preserve">3554; 318742</t>
  </si>
  <si>
    <t xml:space="preserve">LMFA01030085; LMFA07010880</t>
  </si>
  <si>
    <t xml:space="preserve">C16526; C03425</t>
  </si>
  <si>
    <t xml:space="preserve">32425; </t>
  </si>
  <si>
    <t xml:space="preserve">5282768; 5364430</t>
  </si>
  <si>
    <t xml:space="preserve">5561-99-9; 111-62-6</t>
  </si>
  <si>
    <t xml:space="preserve">C(CCCCCCC(=O)O)CC/C=C\CCCCCCCC; CCOC(=O)CCCCCCC/C=C/CCCCCCCC</t>
  </si>
  <si>
    <t xml:space="preserve">BITHHVVYSMSWAG-KTKRTIGZSA-N; LVGKNOAMLMIIKO-VAWYXSNFSA-N</t>
  </si>
  <si>
    <t xml:space="preserve">310.96813</t>
  </si>
  <si>
    <t xml:space="preserve">C10H9Cl3O2</t>
  </si>
  <si>
    <t xml:space="preserve">alpha-Trichloromethylbenzyl acetate</t>
  </si>
  <si>
    <t xml:space="preserve">83331</t>
  </si>
  <si>
    <t xml:space="preserve">HMDB0061807</t>
  </si>
  <si>
    <t xml:space="preserve">319000</t>
  </si>
  <si>
    <t xml:space="preserve">7007</t>
  </si>
  <si>
    <t xml:space="preserve">CC(=O)OC(C1=CC=CC=C1)C(Cl)(Cl)Cl</t>
  </si>
  <si>
    <t xml:space="preserve">JKRWZLOCPLZZEI-UHFFFAOYSA-N</t>
  </si>
  <si>
    <t xml:space="preserve">Benzyloxycarbonyls</t>
  </si>
  <si>
    <t xml:space="preserve">311.10339</t>
  </si>
  <si>
    <t xml:space="preserve">C17H16N2O4</t>
  </si>
  <si>
    <t xml:space="preserve">Piromelatine; Dictyoquinazol A</t>
  </si>
  <si>
    <t xml:space="preserve">210436; 63605</t>
  </si>
  <si>
    <t xml:space="preserve">HMDB0256608; HMDB0040435</t>
  </si>
  <si>
    <t xml:space="preserve">; 94941</t>
  </si>
  <si>
    <t xml:space="preserve">; 169764</t>
  </si>
  <si>
    <t xml:space="preserve">; 637050</t>
  </si>
  <si>
    <t xml:space="preserve">COC1=CC=C2NC=C(CCNC(=O)C3=CC(=O)C=CO3)C2=C1; COC1=CC2=C(C=C1)N=CN(C2=O)C1=CC=C(OC)C=C1CO</t>
  </si>
  <si>
    <t xml:space="preserve">PNTNBIHOAPJYDB-UHFFFAOYSA-N; SHUSJJZZTZAKPD-UHFFFAOYSA-N</t>
  </si>
  <si>
    <t xml:space="preserve">Indoles and derivatives; Diazanaphthalenes</t>
  </si>
  <si>
    <t xml:space="preserve">Indoles; Benzodiazines</t>
  </si>
  <si>
    <t xml:space="preserve">311.22004</t>
  </si>
  <si>
    <t xml:space="preserve">C18H32O4</t>
  </si>
  <si>
    <t xml:space="preserve">(10E,12Z)-(9S)-9-Hydroperoxyoctadeca-10,12-dienoic acid</t>
  </si>
  <si>
    <t xml:space="preserve">2972</t>
  </si>
  <si>
    <t xml:space="preserve">HMDB0062434</t>
  </si>
  <si>
    <t xml:space="preserve">36019</t>
  </si>
  <si>
    <t xml:space="preserve">LMFA02000012</t>
  </si>
  <si>
    <t xml:space="preserve">C14827</t>
  </si>
  <si>
    <t xml:space="preserve">34498</t>
  </si>
  <si>
    <t xml:space="preserve">9548877</t>
  </si>
  <si>
    <t xml:space="preserve">29774-12-7</t>
  </si>
  <si>
    <t xml:space="preserve">C(CCCCCCC[C@H](OO)/C=C/C=C\CCCCC)(=O)O</t>
  </si>
  <si>
    <t xml:space="preserve">JGUNZIWGNMQSBM-UINYOVNOSA-N</t>
  </si>
  <si>
    <t xml:space="preserve">311.29504</t>
  </si>
  <si>
    <t xml:space="preserve">C20H40O2</t>
  </si>
  <si>
    <t xml:space="preserve">FA(20:0); Phytanic acid; 3,7R,11R,15-tetramethyl-hexadecanoic acid</t>
  </si>
  <si>
    <t xml:space="preserve">66; 47229; 35827</t>
  </si>
  <si>
    <t xml:space="preserve">HMDB0002212; HMDB0000801; HMDB0062520</t>
  </si>
  <si>
    <t xml:space="preserve">401; 200; 333520</t>
  </si>
  <si>
    <t xml:space="preserve">LMFA01010020; ; LMPR0104010004</t>
  </si>
  <si>
    <t xml:space="preserve">C06425; C01607; C01607</t>
  </si>
  <si>
    <t xml:space="preserve">28822; 16285; </t>
  </si>
  <si>
    <t xml:space="preserve">10467; 26840; 468706</t>
  </si>
  <si>
    <t xml:space="preserve">506-30-9; 14721-66-5; </t>
  </si>
  <si>
    <t xml:space="preserve">C(CCCCCCCCCC)CCCCCCCCC(=O)O; CC(C)CCCC(C)CCCC(C)CCCC(C)CC(O)=O; C(CC(C)CCC[C@H](C)CCC[C@H](C)CCCC(C)C)(=O)O</t>
  </si>
  <si>
    <t xml:space="preserve">VKOBVWXKNCXXDE-UHFFFAOYSA-N; RLCKHJSFHOZMDR-UHFFFAOYSA-N; RLCKHJSFHOZMDR-PWCSWUJKSA-N</t>
  </si>
  <si>
    <t xml:space="preserve">Fatty Acyls; Prenol lipids; Prenol lipids</t>
  </si>
  <si>
    <t xml:space="preserve">Fatty acids and conjugates; Diterpenoids; Diterpenoids</t>
  </si>
  <si>
    <t xml:space="preserve">311.97071</t>
  </si>
  <si>
    <t xml:space="preserve">C9H10ClN3O2S2</t>
  </si>
  <si>
    <t xml:space="preserve">Tifenazoxide</t>
  </si>
  <si>
    <t xml:space="preserve">212500</t>
  </si>
  <si>
    <t xml:space="preserve">HMDB0259083</t>
  </si>
  <si>
    <t xml:space="preserve">CC1(CC1)N=C1NC2=C(SC(Cl)=C2)S(=O)(=O)N1</t>
  </si>
  <si>
    <t xml:space="preserve">KYSFUHHFTIGRJN-UHFFFAOYSA-N</t>
  </si>
  <si>
    <t xml:space="preserve">2,3,5-trisubstituted thiophenes</t>
  </si>
  <si>
    <t xml:space="preserve">313.08084</t>
  </si>
  <si>
    <t xml:space="preserve">C16H16N2O6</t>
  </si>
  <si>
    <t xml:space="preserve">Desidustat</t>
  </si>
  <si>
    <t xml:space="preserve">205713</t>
  </si>
  <si>
    <t xml:space="preserve">HMDB0251046</t>
  </si>
  <si>
    <t xml:space="preserve">75593290</t>
  </si>
  <si>
    <t xml:space="preserve">OC(=O)CNC(=O)C1=C(O)C2=CC=CC=C2N(OCC2CC2)C1=O</t>
  </si>
  <si>
    <t xml:space="preserve">IKRKQQLJYBAPQT-UHFFFAOYSA-N</t>
  </si>
  <si>
    <t xml:space="preserve">313.94005</t>
  </si>
  <si>
    <t xml:space="preserve">C10H9Cl2NO4</t>
  </si>
  <si>
    <t xml:space="preserve">N-(3,5-Dichlorophenyl)-2-hydroxysuccinamic acid</t>
  </si>
  <si>
    <t xml:space="preserve">202224</t>
  </si>
  <si>
    <t xml:space="preserve">HMDB0246925</t>
  </si>
  <si>
    <t xml:space="preserve">115174</t>
  </si>
  <si>
    <t xml:space="preserve">OC(CC(=O)NC1=CC(Cl)=CC(Cl)=C1)C(O)=O</t>
  </si>
  <si>
    <t xml:space="preserve">XBHKNWDHVCOOIV-UHFFFAOYSA-N</t>
  </si>
  <si>
    <t xml:space="preserve">314.08231</t>
  </si>
  <si>
    <t xml:space="preserve">C20H15NO4</t>
  </si>
  <si>
    <t xml:space="preserve">Norchelerythrine</t>
  </si>
  <si>
    <t xml:space="preserve">209670</t>
  </si>
  <si>
    <t xml:space="preserve">HMDB0255726</t>
  </si>
  <si>
    <t xml:space="preserve">69377</t>
  </si>
  <si>
    <t xml:space="preserve">C12226</t>
  </si>
  <si>
    <t xml:space="preserve">443719</t>
  </si>
  <si>
    <t xml:space="preserve">6900-99-8</t>
  </si>
  <si>
    <t xml:space="preserve">COC1=CC=C2C(C=NC3=C2C=CC2=CC4=C(OCO4)C=C32)=C1OC</t>
  </si>
  <si>
    <t xml:space="preserve">JGUNQXPMULKFNY-UHFFFAOYSA-N</t>
  </si>
  <si>
    <t xml:space="preserve">Quinolines and derivatives</t>
  </si>
  <si>
    <t xml:space="preserve">Benzoquinolines</t>
  </si>
  <si>
    <t xml:space="preserve">314.23894</t>
  </si>
  <si>
    <t xml:space="preserve">C17H33NO4</t>
  </si>
  <si>
    <t xml:space="preserve">Decanoylcarnitine</t>
  </si>
  <si>
    <t xml:space="preserve">8288</t>
  </si>
  <si>
    <t xml:space="preserve">HMDB0000651</t>
  </si>
  <si>
    <t xml:space="preserve">962</t>
  </si>
  <si>
    <t xml:space="preserve">LMFA07070006</t>
  </si>
  <si>
    <t xml:space="preserve">C03299</t>
  </si>
  <si>
    <t xml:space="preserve">28717</t>
  </si>
  <si>
    <t xml:space="preserve">11953821</t>
  </si>
  <si>
    <t xml:space="preserve">1492-27-9</t>
  </si>
  <si>
    <t xml:space="preserve">O=C(O[C@](CC([O-])=O)(C[N+](C)(C)C)[H])CCCCCCCCC</t>
  </si>
  <si>
    <t xml:space="preserve">LZOSYCMHQXPBFU-OAHLLOKOSA-N</t>
  </si>
  <si>
    <t xml:space="preserve">Fatty acid esters</t>
  </si>
  <si>
    <t xml:space="preserve">315.07144</t>
  </si>
  <si>
    <t xml:space="preserve">C13H16O9</t>
  </si>
  <si>
    <t xml:space="preserve">Ginnalin B</t>
  </si>
  <si>
    <t xml:space="preserve">207167</t>
  </si>
  <si>
    <t xml:space="preserve">HMDB0252723</t>
  </si>
  <si>
    <t xml:space="preserve">75037928</t>
  </si>
  <si>
    <t xml:space="preserve">OC1COC(COC(=O)C2=CC(O)=C(O)C(O)=C2)C(O)C1O</t>
  </si>
  <si>
    <t xml:space="preserve">NUVIRDWXIBOJTE-UHFFFAOYSA-N</t>
  </si>
  <si>
    <t xml:space="preserve">316.07920</t>
  </si>
  <si>
    <t xml:space="preserve">C14H19NO3S</t>
  </si>
  <si>
    <t xml:space="preserve">N-(2-(Mercaptomethyl)-3-phenylbutanoyl)-L-alanine</t>
  </si>
  <si>
    <t xml:space="preserve">210865</t>
  </si>
  <si>
    <t xml:space="preserve">HMDB0257118</t>
  </si>
  <si>
    <t xml:space="preserve">19604194</t>
  </si>
  <si>
    <t xml:space="preserve">CC(NC(=O)C(CS)C(C)C1=CC=CC=C1)C(O)=O</t>
  </si>
  <si>
    <t xml:space="preserve">ABBSOQIXYPZCKO-UHFFFAOYSA-N</t>
  </si>
  <si>
    <t xml:space="preserve">317.05714</t>
  </si>
  <si>
    <t xml:space="preserve">C18H10N2O4</t>
  </si>
  <si>
    <t xml:space="preserve">Melanin</t>
  </si>
  <si>
    <t xml:space="preserve">48220</t>
  </si>
  <si>
    <t xml:space="preserve">HMDB0004068</t>
  </si>
  <si>
    <t xml:space="preserve">7011</t>
  </si>
  <si>
    <t xml:space="preserve">C05606</t>
  </si>
  <si>
    <t xml:space="preserve">89634</t>
  </si>
  <si>
    <t xml:space="preserve">6325610</t>
  </si>
  <si>
    <t xml:space="preserve">8049-97-6</t>
  </si>
  <si>
    <t xml:space="preserve">CC1=C2NC=C3C2=C(C2=CNC4=C(C)C(=O)C(=O)C3=C24)C(=O)C1=O</t>
  </si>
  <si>
    <t xml:space="preserve">XUMBMVFBXHLACL-UHFFFAOYSA-N</t>
  </si>
  <si>
    <t xml:space="preserve">Anthracenes</t>
  </si>
  <si>
    <t xml:space="preserve">318.02390</t>
  </si>
  <si>
    <t xml:space="preserve">C15H13NO3S2</t>
  </si>
  <si>
    <t xml:space="preserve">ONO-2235; ONO 2235; ONO2235; Sorbistat</t>
  </si>
  <si>
    <t xml:space="preserve">200411</t>
  </si>
  <si>
    <t xml:space="preserve">HMDB0244960</t>
  </si>
  <si>
    <t xml:space="preserve">3235</t>
  </si>
  <si>
    <t xml:space="preserve">CC(C=C1SC(=S)N(CC(O)=O)C1=O)=CC1=CC=CC=C1</t>
  </si>
  <si>
    <t xml:space="preserve">CHNUOJQWGUIOLD-UHFFFAOYSA-N</t>
  </si>
  <si>
    <t xml:space="preserve">319.07751</t>
  </si>
  <si>
    <t xml:space="preserve">C10H14N6O5</t>
  </si>
  <si>
    <t xml:space="preserve">8-Aminoguanosine</t>
  </si>
  <si>
    <t xml:space="preserve">202650</t>
  </si>
  <si>
    <t xml:space="preserve">HMDB0247416</t>
  </si>
  <si>
    <t xml:space="preserve">259808</t>
  </si>
  <si>
    <t xml:space="preserve">NC1=NC2=C(N=C(N)NC2=O)N1C1OC(CO)C(O)C1O</t>
  </si>
  <si>
    <t xml:space="preserve">FNXPTCITVCRFRK-UHFFFAOYSA-N</t>
  </si>
  <si>
    <t xml:space="preserve">321.01303</t>
  </si>
  <si>
    <t xml:space="preserve">C8H20O5P2S2</t>
  </si>
  <si>
    <t xml:space="preserve">Sulfotep</t>
  </si>
  <si>
    <t xml:space="preserve">212092</t>
  </si>
  <si>
    <t xml:space="preserve">HMDB0258605</t>
  </si>
  <si>
    <t xml:space="preserve">72469</t>
  </si>
  <si>
    <t xml:space="preserve">C18691</t>
  </si>
  <si>
    <t xml:space="preserve">38945</t>
  </si>
  <si>
    <t xml:space="preserve">19395</t>
  </si>
  <si>
    <t xml:space="preserve">3689-24-5</t>
  </si>
  <si>
    <t xml:space="preserve">CCOP(=S)(OCC)OP(=S)(OCC)OCC</t>
  </si>
  <si>
    <t xml:space="preserve">XIUROWKZWPIAIB-UHFFFAOYSA-N</t>
  </si>
  <si>
    <t xml:space="preserve">321.17176</t>
  </si>
  <si>
    <t xml:space="preserve">C19H22N4O</t>
  </si>
  <si>
    <t xml:space="preserve">9-Amino-N-[3-(Dimethylamino)Propyl]Acridine-4-Carboxamide</t>
  </si>
  <si>
    <t xml:space="preserve">202789</t>
  </si>
  <si>
    <t xml:space="preserve">HMDB0247577</t>
  </si>
  <si>
    <t xml:space="preserve">CN(C)CCCNC(=O)C1=CC=CC2=C(N)C3=C(C=CC=C3)N=C12</t>
  </si>
  <si>
    <t xml:space="preserve">VNWAULKXOPRJEL-UHFFFAOYSA-N</t>
  </si>
  <si>
    <t xml:space="preserve">322.05191</t>
  </si>
  <si>
    <t xml:space="preserve">C13H19NO4S</t>
  </si>
  <si>
    <t xml:space="preserve">Probenecid</t>
  </si>
  <si>
    <t xml:space="preserve">53271</t>
  </si>
  <si>
    <t xml:space="preserve">HMDB0015166</t>
  </si>
  <si>
    <t xml:space="preserve">2087</t>
  </si>
  <si>
    <t xml:space="preserve">C07372</t>
  </si>
  <si>
    <t xml:space="preserve">8426</t>
  </si>
  <si>
    <t xml:space="preserve">4911</t>
  </si>
  <si>
    <t xml:space="preserve">57-66-9</t>
  </si>
  <si>
    <t xml:space="preserve">CCCN(CCC)S(=O)(=O)C1=CC=C(C=C1)C(O)=O</t>
  </si>
  <si>
    <t xml:space="preserve">DBABZHXKTCFAPX-UHFFFAOYSA-N</t>
  </si>
  <si>
    <t xml:space="preserve">322.96720</t>
  </si>
  <si>
    <t xml:space="preserve">C9H10ClN2O5PS</t>
  </si>
  <si>
    <t xml:space="preserve">Azamethiphos</t>
  </si>
  <si>
    <t xml:space="preserve">203804</t>
  </si>
  <si>
    <t xml:space="preserve">HMDB0248763</t>
  </si>
  <si>
    <t xml:space="preserve">72480</t>
  </si>
  <si>
    <t xml:space="preserve">C18702</t>
  </si>
  <si>
    <t xml:space="preserve">38578</t>
  </si>
  <si>
    <t xml:space="preserve">71482</t>
  </si>
  <si>
    <t xml:space="preserve">35575-96-3</t>
  </si>
  <si>
    <t xml:space="preserve">COP(=O)(OC)SCN1C(=O)OC2=CC(Cl)=CN=C12</t>
  </si>
  <si>
    <t xml:space="preserve">VNKBTWQZTQIWDV-UHFFFAOYSA-N</t>
  </si>
  <si>
    <t xml:space="preserve">Oxazolopyridines</t>
  </si>
  <si>
    <t xml:space="preserve">323.02542</t>
  </si>
  <si>
    <t xml:space="preserve">C5H6O6</t>
  </si>
  <si>
    <t xml:space="preserve">4-Hydroxy-2-oxoglutaric acid; D-4-Hydroxy-2-oxoglutarate</t>
  </si>
  <si>
    <t xml:space="preserve">47791; 82361</t>
  </si>
  <si>
    <t xml:space="preserve">HMDB0002070; HMDB0060466</t>
  </si>
  <si>
    <t xml:space="preserve">6471; 63473</t>
  </si>
  <si>
    <t xml:space="preserve">C01127; C05946</t>
  </si>
  <si>
    <t xml:space="preserve">30923; 4083</t>
  </si>
  <si>
    <t xml:space="preserve">599; 440853</t>
  </si>
  <si>
    <t xml:space="preserve">1187-99-1; </t>
  </si>
  <si>
    <t xml:space="preserve">OC(CC(=O)C(O)=O)C(O)=O; [H][C@@](O)(CC(=O)C(O)=O)C(O)=O</t>
  </si>
  <si>
    <t xml:space="preserve">WXSKVKPSMAHCSG-UHFFFAOYSA-N; WXSKVKPSMAHCSG-UWTATZPHSA-N</t>
  </si>
  <si>
    <t xml:space="preserve">Keto acids and derivatives; Keto acids and derivatives</t>
  </si>
  <si>
    <t xml:space="preserve">Gamma-keto acids and derivatives; Gamma-keto acids and derivatives</t>
  </si>
  <si>
    <t xml:space="preserve">323.13676</t>
  </si>
  <si>
    <t xml:space="preserve">C13H18N4O3</t>
  </si>
  <si>
    <t xml:space="preserve">Pentoxifylline</t>
  </si>
  <si>
    <t xml:space="preserve">53089</t>
  </si>
  <si>
    <t xml:space="preserve">HMDB0014944</t>
  </si>
  <si>
    <t xml:space="preserve">1767</t>
  </si>
  <si>
    <t xml:space="preserve">C07424</t>
  </si>
  <si>
    <t xml:space="preserve">127029</t>
  </si>
  <si>
    <t xml:space="preserve">4740</t>
  </si>
  <si>
    <t xml:space="preserve">6493-05-6</t>
  </si>
  <si>
    <t xml:space="preserve">CN1C=NC2=C1C(=O)N(CCCCC(C)=O)C(=O)N2C</t>
  </si>
  <si>
    <t xml:space="preserve">BYPFEZZEUUWMEJ-UHFFFAOYSA-N</t>
  </si>
  <si>
    <t xml:space="preserve">324.03509</t>
  </si>
  <si>
    <t xml:space="preserve">C9H13N5O6</t>
  </si>
  <si>
    <t xml:space="preserve">Clitocine</t>
  </si>
  <si>
    <t xml:space="preserve">57916</t>
  </si>
  <si>
    <t xml:space="preserve">HMDB0033718</t>
  </si>
  <si>
    <t xml:space="preserve">89495</t>
  </si>
  <si>
    <t xml:space="preserve">11644921</t>
  </si>
  <si>
    <t xml:space="preserve">105798-74-1</t>
  </si>
  <si>
    <t xml:space="preserve">NC1=C(C(NC2OC(CO)C(O)C2O)=NC=N1)N(=O)=O</t>
  </si>
  <si>
    <t xml:space="preserve">OHEMBWZZEKCBAS-UHFFFAOYSA-N</t>
  </si>
  <si>
    <t xml:space="preserve">324.07148</t>
  </si>
  <si>
    <t xml:space="preserve">C9H15N5O6</t>
  </si>
  <si>
    <t xml:space="preserve">2-Amino-4-oxo-6-(1',2',3'-trihydroxypropyl)-diquinoid-7,8-dihydroxypterin</t>
  </si>
  <si>
    <t xml:space="preserve">51859</t>
  </si>
  <si>
    <t xml:space="preserve">HMDB0012144</t>
  </si>
  <si>
    <t xml:space="preserve">62810</t>
  </si>
  <si>
    <t xml:space="preserve">C05253</t>
  </si>
  <si>
    <t xml:space="preserve">25</t>
  </si>
  <si>
    <t xml:space="preserve">NC1=NC2=C(NC(C(O)C(O)CO)C(O)N2O)C(=O)N1</t>
  </si>
  <si>
    <t xml:space="preserve">KQZRTOGFDRQBSR-UHFFFAOYSA-N</t>
  </si>
  <si>
    <t xml:space="preserve">324.98473</t>
  </si>
  <si>
    <t xml:space="preserve">C13H12O7S2</t>
  </si>
  <si>
    <t xml:space="preserve">Sultosilic acid</t>
  </si>
  <si>
    <t xml:space="preserve">212108</t>
  </si>
  <si>
    <t xml:space="preserve">HMDB0258624</t>
  </si>
  <si>
    <t xml:space="preserve">CC1=CC=C(C=C1)S(=O)(=O)OC1=CC(=C(O)C=C1)S(O)(=O)=O</t>
  </si>
  <si>
    <t xml:space="preserve">SVXZTCUBEFUKRQ-UHFFFAOYSA-N</t>
  </si>
  <si>
    <t xml:space="preserve">325.03540</t>
  </si>
  <si>
    <t xml:space="preserve">C10H18N2O4S3</t>
  </si>
  <si>
    <t xml:space="preserve">Iberin-N-acetyl-cysteine</t>
  </si>
  <si>
    <t xml:space="preserve">197190</t>
  </si>
  <si>
    <t xml:space="preserve">HMDB0240535</t>
  </si>
  <si>
    <t xml:space="preserve">78068908</t>
  </si>
  <si>
    <t xml:space="preserve">CC(O)=NC(CSC(S)=NCCCS(C)=O)C(O)=O</t>
  </si>
  <si>
    <t xml:space="preserve">RBVJIAJZFANPKT-UHFFFAOYSA-N</t>
  </si>
  <si>
    <t xml:space="preserve">325.12651</t>
  </si>
  <si>
    <t xml:space="preserve">C14H26O4S</t>
  </si>
  <si>
    <t xml:space="preserve">Diisopentyl thiomalate</t>
  </si>
  <si>
    <t xml:space="preserve">7513</t>
  </si>
  <si>
    <t xml:space="preserve">HMDB0032223</t>
  </si>
  <si>
    <t xml:space="preserve">88272</t>
  </si>
  <si>
    <t xml:space="preserve">LMFA07010835</t>
  </si>
  <si>
    <t xml:space="preserve">38708</t>
  </si>
  <si>
    <t xml:space="preserve">106530</t>
  </si>
  <si>
    <t xml:space="preserve">68084-03-7</t>
  </si>
  <si>
    <t xml:space="preserve">O=C(CC(C(OCCC(C)C)=O)S)OCCC(C)C</t>
  </si>
  <si>
    <t xml:space="preserve">HHNLQBYPOOATIP-UHFFFAOYSA-N</t>
  </si>
  <si>
    <t xml:space="preserve">325.19979</t>
  </si>
  <si>
    <t xml:space="preserve">C18H30O5</t>
  </si>
  <si>
    <t xml:space="preserve">(3b,6b,8a,12a)-8,12-Epoxy-7(11)-eremophilene-6,8,12-trimethoxy-3-ol; (Z)-5-[(2R,3S,4S)-4-Hydroxy-2-[(E)-3-hydroxyoct-1-enyl]oxan-3-yl]pent-3-enoic acid</t>
  </si>
  <si>
    <t xml:space="preserve">56425; 199859</t>
  </si>
  <si>
    <t xml:space="preserve">HMDB0031963; HMDB0244345</t>
  </si>
  <si>
    <t xml:space="preserve">88075; </t>
  </si>
  <si>
    <t xml:space="preserve">172554; </t>
  </si>
  <si>
    <t xml:space="preserve">131751225; </t>
  </si>
  <si>
    <t xml:space="preserve">COC1OC2(CC3CCC(O)C(C)C3(C)C(OC)C2=C1C)OC; CCCCCC(O)C=CC1OCCC(O)C1CC=CCC(O)=O</t>
  </si>
  <si>
    <t xml:space="preserve">CLQUNRBWTPVVAG-UHFFFAOYSA-N; CMBTXTLLBGRNAY-UHFFFAOYSA-N</t>
  </si>
  <si>
    <t xml:space="preserve">Organoheterocyclic compounds; Organic acids and derivatives</t>
  </si>
  <si>
    <t xml:space="preserve">Naphthofurans; Hydroxy acids and derivatives</t>
  </si>
  <si>
    <t xml:space="preserve">Unclassified; Medium-chain hydroxy acids and derivatives</t>
  </si>
  <si>
    <t xml:space="preserve">325.97975</t>
  </si>
  <si>
    <t xml:space="preserve">C11H12Cl3N3</t>
  </si>
  <si>
    <t xml:space="preserve">N-[2,6-Dichloro-4-(2-chloroethyl)phenyl]-4,5-dihydro-1H-imidazol-2-amine</t>
  </si>
  <si>
    <t xml:space="preserve">211631</t>
  </si>
  <si>
    <t xml:space="preserve">HMDB0258039</t>
  </si>
  <si>
    <t xml:space="preserve">10379598</t>
  </si>
  <si>
    <t xml:space="preserve">ClCCC1=CC(Cl)=C(NC2=NCCN2)C(Cl)=C1</t>
  </si>
  <si>
    <t xml:space="preserve">INWOXHJMQZCQQY-UHFFFAOYSA-N</t>
  </si>
  <si>
    <t xml:space="preserve">326.08458</t>
  </si>
  <si>
    <t xml:space="preserve">C10H20NO4PS</t>
  </si>
  <si>
    <t xml:space="preserve">Propan-2-yl 3-[ethylamino(methoxy)phosphinothioyl]oxybut-2-enoate</t>
  </si>
  <si>
    <t xml:space="preserve">202987</t>
  </si>
  <si>
    <t xml:space="preserve">HMDB0247799</t>
  </si>
  <si>
    <t xml:space="preserve">35754</t>
  </si>
  <si>
    <t xml:space="preserve">CCNP(=S)(OC)OC(C)=CC(=O)OC(C)C</t>
  </si>
  <si>
    <t xml:space="preserve">BZNDWPRGXNILMS-UHFFFAOYSA-N</t>
  </si>
  <si>
    <t xml:space="preserve">327.13239</t>
  </si>
  <si>
    <t xml:space="preserve">C18H20N2O4</t>
  </si>
  <si>
    <t xml:space="preserve">Phenylalanyltyrosine; Tyrosyl-Phenylalanine; Dictyoquinazol B</t>
  </si>
  <si>
    <t xml:space="preserve">54024; 54123; 63608</t>
  </si>
  <si>
    <t xml:space="preserve">HMDB0029007; HMDB0029112; HMDB0040441</t>
  </si>
  <si>
    <t xml:space="preserve">336907; 23970; 94944</t>
  </si>
  <si>
    <t xml:space="preserve">73637; ; 174418</t>
  </si>
  <si>
    <t xml:space="preserve">13341191; 3421919; 10903565</t>
  </si>
  <si>
    <t xml:space="preserve">17355-18-9; ; </t>
  </si>
  <si>
    <t xml:space="preserve">N[C@@H](CC1=CC=CC=C1)C(=O)N[C@@H](CC1=CC=C(O)C=C1)C(O)=O; NC(CC1=CC=C(O)C=C1)C(=O)NC(CC1=CC=CC=C1)C(O)=O; COC1=CC=C(N2CN(C=O)C3=CC=C(OC)C=C3C2)C(CO)=C1</t>
  </si>
  <si>
    <t xml:space="preserve">FSXRLASFHBWESK-HOTGVXAUSA-N; CGWAPUBOXJWXMS-UHFFFAOYSA-N; ZPMNGXXERQAMJD-UHFFFAOYSA-N</t>
  </si>
  <si>
    <t xml:space="preserve">Organic acids and derivatives; Organic acids and derivatives; Organoheterocyclic compounds</t>
  </si>
  <si>
    <t xml:space="preserve">Carboxylic acids and derivatives; Carboxylic acids and derivatives; Diazanaphthalenes</t>
  </si>
  <si>
    <t xml:space="preserve">Amino acids, peptides, and analogues; Amino acids, peptides, and analogues; Benzodiazines</t>
  </si>
  <si>
    <t xml:space="preserve">327.96472</t>
  </si>
  <si>
    <t xml:space="preserve">C8H10ClN5O3S</t>
  </si>
  <si>
    <t xml:space="preserve">Thiamethoxam</t>
  </si>
  <si>
    <t xml:space="preserve">212395</t>
  </si>
  <si>
    <t xml:space="preserve">HMDB0258969</t>
  </si>
  <si>
    <t xml:space="preserve">39185</t>
  </si>
  <si>
    <t xml:space="preserve">CN1COCN(CC2=CN=C(Cl)S2)C1=N[N+]([O-])=O</t>
  </si>
  <si>
    <t xml:space="preserve">NWWZPOKUUAIXIW-UHFFFAOYSA-N</t>
  </si>
  <si>
    <t xml:space="preserve">328.00233</t>
  </si>
  <si>
    <t xml:space="preserve">C12H9N3O5S</t>
  </si>
  <si>
    <t xml:space="preserve">Nitazoxanide</t>
  </si>
  <si>
    <t xml:space="preserve">52853</t>
  </si>
  <si>
    <t xml:space="preserve">HMDB0014649</t>
  </si>
  <si>
    <t xml:space="preserve">64837</t>
  </si>
  <si>
    <t xml:space="preserve">438934</t>
  </si>
  <si>
    <t xml:space="preserve">41684</t>
  </si>
  <si>
    <t xml:space="preserve">55981-09-4</t>
  </si>
  <si>
    <t xml:space="preserve">CC(=O)OC1=CC=CC=C1C(=O)NC1=NC=C(S1)[N+]([O-])=O</t>
  </si>
  <si>
    <t xml:space="preserve">YQNQNVDNTFHQSW-UHFFFAOYSA-N</t>
  </si>
  <si>
    <t xml:space="preserve">328.06676</t>
  </si>
  <si>
    <t xml:space="preserve">C13H15NO9</t>
  </si>
  <si>
    <t xml:space="preserve">N-(2-Hydroxyphenyl)acetamide glucuronide</t>
  </si>
  <si>
    <t xml:space="preserve">197193</t>
  </si>
  <si>
    <t xml:space="preserve">HMDB0240542</t>
  </si>
  <si>
    <t xml:space="preserve">[H][C@@]1(OC2=CC=CC=C2NC(O)=O)O[C@]([H])(C(O)=O)C([H])(O)[C@]([H])(O)C1([H])O</t>
  </si>
  <si>
    <t xml:space="preserve">PRQFWBNVZNICDN-JUSQZNFGSA-N</t>
  </si>
  <si>
    <t xml:space="preserve">328.10081</t>
  </si>
  <si>
    <t xml:space="preserve">C17H17NOS</t>
  </si>
  <si>
    <t xml:space="preserve">1-(1,3-Benzothiazol-2-yl)-1-(2,4-dimethylphenyl)ethanol</t>
  </si>
  <si>
    <t xml:space="preserve">202961</t>
  </si>
  <si>
    <t xml:space="preserve">HMDB0247771</t>
  </si>
  <si>
    <t xml:space="preserve">52943938</t>
  </si>
  <si>
    <t xml:space="preserve">CC1=CC(C)=C(C=C1)C(C)(O)C1=NC2=CC=CC=C2S1</t>
  </si>
  <si>
    <t xml:space="preserve">IGSZVEPQZANNAB-UHFFFAOYSA-N</t>
  </si>
  <si>
    <t xml:space="preserve">Benzothiazoles</t>
  </si>
  <si>
    <t xml:space="preserve">328.22317</t>
  </si>
  <si>
    <t xml:space="preserve">C16H31N3O4</t>
  </si>
  <si>
    <t xml:space="preserve">Ile-Val-Val</t>
  </si>
  <si>
    <t xml:space="preserve">257552</t>
  </si>
  <si>
    <t xml:space="preserve">HMDB0304801</t>
  </si>
  <si>
    <t xml:space="preserve">18221977</t>
  </si>
  <si>
    <t xml:space="preserve">CCC(C)C(N)C(O)=NC(C(C)C)C(O)=NC(C(C)C)C(O)=O</t>
  </si>
  <si>
    <t xml:space="preserve">YHFPHRUWZMEOIX-UHFFFAOYSA-N</t>
  </si>
  <si>
    <t xml:space="preserve">328.96102</t>
  </si>
  <si>
    <t xml:space="preserve">C7H15Cl2N2O4P</t>
  </si>
  <si>
    <t xml:space="preserve">Carboxyifosfamide; Carboxyphosphamide</t>
  </si>
  <si>
    <t xml:space="preserve">82563; 82344</t>
  </si>
  <si>
    <t xml:space="preserve">HMDB0060692; HMDB0060449</t>
  </si>
  <si>
    <t xml:space="preserve">71239; 633</t>
  </si>
  <si>
    <t xml:space="preserve">C16557; C07646</t>
  </si>
  <si>
    <t xml:space="preserve">; 3410</t>
  </si>
  <si>
    <t xml:space="preserve">124143; 31515</t>
  </si>
  <si>
    <t xml:space="preserve">53459-52-2; 22788-18-7</t>
  </si>
  <si>
    <t xml:space="preserve">OC(=O)CCOP(=O)(NCCCl)NCCCl; NP(=O)(OCCC(O)=O)N(CCCl)CCCl</t>
  </si>
  <si>
    <t xml:space="preserve">DNDBVHDNSYHKLI-UHFFFAOYSA-N; QLAKAJLYYGOZQL-UHFFFAOYSA-N</t>
  </si>
  <si>
    <t xml:space="preserve">Organic acids and derivatives; Organic nitrogen compounds</t>
  </si>
  <si>
    <t xml:space="preserve">Organic phosphoric acids and derivatives; Organonitrogen compounds</t>
  </si>
  <si>
    <t xml:space="preserve">Organic phosphoramides; Nitrogen mustard compounds</t>
  </si>
  <si>
    <t xml:space="preserve">328.99369</t>
  </si>
  <si>
    <t xml:space="preserve">C13H11ClN2O2S</t>
  </si>
  <si>
    <t xml:space="preserve">Nuclomedone</t>
  </si>
  <si>
    <t xml:space="preserve">209746</t>
  </si>
  <si>
    <t xml:space="preserve">HMDB0255816</t>
  </si>
  <si>
    <t xml:space="preserve">314384</t>
  </si>
  <si>
    <t xml:space="preserve">128798</t>
  </si>
  <si>
    <t xml:space="preserve">ClC1=CC=C(CC2C(=O)N=C3SCCN3C2=O)C=C1</t>
  </si>
  <si>
    <t xml:space="preserve">QSKVYHYMQQQAFS-UHFFFAOYSA-N</t>
  </si>
  <si>
    <t xml:space="preserve">329.08413</t>
  </si>
  <si>
    <t xml:space="preserve">C13H18N2O6S</t>
  </si>
  <si>
    <t xml:space="preserve">4-(Dipropylsulfamoyl)-2-nitrobenzoic acid</t>
  </si>
  <si>
    <t xml:space="preserve">200702</t>
  </si>
  <si>
    <t xml:space="preserve">HMDB0245264</t>
  </si>
  <si>
    <t xml:space="preserve">461800</t>
  </si>
  <si>
    <t xml:space="preserve">193351</t>
  </si>
  <si>
    <t xml:space="preserve">CCCN(CCC)S(=O)(=O)C1=CC(=C(C=C1)C(O)=O)[N+]([O-])=O</t>
  </si>
  <si>
    <t xml:space="preserve">QVUYRWCZUQUOMI-UHFFFAOYSA-N</t>
  </si>
  <si>
    <t xml:space="preserve">329.23236</t>
  </si>
  <si>
    <t xml:space="preserve">C18H34O5</t>
  </si>
  <si>
    <t xml:space="preserve">9,12,13-TriHOME</t>
  </si>
  <si>
    <t xml:space="preserve">2974</t>
  </si>
  <si>
    <t xml:space="preserve">HMDB0004708</t>
  </si>
  <si>
    <t xml:space="preserve">36021</t>
  </si>
  <si>
    <t xml:space="preserve">LMFA02000014</t>
  </si>
  <si>
    <t xml:space="preserve">C14833</t>
  </si>
  <si>
    <t xml:space="preserve">34506</t>
  </si>
  <si>
    <t xml:space="preserve">9858729</t>
  </si>
  <si>
    <t xml:space="preserve">C(CCCCCCC[C@H](O)/C=C/[C@H](O)[C@@H](O)CCCCC)(=O)O</t>
  </si>
  <si>
    <t xml:space="preserve">MDIUMSLCYIJBQC-MVFSOIOZSA-N</t>
  </si>
  <si>
    <t xml:space="preserve">330.13557</t>
  </si>
  <si>
    <t xml:space="preserve">C18H21NO5</t>
  </si>
  <si>
    <t xml:space="preserve">Pretazettine</t>
  </si>
  <si>
    <t xml:space="preserve">255647</t>
  </si>
  <si>
    <t xml:space="preserve">HMDB0302721</t>
  </si>
  <si>
    <t xml:space="preserve">67052</t>
  </si>
  <si>
    <t xml:space="preserve">C08536</t>
  </si>
  <si>
    <t xml:space="preserve">73360</t>
  </si>
  <si>
    <t xml:space="preserve">17322-84-8</t>
  </si>
  <si>
    <t xml:space="preserve">CO[C@H]1C[C@@H]2N(C)C[C@@H]3O[C@@H](O)C4=CC5=C(OCO5)C=C4[C@@]23C=C1</t>
  </si>
  <si>
    <t xml:space="preserve">KLJOYDMUWKSYBP-YNBLHMCPSA-N</t>
  </si>
  <si>
    <t xml:space="preserve">Alkaloids and derivatives</t>
  </si>
  <si>
    <t xml:space="preserve">Amaryllidaceae alkaloids</t>
  </si>
  <si>
    <t xml:space="preserve">Tazettine-type amaryllidaceae alkaloids</t>
  </si>
  <si>
    <t xml:space="preserve">330.90974</t>
  </si>
  <si>
    <t xml:space="preserve">C8H7O8PS</t>
  </si>
  <si>
    <t xml:space="preserve">Sulfo-phospho-vanillin</t>
  </si>
  <si>
    <t xml:space="preserve">212076</t>
  </si>
  <si>
    <t xml:space="preserve">HMDB0258589</t>
  </si>
  <si>
    <t xml:space="preserve">129628498</t>
  </si>
  <si>
    <t xml:space="preserve">COC1=C(OP(=O)=O)C=CC(=C1)C(=O)S(O)(=O)=O</t>
  </si>
  <si>
    <t xml:space="preserve">SZFSLWMLMWUDEG-UHFFFAOYSA-N</t>
  </si>
  <si>
    <t xml:space="preserve">331.04613</t>
  </si>
  <si>
    <t xml:space="preserve">C16H12O8</t>
  </si>
  <si>
    <t xml:space="preserve">Laricitrin; Patuletin</t>
  </si>
  <si>
    <t xml:space="preserve">32567; 33071</t>
  </si>
  <si>
    <t xml:space="preserve">HMDB0126497; HMDB0030802</t>
  </si>
  <si>
    <t xml:space="preserve">50898; 51398</t>
  </si>
  <si>
    <t xml:space="preserve">LMPK12112482; LMPK12112986</t>
  </si>
  <si>
    <t xml:space="preserve">C12633; C10118</t>
  </si>
  <si>
    <t xml:space="preserve">31763; 75164</t>
  </si>
  <si>
    <t xml:space="preserve">5282154; 5281678</t>
  </si>
  <si>
    <t xml:space="preserve">53472-37-0; 519-96-0</t>
  </si>
  <si>
    <t xml:space="preserve">C1(O)=CC2OC(C3C=C(OC)C(O)=C(O)C=3)=C(O)C(=O)C=2C(O)=C1; C1(O)=CC2OC(C3C=C(O)C(O)=CC=3)=C(O)C(=O)C=2C(O)=C1OC</t>
  </si>
  <si>
    <t xml:space="preserve">CFYMYCCYMJIYAB-UHFFFAOYSA-N; JMIFIYIEXODVTO-UHFFFAOYSA-N</t>
  </si>
  <si>
    <t xml:space="preserve">Flavonoids; Flavonoids</t>
  </si>
  <si>
    <t xml:space="preserve">Flavones; Flavones</t>
  </si>
  <si>
    <t xml:space="preserve">331.14002</t>
  </si>
  <si>
    <t xml:space="preserve">C16H20N4O4</t>
  </si>
  <si>
    <t xml:space="preserve">Glutaminyltryptophan</t>
  </si>
  <si>
    <t xml:space="preserve">53844</t>
  </si>
  <si>
    <t xml:space="preserve">HMDB0028808</t>
  </si>
  <si>
    <t xml:space="preserve">85722</t>
  </si>
  <si>
    <t xml:space="preserve">141431</t>
  </si>
  <si>
    <t xml:space="preserve">25176542</t>
  </si>
  <si>
    <t xml:space="preserve">66851-83-0</t>
  </si>
  <si>
    <t xml:space="preserve">N[C@@H](CCC(N)=O)C(=O)N[C@@H](CC1=CNC2=C1C=CC=C2)C(O)=O</t>
  </si>
  <si>
    <t xml:space="preserve">ZQFAGNFSIZZYBA-AAEUAGOBSA-N</t>
  </si>
  <si>
    <t xml:space="preserve">333.05942</t>
  </si>
  <si>
    <t xml:space="preserve">C9H19O11P</t>
  </si>
  <si>
    <t xml:space="preserve">Glycerophosphoinositol</t>
  </si>
  <si>
    <t xml:space="preserve">51437</t>
  </si>
  <si>
    <t xml:space="preserve">HMDB0011649</t>
  </si>
  <si>
    <t xml:space="preserve">C01225</t>
  </si>
  <si>
    <t xml:space="preserve">18321</t>
  </si>
  <si>
    <t xml:space="preserve">129830-95-1</t>
  </si>
  <si>
    <t xml:space="preserve">OC[C@@H](O)COP(O)(=O)O[C@H]1[C@H](O)[C@@H](O)[C@H](O)[C@@H](O)[C@H]1O</t>
  </si>
  <si>
    <t xml:space="preserve">BMVUIWJCUQSHLZ-UJGXJMNGSA-N</t>
  </si>
  <si>
    <t xml:space="preserve">Glycerophospholipids</t>
  </si>
  <si>
    <t xml:space="preserve">Glycerophosphoinositols</t>
  </si>
  <si>
    <t xml:space="preserve">334.17694</t>
  </si>
  <si>
    <t xml:space="preserve">C16H23N3O2</t>
  </si>
  <si>
    <t xml:space="preserve">Dimethylphysostigmine</t>
  </si>
  <si>
    <t xml:space="preserve">199155</t>
  </si>
  <si>
    <t xml:space="preserve">HMDB0243517</t>
  </si>
  <si>
    <t xml:space="preserve">551604</t>
  </si>
  <si>
    <t xml:space="preserve">CN(C)C(=O)OC1=CC2=C(C=C1)N(C)C1N(C)CCC21C</t>
  </si>
  <si>
    <t xml:space="preserve">IUHMWLMDASQDJQ-UHFFFAOYSA-N</t>
  </si>
  <si>
    <t xml:space="preserve">Pyrroloindoles</t>
  </si>
  <si>
    <t xml:space="preserve">335.04473</t>
  </si>
  <si>
    <t xml:space="preserve">C11H14O7S</t>
  </si>
  <si>
    <t xml:space="preserve">4-Hydroxy-5-(4'-hydroxyphenyl)-valeric acid-4'-O-sulphate; 4-Hydroxy-5-(3'-hydroxyphenyl)-valeric acid-3'-O-sulphate; 3,5-Dihydroxyphenylvaleric acid sulfate</t>
  </si>
  <si>
    <t xml:space="preserve">81994; 81993; 197111</t>
  </si>
  <si>
    <t xml:space="preserve">HMDB0059976; HMDB0059975; HMDB0240452</t>
  </si>
  <si>
    <t xml:space="preserve">88683; 88682; </t>
  </si>
  <si>
    <t xml:space="preserve">124202068; 124202067; </t>
  </si>
  <si>
    <t xml:space="preserve">OC(CCC(O)=O)CC1=CC=C(OS(O)(=O)=O)C=C1; OC(CCC(O)=O)CC1=CC(OS(O)(=O)=O)=CC=C1; OC(=O)CCCCC1=CC(O)=CC(OS(O)(=O)=O)=C1</t>
  </si>
  <si>
    <t xml:space="preserve">GIYMZAJHBZLOGR-UHFFFAOYSA-N; DMBFBGLRQKIWGT-UHFFFAOYSA-N; GXGQOCNOANVHKV-UHFFFAOYSA-N</t>
  </si>
  <si>
    <t xml:space="preserve">337.09091</t>
  </si>
  <si>
    <t xml:space="preserve">C12H24N2O6S2</t>
  </si>
  <si>
    <t xml:space="preserve">Cyclohexyl-[cyclohexyl(sulfo)amino]sulfamic acid</t>
  </si>
  <si>
    <t xml:space="preserve">211263</t>
  </si>
  <si>
    <t xml:space="preserve">HMDB0257601</t>
  </si>
  <si>
    <t xml:space="preserve">53791447</t>
  </si>
  <si>
    <t xml:space="preserve">OS(=O)(=O)N(C1CCCCC1)N(C1CCCCC1)S(O)(=O)=O</t>
  </si>
  <si>
    <t xml:space="preserve">FCCZXFFYLBXDHU-UHFFFAOYSA-N</t>
  </si>
  <si>
    <t xml:space="preserve">Sulfamic acid derivatives</t>
  </si>
  <si>
    <t xml:space="preserve">Cyclamates</t>
  </si>
  <si>
    <t xml:space="preserve">337.20084</t>
  </si>
  <si>
    <t xml:space="preserve">C19H30O5</t>
  </si>
  <si>
    <t xml:space="preserve">PIPERONYL BUTOXIDE</t>
  </si>
  <si>
    <t xml:space="preserve">210409</t>
  </si>
  <si>
    <t xml:space="preserve">HMDB0256579</t>
  </si>
  <si>
    <t xml:space="preserve">72641</t>
  </si>
  <si>
    <t xml:space="preserve">C18880</t>
  </si>
  <si>
    <t xml:space="preserve">32687</t>
  </si>
  <si>
    <t xml:space="preserve">5794</t>
  </si>
  <si>
    <t xml:space="preserve">51-03-6</t>
  </si>
  <si>
    <t xml:space="preserve">CCCCOCCOCCOCC1=CC2=C(OCO2)C=C1CCC</t>
  </si>
  <si>
    <t xml:space="preserve">FIPWRIJSWJWJAI-UHFFFAOYSA-N</t>
  </si>
  <si>
    <t xml:space="preserve">Benzodioxoles</t>
  </si>
  <si>
    <t xml:space="preserve">337.30970</t>
  </si>
  <si>
    <t xml:space="preserve">C22H42O2</t>
  </si>
  <si>
    <t xml:space="preserve">FA(22:1)</t>
  </si>
  <si>
    <t xml:space="preserve">597</t>
  </si>
  <si>
    <t xml:space="preserve">HMDB0002068</t>
  </si>
  <si>
    <t xml:space="preserve">3555</t>
  </si>
  <si>
    <t xml:space="preserve">LMFA01030089</t>
  </si>
  <si>
    <t xml:space="preserve">C08316</t>
  </si>
  <si>
    <t xml:space="preserve">28792</t>
  </si>
  <si>
    <t xml:space="preserve">5281116</t>
  </si>
  <si>
    <t xml:space="preserve">112-86-7</t>
  </si>
  <si>
    <t xml:space="preserve">C(=C/CCCCCCCCCCCC(=O)O)/CCCCCCCC</t>
  </si>
  <si>
    <t xml:space="preserve">DPUOLQHDNGRHBS-KTKRTIGZSA-N</t>
  </si>
  <si>
    <t xml:space="preserve">338.99227</t>
  </si>
  <si>
    <t xml:space="preserve">C15H12O3S2</t>
  </si>
  <si>
    <t xml:space="preserve">Arctinone A acetate</t>
  </si>
  <si>
    <t xml:space="preserve">255275</t>
  </si>
  <si>
    <t xml:space="preserve">HMDB0302307</t>
  </si>
  <si>
    <t xml:space="preserve">CC#CC1=CC=C(S1)C1=CC=C(S1)C(=O)COC(C)=O</t>
  </si>
  <si>
    <t xml:space="preserve">FTJMUOBDALJHSD-UHFFFAOYSA-N</t>
  </si>
  <si>
    <t xml:space="preserve">339.19210</t>
  </si>
  <si>
    <t xml:space="preserve">C16H26N2O3</t>
  </si>
  <si>
    <t xml:space="preserve">Propoxycaine; Proparacaine</t>
  </si>
  <si>
    <t xml:space="preserve">210631; 53090</t>
  </si>
  <si>
    <t xml:space="preserve">HMDB0256833; HMDB0014945</t>
  </si>
  <si>
    <t xml:space="preserve">43316; 43315</t>
  </si>
  <si>
    <t xml:space="preserve">C07895; C07383</t>
  </si>
  <si>
    <t xml:space="preserve">; 309007</t>
  </si>
  <si>
    <t xml:space="preserve">6843; 4935</t>
  </si>
  <si>
    <t xml:space="preserve">; 499-67-2</t>
  </si>
  <si>
    <t xml:space="preserve">CCCOC1=CC(N)=CC=C1C(=O)OCCN(CC)CC; CCCOC1=C(N)C=C(C=C1)C(=O)OCCN(CC)CC</t>
  </si>
  <si>
    <t xml:space="preserve">CAJIGINSTLKQMM-UHFFFAOYSA-N; KCLANYCVBBTKTO-UHFFFAOYSA-N</t>
  </si>
  <si>
    <t xml:space="preserve">Benzoic acids and derivatives; Benzoic acids and derivatives</t>
  </si>
  <si>
    <t xml:space="preserve">339.32843</t>
  </si>
  <si>
    <t xml:space="preserve">C22H44O2</t>
  </si>
  <si>
    <t xml:space="preserve">FA(22:0)</t>
  </si>
  <si>
    <t xml:space="preserve">68</t>
  </si>
  <si>
    <t xml:space="preserve">HMDB0000944</t>
  </si>
  <si>
    <t xml:space="preserve">260</t>
  </si>
  <si>
    <t xml:space="preserve">LMFA01010022</t>
  </si>
  <si>
    <t xml:space="preserve">C08281</t>
  </si>
  <si>
    <t xml:space="preserve">28941</t>
  </si>
  <si>
    <t xml:space="preserve">8215</t>
  </si>
  <si>
    <t xml:space="preserve">112-85-6</t>
  </si>
  <si>
    <t xml:space="preserve">C(CCCCCCCCCCCCC(=O)O)CCCCCCCC</t>
  </si>
  <si>
    <t xml:space="preserve">UKMSUNONTOPOIO-UHFFFAOYSA-N</t>
  </si>
  <si>
    <t xml:space="preserve">341.19340</t>
  </si>
  <si>
    <t xml:space="preserve">C18H30O6</t>
  </si>
  <si>
    <t xml:space="preserve">2,3-dinor-6-oxoprostaglandin F1alpha; 2,3-Dinor-TXB2</t>
  </si>
  <si>
    <t xml:space="preserve">3709; 3911</t>
  </si>
  <si>
    <t xml:space="preserve">HMDB0062618; HMDB0002904</t>
  </si>
  <si>
    <t xml:space="preserve">; 36258</t>
  </si>
  <si>
    <t xml:space="preserve">LMFA03010089; LMFA03030003</t>
  </si>
  <si>
    <t xml:space="preserve">73944; 89991</t>
  </si>
  <si>
    <t xml:space="preserve">5283084; 5283138</t>
  </si>
  <si>
    <t xml:space="preserve">64700-71-6; 63250-09-9</t>
  </si>
  <si>
    <t xml:space="preserve">[C@H]1(/C=C/[C@@H](O)CCCCC)[C@H](O)C[C@H](O)[C@@H]1CC(=O)CCC(=O)O; C1[C@H](O)[C@H](C/C=C\CC(=O)O)[C@@H](/C=C/[C@@H](O)CCCCC)OC1O</t>
  </si>
  <si>
    <t xml:space="preserve">DNKGWNLXBRCUCF-NLOSNHEGSA-N; RJHNVFKNIJQTQF-LMIBIYGPSA-N</t>
  </si>
  <si>
    <t xml:space="preserve">Eicosanoids; Eicosanoids</t>
  </si>
  <si>
    <t xml:space="preserve">342.93299</t>
  </si>
  <si>
    <t xml:space="preserve">C8H11Cl3O6</t>
  </si>
  <si>
    <t xml:space="preserve">Alphachloralose</t>
  </si>
  <si>
    <t xml:space="preserve">56205</t>
  </si>
  <si>
    <t xml:space="preserve">HMDB0031727</t>
  </si>
  <si>
    <t xml:space="preserve">85991</t>
  </si>
  <si>
    <t xml:space="preserve">15879-93-3</t>
  </si>
  <si>
    <t xml:space="preserve">OCC(O)C1OC2OC(OC2C1O)C(Cl)(Cl)Cl</t>
  </si>
  <si>
    <t xml:space="preserve">OJYGBLRPYBAHRT-UHFFFAOYSA-N</t>
  </si>
  <si>
    <t xml:space="preserve">342.98715</t>
  </si>
  <si>
    <t xml:space="preserve">C11H12Cl2N2O5</t>
  </si>
  <si>
    <t xml:space="preserve">Chloramphenicol</t>
  </si>
  <si>
    <t xml:space="preserve">52802</t>
  </si>
  <si>
    <t xml:space="preserve">HMDB0014589</t>
  </si>
  <si>
    <t xml:space="preserve">543</t>
  </si>
  <si>
    <t xml:space="preserve">C00918</t>
  </si>
  <si>
    <t xml:space="preserve">17698</t>
  </si>
  <si>
    <t xml:space="preserve">5959</t>
  </si>
  <si>
    <t xml:space="preserve">56-75-7</t>
  </si>
  <si>
    <t xml:space="preserve">OC[C@@H](NC(=O)C(Cl)Cl)[C@H](O)C1=CC=C(C=C1)[N+]([O-])=O</t>
  </si>
  <si>
    <t xml:space="preserve">WIIZWVCIJKGZOK-RKDXNWHRSA-N</t>
  </si>
  <si>
    <t xml:space="preserve">343.17041</t>
  </si>
  <si>
    <t xml:space="preserve">C24H24O2</t>
  </si>
  <si>
    <t xml:space="preserve">Tamoxifen-ol</t>
  </si>
  <si>
    <t xml:space="preserve">212168</t>
  </si>
  <si>
    <t xml:space="preserve">HMDB0258707</t>
  </si>
  <si>
    <t xml:space="preserve">63064</t>
  </si>
  <si>
    <t xml:space="preserve">CCC(=C(C1=CC=CC=C1)C1=CC=C(OCCO)C=C1)C1=CC=CC=C1</t>
  </si>
  <si>
    <t xml:space="preserve">TWASUFZMILCYJY-UHFFFAOYSA-N</t>
  </si>
  <si>
    <t xml:space="preserve">Stilbenes</t>
  </si>
  <si>
    <t xml:space="preserve">345.04541</t>
  </si>
  <si>
    <t xml:space="preserve">C13H14O11</t>
  </si>
  <si>
    <t xml:space="preserve">6-(4-carboxy-2,6-dihydroxyphenoxy)-3,4,5-trihydroxyoxane-2-carboxylic acid; 6-(5-carboxy-2,3-dihydroxyphenoxy)-3,4,5-trihydroxyoxane-2-carboxylic acid</t>
  </si>
  <si>
    <t xml:space="preserve">144390; 144391</t>
  </si>
  <si>
    <t xml:space="preserve">HMDB0126636; HMDB0126637</t>
  </si>
  <si>
    <t xml:space="preserve">131833020; 131833021</t>
  </si>
  <si>
    <t xml:space="preserve">OC1C(O)C(OC2=C(O)C=C(C=C2O)C(O)=O)OC(C1O)C(O)=O; OC1C(O)C(OC2=CC(=CC(O)=C2O)C(O)=O)OC(C1O)C(O)=O</t>
  </si>
  <si>
    <t xml:space="preserve">DSZHBCQGMXJFGB-UHFFFAOYSA-N; WGYCQDRFPFTOJY-UHFFFAOYSA-N</t>
  </si>
  <si>
    <t xml:space="preserve">Organic oxygen compounds; Phenylpropanoids and polyketides</t>
  </si>
  <si>
    <t xml:space="preserve">Organooxygen compounds; Tannins</t>
  </si>
  <si>
    <t xml:space="preserve">Carbohydrates and carbohydrate conjugates; Hydrolyzable tannins</t>
  </si>
  <si>
    <t xml:space="preserve">345.18404</t>
  </si>
  <si>
    <t xml:space="preserve">C24H28O3</t>
  </si>
  <si>
    <t xml:space="preserve">Spirorenone; 3-(1,1-Dimethyl-2-propenyl)-8-(3-methyl-2-butenyl)xanthyletin</t>
  </si>
  <si>
    <t xml:space="preserve">211947; 55480</t>
  </si>
  <si>
    <t xml:space="preserve">HMDB0258430; HMDB0030730</t>
  </si>
  <si>
    <t xml:space="preserve">; 87156</t>
  </si>
  <si>
    <t xml:space="preserve">; 174872</t>
  </si>
  <si>
    <t xml:space="preserve">14860725; 14604074</t>
  </si>
  <si>
    <t xml:space="preserve">; 30310-55-5</t>
  </si>
  <si>
    <t xml:space="preserve">CC12CCC3C(C4CC4C4=CC(=O)C=CC34C)C1C1CC1C21CCC(=O)O1; CC(C)=CCC1=C2OC(=O)C(=CC2=CC2=C1OC(C)(C)C=C2)C(C)(C)C=C</t>
  </si>
  <si>
    <t xml:space="preserve">NZUIUYWHFPQZBH-UHFFFAOYSA-N; PIOKBHKPGZHPHS-UHFFFAOYSA-N</t>
  </si>
  <si>
    <t xml:space="preserve">Lipids and lipid-like molecules; Phenylpropanoids and polyketides</t>
  </si>
  <si>
    <t xml:space="preserve">Steroids and steroid derivatives; Coumarins and derivatives</t>
  </si>
  <si>
    <t xml:space="preserve">Steroid lactones; Pyranocoumarins</t>
  </si>
  <si>
    <t xml:space="preserve">346.05654</t>
  </si>
  <si>
    <t xml:space="preserve">C10H14N5O7P</t>
  </si>
  <si>
    <t xml:space="preserve">Adenosine monophosphate; 2'-Deoxyguanosine 5'-monophosphate</t>
  </si>
  <si>
    <t xml:space="preserve">46841; 47359</t>
  </si>
  <si>
    <t xml:space="preserve">HMDB0000045; HMDB0001044</t>
  </si>
  <si>
    <t xml:space="preserve">34478; </t>
  </si>
  <si>
    <t xml:space="preserve">C00020; C00362</t>
  </si>
  <si>
    <t xml:space="preserve">16027; 16192</t>
  </si>
  <si>
    <t xml:space="preserve">6083; 65059</t>
  </si>
  <si>
    <t xml:space="preserve">61-19-8; 902-04-5</t>
  </si>
  <si>
    <t xml:space="preserve">NC1=C2N=CN([C@@H]3O[C@H](COP(O)(O)=O)[C@@H](O)[C@H]3O)C2=NC=N1; NC1=NC2=C(N=CN2[C@H]2C[C@H](O)[C@@H](COP(O)(O)=O)O2)C(=O)N1</t>
  </si>
  <si>
    <t xml:space="preserve">UDMBCSSLTHHNCD-KQYNXXCUSA-N; LTFMZDNNPPEQNG-KVQBGUIXSA-N</t>
  </si>
  <si>
    <t xml:space="preserve">Nucleosides, nucleotides, and analogues; Nucleosides, nucleotides, and analogues</t>
  </si>
  <si>
    <t xml:space="preserve">Purine nucleotides; Purine nucleotides</t>
  </si>
  <si>
    <t xml:space="preserve">Purine ribonucleotides; Purine deoxyribonucleotides</t>
  </si>
  <si>
    <t xml:space="preserve">347.04818</t>
  </si>
  <si>
    <t xml:space="preserve">C13H16N2O5S</t>
  </si>
  <si>
    <t xml:space="preserve">Acetaminophen mercapturate</t>
  </si>
  <si>
    <t xml:space="preserve">198639</t>
  </si>
  <si>
    <t xml:space="preserve">HMDB0242140</t>
  </si>
  <si>
    <t xml:space="preserve">133435</t>
  </si>
  <si>
    <t xml:space="preserve">83967</t>
  </si>
  <si>
    <t xml:space="preserve">[H][C@@](CSC1=C(O)C=CC(=C1)N=C(C)O)(N=C(C)O)C(O)=O</t>
  </si>
  <si>
    <t xml:space="preserve">DVPRQNKJGQEICH-JTQLQIEISA-N</t>
  </si>
  <si>
    <t xml:space="preserve">347.19708</t>
  </si>
  <si>
    <t xml:space="preserve">C19H28N2O4</t>
  </si>
  <si>
    <t xml:space="preserve">Roxatidine acetate</t>
  </si>
  <si>
    <t xml:space="preserve">53713</t>
  </si>
  <si>
    <t xml:space="preserve">HMDB0015695</t>
  </si>
  <si>
    <t xml:space="preserve">85590</t>
  </si>
  <si>
    <t xml:space="preserve">171339</t>
  </si>
  <si>
    <t xml:space="preserve">5105</t>
  </si>
  <si>
    <t xml:space="preserve">78628-28-1</t>
  </si>
  <si>
    <t xml:space="preserve">CC(=O)OCC(=O)NCCCOC1=CC=CC(CN2CCCCC2)=C1</t>
  </si>
  <si>
    <t xml:space="preserve">SMTZFNFIKUPEJC-UHFFFAOYSA-N</t>
  </si>
  <si>
    <t xml:space="preserve">Benzylpiperidines</t>
  </si>
  <si>
    <t xml:space="preserve">348.05450</t>
  </si>
  <si>
    <t xml:space="preserve">C11H15N5O4S</t>
  </si>
  <si>
    <t xml:space="preserve">(S)-5'-Deoxy-5'-(methylsulfinyl)adenosine; 2-Methylthioadenosine</t>
  </si>
  <si>
    <t xml:space="preserve">57872; 200680</t>
  </si>
  <si>
    <t xml:space="preserve">HMDB0033662; HMDB0245242</t>
  </si>
  <si>
    <t xml:space="preserve">89459; </t>
  </si>
  <si>
    <t xml:space="preserve">172121; </t>
  </si>
  <si>
    <t xml:space="preserve">13342874; 235484</t>
  </si>
  <si>
    <t xml:space="preserve">897-42-7; </t>
  </si>
  <si>
    <t xml:space="preserve">CS(=O)CC1OC(C(O)C1O)N1C=NC2=C1N=CN=C2N; CSC1=NC2=C(N=CN2C2OC(CO)C(O)C2O)C(N)=N1</t>
  </si>
  <si>
    <t xml:space="preserve">WXOJULRVRHWMGT-UHFFFAOYSA-N; AJNDEAZTAFKOOO-UHFFFAOYSA-N</t>
  </si>
  <si>
    <t xml:space="preserve">5'-deoxyribonucleosides; Purine nucleosides</t>
  </si>
  <si>
    <t xml:space="preserve">348.15310</t>
  </si>
  <si>
    <t xml:space="preserve">C11H21N5O5</t>
  </si>
  <si>
    <t xml:space="preserve">Arginylglutamic acid; Glutamylarginine; gamma-Glutamylarginine</t>
  </si>
  <si>
    <t xml:space="preserve">53747; 53848; 54153</t>
  </si>
  <si>
    <t xml:space="preserve">HMDB0028708; HMDB0028813; HMDB0029143</t>
  </si>
  <si>
    <t xml:space="preserve">63357; 157844; </t>
  </si>
  <si>
    <t xml:space="preserve">6995003; 9796450; 20719180</t>
  </si>
  <si>
    <t xml:space="preserve">15706-89-5; 7219-59-2; 31106-03-3</t>
  </si>
  <si>
    <t xml:space="preserve">N[C@@H](CCCNC(N)=N)C(=O)N[C@@H](CCC(O)=O)C(O)=O; N[C@@H](CCC(O)=O)C(=O)N[C@@H](CCCNC(N)=N)C(O)=O; N[C@@H](CCC(=O)N[C@@H](CCCNC(N)=N)C(O)=O)C(O)=O</t>
  </si>
  <si>
    <t xml:space="preserve">HFKJBCPRWWGPEY-BQBZGAKWSA-N; MPZWMIIOPAPAKE-BQBZGAKWSA-N; AKAHWGGIUSJNNM-BQBZGAKWSA-N</t>
  </si>
  <si>
    <t xml:space="preserve">348.91421</t>
  </si>
  <si>
    <t xml:space="preserve">C6H6Cl2N2O4S2</t>
  </si>
  <si>
    <t xml:space="preserve">Dichlorphenamide</t>
  </si>
  <si>
    <t xml:space="preserve">53364</t>
  </si>
  <si>
    <t xml:space="preserve">HMDB0015275</t>
  </si>
  <si>
    <t xml:space="preserve">3980</t>
  </si>
  <si>
    <t xml:space="preserve">C07459</t>
  </si>
  <si>
    <t xml:space="preserve">101085</t>
  </si>
  <si>
    <t xml:space="preserve">3038</t>
  </si>
  <si>
    <t xml:space="preserve">120-97-8</t>
  </si>
  <si>
    <t xml:space="preserve">NS(=O)(=O)C1=CC(=C(Cl)C(Cl)=C1)S(N)(=O)=O</t>
  </si>
  <si>
    <t xml:space="preserve">GJQPMPFPNINLKP-UHFFFAOYSA-N</t>
  </si>
  <si>
    <t xml:space="preserve">349.06727</t>
  </si>
  <si>
    <t xml:space="preserve">C14H12N2O6</t>
  </si>
  <si>
    <t xml:space="preserve">4-(6-Carbamoyl-5-formyl-2H-pyran-4-yl)-5-formyl-2H-pyran-6-carboxamide</t>
  </si>
  <si>
    <t xml:space="preserve">213410</t>
  </si>
  <si>
    <t xml:space="preserve">HMDB0260276</t>
  </si>
  <si>
    <t xml:space="preserve">54381237</t>
  </si>
  <si>
    <t xml:space="preserve">NC(=O)C1=C(C=O)C(=CCO1)C1=CCOC(C(N)=O)=C1C=O</t>
  </si>
  <si>
    <t xml:space="preserve">VAAXSCZVBCTOFC-UHFFFAOYSA-N</t>
  </si>
  <si>
    <t xml:space="preserve">350.91193</t>
  </si>
  <si>
    <t xml:space="preserve">C14H9Cl5</t>
  </si>
  <si>
    <t xml:space="preserve">(-)-1-Chloro-2-(2,2,2-trichloro-1-(4-chlorophenyl)ethyl)benzene; Clofenotane</t>
  </si>
  <si>
    <t xml:space="preserve">198682; 56574</t>
  </si>
  <si>
    <t xml:space="preserve">HMDB0242196; HMDB0032127</t>
  </si>
  <si>
    <t xml:space="preserve">69860; 44244</t>
  </si>
  <si>
    <t xml:space="preserve">C14187; C04623</t>
  </si>
  <si>
    <t xml:space="preserve">; 16130</t>
  </si>
  <si>
    <t xml:space="preserve">13089; 3036</t>
  </si>
  <si>
    <t xml:space="preserve">789-02-6; 50-29-3</t>
  </si>
  <si>
    <t xml:space="preserve">ClC1=CC=C(C=C1)C(C1=CC=CC=C1Cl)C(Cl)(Cl)Cl; ClC1=CC=C(C=C1)C(C1=CC=C(Cl)C=C1)C(Cl)(Cl)Cl</t>
  </si>
  <si>
    <t xml:space="preserve">CVUGPAFCQJIYDT-UHFFFAOYSA-N; YVGGHNCTFXOJCH-UHFFFAOYSA-N</t>
  </si>
  <si>
    <t xml:space="preserve">Diphenylmethanes; Diphenylmethanes</t>
  </si>
  <si>
    <t xml:space="preserve">351.07346</t>
  </si>
  <si>
    <t xml:space="preserve">C9H16N6O7S</t>
  </si>
  <si>
    <t xml:space="preserve">Decarbamoylgonyautoxin III</t>
  </si>
  <si>
    <t xml:space="preserve">63369</t>
  </si>
  <si>
    <t xml:space="preserve">HMDB0040137</t>
  </si>
  <si>
    <t xml:space="preserve">94677</t>
  </si>
  <si>
    <t xml:space="preserve">166661</t>
  </si>
  <si>
    <t xml:space="preserve">53461858</t>
  </si>
  <si>
    <t xml:space="preserve">87038-53-7</t>
  </si>
  <si>
    <t xml:space="preserve">OCC1NC(=N)N2CC(OS(O)(=O)=O)C(O)(O)C22NC(=N)NC12</t>
  </si>
  <si>
    <t xml:space="preserve">AJLCXXKDNUGKKH-UHFFFAOYSA-N</t>
  </si>
  <si>
    <t xml:space="preserve">Saxitoxins, gonyautoxins, and derivatives</t>
  </si>
  <si>
    <t xml:space="preserve">351.20005</t>
  </si>
  <si>
    <t xml:space="preserve">C20H32O3S</t>
  </si>
  <si>
    <t xml:space="preserve">2-(4-Hydroxy-3,5-di-tert-butylphenylthio)-hexanoic acid</t>
  </si>
  <si>
    <t xml:space="preserve">205759</t>
  </si>
  <si>
    <t xml:space="preserve">HMDB0251106</t>
  </si>
  <si>
    <t xml:space="preserve">40826</t>
  </si>
  <si>
    <t xml:space="preserve">CCCCC(SC1=CC(=C(O)C(=C1)C(C)(C)C)C(C)(C)C)C(O)=O</t>
  </si>
  <si>
    <t xml:space="preserve">CQGSORMFKDTILR-UHFFFAOYSA-N</t>
  </si>
  <si>
    <t xml:space="preserve">Phenylpropanes</t>
  </si>
  <si>
    <t xml:space="preserve">352.06430</t>
  </si>
  <si>
    <t xml:space="preserve">C9H16N5O8P</t>
  </si>
  <si>
    <t xml:space="preserve">2,5-diamino-6-(5-phospho-D-ribosylamino)pyrimidin-4(3H)-one</t>
  </si>
  <si>
    <t xml:space="preserve">256870</t>
  </si>
  <si>
    <t xml:space="preserve">HMDB0304044</t>
  </si>
  <si>
    <t xml:space="preserve">3496</t>
  </si>
  <si>
    <t xml:space="preserve">C01304</t>
  </si>
  <si>
    <t xml:space="preserve">29114</t>
  </si>
  <si>
    <t xml:space="preserve">135398601</t>
  </si>
  <si>
    <t xml:space="preserve">73477-63-1</t>
  </si>
  <si>
    <t xml:space="preserve">NC1=NC(N[C@@H]2O[C@H](COP(O)(O)=O)[C@@H](O)[C@H]2O)=C(N)C(=O)N1</t>
  </si>
  <si>
    <t xml:space="preserve">OCLCLRXKNJCOJD-UMMCILCDSA-N</t>
  </si>
  <si>
    <t xml:space="preserve">353.04792</t>
  </si>
  <si>
    <t xml:space="preserve">C15H14O10</t>
  </si>
  <si>
    <t xml:space="preserve">2-O-p-Coumaroylhydroxycitric acid</t>
  </si>
  <si>
    <t xml:space="preserve">63719</t>
  </si>
  <si>
    <t xml:space="preserve">HMDB0040570</t>
  </si>
  <si>
    <t xml:space="preserve">95055</t>
  </si>
  <si>
    <t xml:space="preserve">175529</t>
  </si>
  <si>
    <t xml:space="preserve">131752858</t>
  </si>
  <si>
    <t xml:space="preserve">62345-85-1</t>
  </si>
  <si>
    <t xml:space="preserve">OC(=O)CC(O)(C(OC(=O)\C=C\C1=CC=C(O)C=C1)C(O)=O)C(O)=O</t>
  </si>
  <si>
    <t xml:space="preserve">ZHUVVSHTKJAVQB-ZZXKWVIFSA-N</t>
  </si>
  <si>
    <t xml:space="preserve">Cinnamic acids and derivatives</t>
  </si>
  <si>
    <t xml:space="preserve">Hydroxycinnamic acids and derivatives</t>
  </si>
  <si>
    <t xml:space="preserve">353.08855</t>
  </si>
  <si>
    <t xml:space="preserve">C14H17F3N2O3</t>
  </si>
  <si>
    <t xml:space="preserve">fluvoxamino acid</t>
  </si>
  <si>
    <t xml:space="preserve">82799</t>
  </si>
  <si>
    <t xml:space="preserve">HMDB0060950</t>
  </si>
  <si>
    <t xml:space="preserve">2951</t>
  </si>
  <si>
    <t xml:space="preserve">46781630</t>
  </si>
  <si>
    <t xml:space="preserve">88699-91-6</t>
  </si>
  <si>
    <t xml:space="preserve">NCCO\N=C(/CCCC(O)=O)C1=CC=C(C=C1)C(F)(F)F</t>
  </si>
  <si>
    <t xml:space="preserve">KUIZEDQDELAFQK-XDHOZWIPSA-N</t>
  </si>
  <si>
    <t xml:space="preserve">353.20164</t>
  </si>
  <si>
    <t xml:space="preserve">C18H35ClO2</t>
  </si>
  <si>
    <t xml:space="preserve">2-Chlorooctadecanoic acid</t>
  </si>
  <si>
    <t xml:space="preserve">2451</t>
  </si>
  <si>
    <t xml:space="preserve">HMDB0245076</t>
  </si>
  <si>
    <t xml:space="preserve">LMFA01090163</t>
  </si>
  <si>
    <t xml:space="preserve">13059777</t>
  </si>
  <si>
    <t xml:space="preserve">C(Cl)(CCCCCCCCCCCCCCCC)C(=O)O</t>
  </si>
  <si>
    <t xml:space="preserve">DQNLLSNNESIVOE-UHFFFAOYSA-N</t>
  </si>
  <si>
    <t xml:space="preserve">354.08428</t>
  </si>
  <si>
    <t xml:space="preserve">C9H18N5O8P</t>
  </si>
  <si>
    <t xml:space="preserve">2,5-diamino-6-(5-phospho-D-ribitylamino)pyrimidin-4(3H)-one</t>
  </si>
  <si>
    <t xml:space="preserve">256869</t>
  </si>
  <si>
    <t xml:space="preserve">HMDB0304043</t>
  </si>
  <si>
    <t xml:space="preserve">72671</t>
  </si>
  <si>
    <t xml:space="preserve">C18910</t>
  </si>
  <si>
    <t xml:space="preserve">52402</t>
  </si>
  <si>
    <t xml:space="preserve">25271619</t>
  </si>
  <si>
    <t xml:space="preserve">NC1=NC(NC[C@H](O)[C@H](O)[C@H](O)COP(O)(O)=O)=C(N)C(=O)N1</t>
  </si>
  <si>
    <t xml:space="preserve">ACIVVGBVOVHFPQ-RPDRRWSUSA-N</t>
  </si>
  <si>
    <t xml:space="preserve">354.98840</t>
  </si>
  <si>
    <t xml:space="preserve">C5H11AsO2</t>
  </si>
  <si>
    <t xml:space="preserve">Arsenobetaine</t>
  </si>
  <si>
    <t xml:space="preserve">57458</t>
  </si>
  <si>
    <t xml:space="preserve">HMDB0033206</t>
  </si>
  <si>
    <t xml:space="preserve">73038</t>
  </si>
  <si>
    <t xml:space="preserve">C19331</t>
  </si>
  <si>
    <t xml:space="preserve">47364</t>
  </si>
  <si>
    <t xml:space="preserve">64436-13-1</t>
  </si>
  <si>
    <t xml:space="preserve">C[As+](C)(C)CC([O-])=O</t>
  </si>
  <si>
    <t xml:space="preserve">SPTHHTGLGVZZRH-UHFFFAOYSA-N</t>
  </si>
  <si>
    <t xml:space="preserve">355.97966</t>
  </si>
  <si>
    <t xml:space="preserve">C14H9Cl2N3O2</t>
  </si>
  <si>
    <t xml:space="preserve">Lopirazepam</t>
  </si>
  <si>
    <t xml:space="preserve">208343</t>
  </si>
  <si>
    <t xml:space="preserve">HMDB0254160</t>
  </si>
  <si>
    <t xml:space="preserve">68672</t>
  </si>
  <si>
    <t xml:space="preserve">OC1N=C(C2=CC=CC=C2Cl)C2=C(NC1=O)C=CC(Cl)=N2</t>
  </si>
  <si>
    <t xml:space="preserve">JEJOFYTVMFVKQA-UHFFFAOYSA-N</t>
  </si>
  <si>
    <t xml:space="preserve">Pyridodiazepines</t>
  </si>
  <si>
    <t xml:space="preserve">356.09542</t>
  </si>
  <si>
    <t xml:space="preserve">C16H21Cl2N3O2</t>
  </si>
  <si>
    <t xml:space="preserve">Bendamustine</t>
  </si>
  <si>
    <t xml:space="preserve">203973</t>
  </si>
  <si>
    <t xml:space="preserve">HMDB0248945</t>
  </si>
  <si>
    <t xml:space="preserve">316345</t>
  </si>
  <si>
    <t xml:space="preserve">65628</t>
  </si>
  <si>
    <t xml:space="preserve">CN1C(CCCC(O)=O)=NC2=CC(=CC=C12)N(CCCl)CCCl</t>
  </si>
  <si>
    <t xml:space="preserve">YTKUWDBFDASYHO-UHFFFAOYSA-N</t>
  </si>
  <si>
    <t xml:space="preserve">357.02770</t>
  </si>
  <si>
    <t xml:space="preserve">C10H15N2O8P</t>
  </si>
  <si>
    <t xml:space="preserve">5-Thymidylic acid</t>
  </si>
  <si>
    <t xml:space="preserve">47461</t>
  </si>
  <si>
    <t xml:space="preserve">HMDB0001227</t>
  </si>
  <si>
    <t xml:space="preserve">3451</t>
  </si>
  <si>
    <t xml:space="preserve">9700</t>
  </si>
  <si>
    <t xml:space="preserve">33430-62-5</t>
  </si>
  <si>
    <t xml:space="preserve">CC1=CN([C@H]2C[C@H](O)[C@@H](COP(O)(O)=O)O2)C(=O)NC1=O</t>
  </si>
  <si>
    <t xml:space="preserve">GYOZYWVXFNDGLU-XLPZGREQSA-N</t>
  </si>
  <si>
    <t xml:space="preserve">Pyrimidine nucleotides</t>
  </si>
  <si>
    <t xml:space="preserve">Pyrimidine deoxyribonucleotides</t>
  </si>
  <si>
    <t xml:space="preserve">357.99292</t>
  </si>
  <si>
    <t xml:space="preserve">C13H11N3O4S2</t>
  </si>
  <si>
    <t xml:space="preserve">Tenoxicam; Sudoxicam; 4-(2,5-Dihydroxypyrrol-1-yl)-N-(1,3-thiazol-2-yl)benzenesulfonamide</t>
  </si>
  <si>
    <t xml:space="preserve">52819; 212050; 213407</t>
  </si>
  <si>
    <t xml:space="preserve">HMDB0014612; HMDB0258562; HMDB0260273</t>
  </si>
  <si>
    <t xml:space="preserve">553047; ; </t>
  </si>
  <si>
    <t xml:space="preserve">5312154; ; 54037138</t>
  </si>
  <si>
    <t xml:space="preserve">59804-37-4; ; </t>
  </si>
  <si>
    <t xml:space="preserve">CN1\C(=C(/O)NC2=CC=CC=N2)C(=O)C2=C(C=CS2)S1(=O)=O; CN1C(C(=O)NC2=NC=CS2)=C(O)C2=CC=CC=C2S1(=O)=O; OC1=CC=C(O)N1C1=CC=C(C=C1)S(=O)(=O)NC1=NC=CS1</t>
  </si>
  <si>
    <t xml:space="preserve">WZWYJBNHTWCXIM-RAXLEYEMSA-N; SYCHUQUJURZQMO-UHFFFAOYSA-N; LJTLSWHFQQZJIB-UHFFFAOYSA-N</t>
  </si>
  <si>
    <t xml:space="preserve">Thienothiazines; Benzothiazines; Pyrroles</t>
  </si>
  <si>
    <t xml:space="preserve">Unclassified; Unclassified; Substituted pyrroles</t>
  </si>
  <si>
    <t xml:space="preserve">359.05866</t>
  </si>
  <si>
    <t xml:space="preserve">C13H16N2O8S</t>
  </si>
  <si>
    <t xml:space="preserve">Ritipenem acetoxymethyl ester</t>
  </si>
  <si>
    <t xml:space="preserve">212885</t>
  </si>
  <si>
    <t xml:space="preserve">HMDB0259573</t>
  </si>
  <si>
    <t xml:space="preserve">15590557</t>
  </si>
  <si>
    <t xml:space="preserve">CC(O)C1C2SC(COC(N)=O)=C(N2C1=O)C(=O)OCOC(C)=O</t>
  </si>
  <si>
    <t xml:space="preserve">FZKGLCPKPZBGLX-UHFFFAOYSA-N</t>
  </si>
  <si>
    <t xml:space="preserve">361.06884</t>
  </si>
  <si>
    <t xml:space="preserve">C15H18O8</t>
  </si>
  <si>
    <t xml:space="preserve">Melilotoside; Bilobalide A; cis-Melilotoside</t>
  </si>
  <si>
    <t xml:space="preserve">57797; 60411; 82082</t>
  </si>
  <si>
    <t xml:space="preserve">HMDB0033581; HMDB0036735; HMDB0060077</t>
  </si>
  <si>
    <t xml:space="preserve">984972; ; </t>
  </si>
  <si>
    <t xml:space="preserve">C05158; C07605; C05839</t>
  </si>
  <si>
    <t xml:space="preserve">17531; ; 62251</t>
  </si>
  <si>
    <t xml:space="preserve">5280759; 11875005; 5316113</t>
  </si>
  <si>
    <t xml:space="preserve">618-67-7; 33570-04-6; 2446-60-8</t>
  </si>
  <si>
    <t xml:space="preserve">OC[C@H]1O[C@@H](OC2=C(\C=C\C(O)=O)C=CC=C2)[C@H](O)[C@@H](O)[C@@H]1O; [H][C@]12C[C@@](O)(C(C)(C)C)[C@]34[C@H](O)C(=O)O[C@@]3([H])OC(=O)[C@]14CC(=O)O2; OC[C@H]1O[C@@H](OC2=C(\C=C/C(O)=O)C=CC=C2)[C@H](O)[C@@H](O)[C@@H]1O</t>
  </si>
  <si>
    <t xml:space="preserve">GVRIYIMNJGULCZ-ZMKUSUEASA-N; MOLPUWBMSBJXER-NRSGSQFTSA-N; GVRIYIMNJGULCZ-QLFWQTQQSA-N</t>
  </si>
  <si>
    <t xml:space="preserve">Organic oxygen compounds; Lipids and lipid-like molecules; Organic oxygen compounds</t>
  </si>
  <si>
    <t xml:space="preserve">Organooxygen compounds; Prenol lipids; Organooxygen compounds</t>
  </si>
  <si>
    <t xml:space="preserve">Carbohydrates and carbohydrate conjugates; Terpene lactones; Carbohydrates and carbohydrate conjugates</t>
  </si>
  <si>
    <t xml:space="preserve">362.05362</t>
  </si>
  <si>
    <t xml:space="preserve">C10H18ClN3O7</t>
  </si>
  <si>
    <t xml:space="preserve">Ranimustine</t>
  </si>
  <si>
    <t xml:space="preserve">210857</t>
  </si>
  <si>
    <t xml:space="preserve">HMDB0257109</t>
  </si>
  <si>
    <t xml:space="preserve">321132</t>
  </si>
  <si>
    <t xml:space="preserve">COC1OC(CNC(=O)N(CCCl)N=O)C(O)C(O)C1O</t>
  </si>
  <si>
    <t xml:space="preserve">AHHFEZNOXOZZQA-UHFFFAOYSA-N</t>
  </si>
  <si>
    <t xml:space="preserve">362.96222</t>
  </si>
  <si>
    <t xml:space="preserve">C6H2F4S</t>
  </si>
  <si>
    <t xml:space="preserve">2,3,5,6-Tetrafluorobenzenethiol</t>
  </si>
  <si>
    <t xml:space="preserve">200867</t>
  </si>
  <si>
    <t xml:space="preserve">HMDB0245438</t>
  </si>
  <si>
    <t xml:space="preserve">69859</t>
  </si>
  <si>
    <t xml:space="preserve">FC1=CC(F)=C(F)C(S)=C1F</t>
  </si>
  <si>
    <t xml:space="preserve">IGOGJHYWSOZGAE-UHFFFAOYSA-N</t>
  </si>
  <si>
    <t xml:space="preserve">364.05317</t>
  </si>
  <si>
    <t xml:space="preserve">C16H16ClN3O3S</t>
  </si>
  <si>
    <t xml:space="preserve">Metolazone; Indapamide</t>
  </si>
  <si>
    <t xml:space="preserve">52864; 53091</t>
  </si>
  <si>
    <t xml:space="preserve">HMDB0014665; HMDB0014946</t>
  </si>
  <si>
    <t xml:space="preserve">1249; 810</t>
  </si>
  <si>
    <t xml:space="preserve">C07248; C07050</t>
  </si>
  <si>
    <t xml:space="preserve">64354; 5893</t>
  </si>
  <si>
    <t xml:space="preserve">4170; 3702</t>
  </si>
  <si>
    <t xml:space="preserve">17560-51-9; 26807-65-8</t>
  </si>
  <si>
    <t xml:space="preserve">CC1NC2=CC(Cl)=C(C=C2C(=O)N1C1=CC=CC=C1C)S(N)(=O)=O; CC1CC2=CC=CC=C2N1NC(=O)C1=CC(=C(Cl)C=C1)S(N)(=O)=O</t>
  </si>
  <si>
    <t xml:space="preserve">AQCHWTWZEMGIFD-UHFFFAOYSA-N; NDDAHWYSQHTHNT-UHFFFAOYSA-N</t>
  </si>
  <si>
    <t xml:space="preserve">Diazanaphthalenes; Benzene and substituted derivatives</t>
  </si>
  <si>
    <t xml:space="preserve">Benzodiazines; Benzenesulfonamides</t>
  </si>
  <si>
    <t xml:space="preserve">365.34297</t>
  </si>
  <si>
    <t xml:space="preserve">C24H46O2</t>
  </si>
  <si>
    <t xml:space="preserve">FA(24:1)</t>
  </si>
  <si>
    <t xml:space="preserve">600</t>
  </si>
  <si>
    <t xml:space="preserve">HMDB0002368</t>
  </si>
  <si>
    <t xml:space="preserve">262</t>
  </si>
  <si>
    <t xml:space="preserve">LMFA01030092</t>
  </si>
  <si>
    <t xml:space="preserve">C08323</t>
  </si>
  <si>
    <t xml:space="preserve">44247</t>
  </si>
  <si>
    <t xml:space="preserve">5281120</t>
  </si>
  <si>
    <t xml:space="preserve">506-37-6</t>
  </si>
  <si>
    <t xml:space="preserve">C(CCCCCCCCCCC(=O)O)CC/C=C\CCCCCCCC</t>
  </si>
  <si>
    <t xml:space="preserve">GWHCXVQVJPWHRF-KTKRTIGZSA-N</t>
  </si>
  <si>
    <t xml:space="preserve">366.95343</t>
  </si>
  <si>
    <t xml:space="preserve">C12H11ClN2O5S</t>
  </si>
  <si>
    <t xml:space="preserve">Furosemide</t>
  </si>
  <si>
    <t xml:space="preserve">47723</t>
  </si>
  <si>
    <t xml:space="preserve">HMDB0001933</t>
  </si>
  <si>
    <t xml:space="preserve">2981</t>
  </si>
  <si>
    <t xml:space="preserve">C07017</t>
  </si>
  <si>
    <t xml:space="preserve">47426</t>
  </si>
  <si>
    <t xml:space="preserve">3440</t>
  </si>
  <si>
    <t xml:space="preserve">54-31-9</t>
  </si>
  <si>
    <t xml:space="preserve">NS(=O)(=O)C1=C(Cl)C=C(NCC2=CC=CO2)C(=C1)C(O)=O</t>
  </si>
  <si>
    <t xml:space="preserve">ZZUFCTLCJUWOSV-UHFFFAOYSA-N</t>
  </si>
  <si>
    <t xml:space="preserve">367.10438</t>
  </si>
  <si>
    <t xml:space="preserve">C15H19F3N2O3</t>
  </si>
  <si>
    <t xml:space="preserve">meta-O-Dealkylated flecainide</t>
  </si>
  <si>
    <t xml:space="preserve">82689</t>
  </si>
  <si>
    <t xml:space="preserve">HMDB0060831</t>
  </si>
  <si>
    <t xml:space="preserve">134295</t>
  </si>
  <si>
    <t xml:space="preserve">OC1=CC=C(OCC(F)(F)F)C(=C1)C(=O)NCC1CCCCN1</t>
  </si>
  <si>
    <t xml:space="preserve">FVJPPEWHZCSTAC-UHFFFAOYSA-N</t>
  </si>
  <si>
    <t xml:space="preserve">367.36021</t>
  </si>
  <si>
    <t xml:space="preserve">C24H48O2</t>
  </si>
  <si>
    <t xml:space="preserve">FA(24:0)</t>
  </si>
  <si>
    <t xml:space="preserve">70</t>
  </si>
  <si>
    <t xml:space="preserve">HMDB0002003</t>
  </si>
  <si>
    <t xml:space="preserve">420</t>
  </si>
  <si>
    <t xml:space="preserve">LMFA01010024</t>
  </si>
  <si>
    <t xml:space="preserve">C08320</t>
  </si>
  <si>
    <t xml:space="preserve">28866</t>
  </si>
  <si>
    <t xml:space="preserve">11197</t>
  </si>
  <si>
    <t xml:space="preserve">557-59-5</t>
  </si>
  <si>
    <t xml:space="preserve">C(CCCCCCCCCCCCC(=O)O)CCCCCCCCCC</t>
  </si>
  <si>
    <t xml:space="preserve">QZZGJDVWLFXDLK-UHFFFAOYSA-N</t>
  </si>
  <si>
    <t xml:space="preserve">368.98675</t>
  </si>
  <si>
    <t xml:space="preserve">C15H10O7S</t>
  </si>
  <si>
    <t xml:space="preserve">Daidzein 4'-sulfate</t>
  </si>
  <si>
    <t xml:space="preserve">197298</t>
  </si>
  <si>
    <t xml:space="preserve">HMDB0240698</t>
  </si>
  <si>
    <t xml:space="preserve">12114463</t>
  </si>
  <si>
    <t xml:space="preserve">OC1=CC2=C(C=C1)C(=O)C(=CO2)C1=CC=C(OS(O)(=O)=O)C=C1</t>
  </si>
  <si>
    <t xml:space="preserve">CQRHJEVIKOKQMO-UHFFFAOYSA-N</t>
  </si>
  <si>
    <t xml:space="preserve">Isoflavonoids</t>
  </si>
  <si>
    <t xml:space="preserve">Isoflav-2-enes</t>
  </si>
  <si>
    <t xml:space="preserve">369.97441</t>
  </si>
  <si>
    <t xml:space="preserve">C13H10ClN3O4S2</t>
  </si>
  <si>
    <t xml:space="preserve">Lornoxicam</t>
  </si>
  <si>
    <t xml:space="preserve">53688</t>
  </si>
  <si>
    <t xml:space="preserve">HMDB0015666</t>
  </si>
  <si>
    <t xml:space="preserve">724428</t>
  </si>
  <si>
    <t xml:space="preserve">5282204</t>
  </si>
  <si>
    <t xml:space="preserve">70374-39-9</t>
  </si>
  <si>
    <t xml:space="preserve">CN1\C(=C(\O)NC2=CC=CC=N2)C(=O)C2=C(C=C(Cl)S2)S1(=O)=O</t>
  </si>
  <si>
    <t xml:space="preserve">OXROWJKCGCOJDO-JLHYYAGUSA-N</t>
  </si>
  <si>
    <t xml:space="preserve">Thienothiazines</t>
  </si>
  <si>
    <t xml:space="preserve">370.03971</t>
  </si>
  <si>
    <t xml:space="preserve">C12H18Cl2NO3P</t>
  </si>
  <si>
    <t xml:space="preserve">Hexyl 2,5-dichlorophenylphosphoroamidate</t>
  </si>
  <si>
    <t xml:space="preserve">207542</t>
  </si>
  <si>
    <t xml:space="preserve">HMDB0253167</t>
  </si>
  <si>
    <t xml:space="preserve">131041</t>
  </si>
  <si>
    <t xml:space="preserve">CCCCCCOP(O)(=O)NC1=C(Cl)C=CC(Cl)=C1</t>
  </si>
  <si>
    <t xml:space="preserve">KFTDOKAFZCTUQM-UHFFFAOYSA-N</t>
  </si>
  <si>
    <t xml:space="preserve">370.97166</t>
  </si>
  <si>
    <t xml:space="preserve">C13H8O11S</t>
  </si>
  <si>
    <t xml:space="preserve">Brevifolincarboxylic acid 9-sulfate</t>
  </si>
  <si>
    <t xml:space="preserve">56098</t>
  </si>
  <si>
    <t xml:space="preserve">HMDB0031592</t>
  </si>
  <si>
    <t xml:space="preserve">87792</t>
  </si>
  <si>
    <t xml:space="preserve">131751176</t>
  </si>
  <si>
    <t xml:space="preserve">OC(=O)C1CC(=O)C2=C1C1=C(OS(O)(=O)=O)C(O)=C(O)C=C1C(=O)O2</t>
  </si>
  <si>
    <t xml:space="preserve">FOTVSXFSPLKLQZ-UHFFFAOYSA-N</t>
  </si>
  <si>
    <t xml:space="preserve">Isocoumarins and derivatives</t>
  </si>
  <si>
    <t xml:space="preserve">371.05037</t>
  </si>
  <si>
    <t xml:space="preserve">C12H20N2O5S2</t>
  </si>
  <si>
    <t xml:space="preserve">Captopril-cysteine disulfide</t>
  </si>
  <si>
    <t xml:space="preserve">82449</t>
  </si>
  <si>
    <t xml:space="preserve">HMDB0060562</t>
  </si>
  <si>
    <t xml:space="preserve">44146831</t>
  </si>
  <si>
    <t xml:space="preserve">C[C@H](CSSC[C@H](N)C(O)=O)C(=O)N1CCC[C@H]1C(O)=O</t>
  </si>
  <si>
    <t xml:space="preserve">NEEBNBLVYKFVTK-VGMNWLOBSA-N</t>
  </si>
  <si>
    <t xml:space="preserve">371.10592</t>
  </si>
  <si>
    <t xml:space="preserve">C21H20O4</t>
  </si>
  <si>
    <t xml:space="preserve">Licoagrochalcone B; Curcumin III</t>
  </si>
  <si>
    <t xml:space="preserve">33920; 62871</t>
  </si>
  <si>
    <t xml:space="preserve">HMDB0035501; HMDB0039609</t>
  </si>
  <si>
    <t xml:space="preserve">52233; </t>
  </si>
  <si>
    <t xml:space="preserve">LMPK12120430; </t>
  </si>
  <si>
    <t xml:space="preserve">5318989; 131752689</t>
  </si>
  <si>
    <t xml:space="preserve">; 91884-88-7</t>
  </si>
  <si>
    <t xml:space="preserve">C1(O)C=CC(C(=O)/C=C/C2C=CC3OC(C)(C)C=CC=3C=2OC)=CC=1; OC1=CC=C(C\C=C\C(=O)CC(=O)\C=C/CC2=CC=C(O)C=C2)C=C1</t>
  </si>
  <si>
    <t xml:space="preserve">BOJUBZPEDAAMPG-UXBLZVDNSA-N; YIKBSQXTKGFYHB-SOSXVSKCSA-N</t>
  </si>
  <si>
    <t xml:space="preserve">Phenylpropanoids and polyketides; Benzenoids</t>
  </si>
  <si>
    <t xml:space="preserve">Linear 1,3-diarylpropanoids; Phenols</t>
  </si>
  <si>
    <t xml:space="preserve">Chalcones and dihydrochalcones; 1-hydroxy-2-unsubstituted benzenoids</t>
  </si>
  <si>
    <t xml:space="preserve">372.09168</t>
  </si>
  <si>
    <t xml:space="preserve">C15H19NO10</t>
  </si>
  <si>
    <t xml:space="preserve">Dimboa glucoside</t>
  </si>
  <si>
    <t xml:space="preserve">254911</t>
  </si>
  <si>
    <t xml:space="preserve">HMDB0301843</t>
  </si>
  <si>
    <t xml:space="preserve">64536</t>
  </si>
  <si>
    <t xml:space="preserve">C04831</t>
  </si>
  <si>
    <t xml:space="preserve">37573</t>
  </si>
  <si>
    <t xml:space="preserve">441563</t>
  </si>
  <si>
    <t xml:space="preserve">18607-79-9</t>
  </si>
  <si>
    <t xml:space="preserve">COC1=CC=C2N(O)C(=O)[C@@H](O[C@@H]3O[C@H](CO)[C@@H](O)[C@H](O)[C@H]3O)OC2=C1</t>
  </si>
  <si>
    <t xml:space="preserve">WTGXAWKVZMQEDA-XFWGRBSCSA-N</t>
  </si>
  <si>
    <t xml:space="preserve">374.08868</t>
  </si>
  <si>
    <t xml:space="preserve">C16H17N5O4S</t>
  </si>
  <si>
    <t xml:space="preserve">Azidocillin</t>
  </si>
  <si>
    <t xml:space="preserve">53703</t>
  </si>
  <si>
    <t xml:space="preserve">HMDB0015685</t>
  </si>
  <si>
    <t xml:space="preserve">85583</t>
  </si>
  <si>
    <t xml:space="preserve">51758</t>
  </si>
  <si>
    <t xml:space="preserve">15574941</t>
  </si>
  <si>
    <t xml:space="preserve">17243-38-8</t>
  </si>
  <si>
    <t xml:space="preserve">[H][C@]12SC(C)(C)[C@@H](N1C(=O)[C@H]2NC(=O)[C@H](N=[N+]=[N-])C1=CC=CC=C1)C(O)=O</t>
  </si>
  <si>
    <t xml:space="preserve">ODFHGIPNGIAMDK-NJBDSQKTSA-N</t>
  </si>
  <si>
    <t xml:space="preserve">Lactams</t>
  </si>
  <si>
    <t xml:space="preserve">Beta lactams</t>
  </si>
  <si>
    <t xml:space="preserve">375.03811</t>
  </si>
  <si>
    <t xml:space="preserve">C16H10O8</t>
  </si>
  <si>
    <t xml:space="preserve">2,3-Di-O-methylellagic acid; 2,8-Di-O-methylellagic acid; Blighinone</t>
  </si>
  <si>
    <t xml:space="preserve">64486; 64487; 55418</t>
  </si>
  <si>
    <t xml:space="preserve">HMDB0041395; HMDB0041396; HMDB0030643</t>
  </si>
  <si>
    <t xml:space="preserve">95796; 95797; </t>
  </si>
  <si>
    <t xml:space="preserve">; ; 175199</t>
  </si>
  <si>
    <t xml:space="preserve">5316858; 5491816; 137185904</t>
  </si>
  <si>
    <t xml:space="preserve">52600-48-3; 57499-59-9; 20544-62-1</t>
  </si>
  <si>
    <t xml:space="preserve">COC1=C(OC)C2=C3C(=C1)C(=O)OC1=C3C(=CC(O)=C1O)C(=O)O2; COC1=C(O)C2=C3C(=C1)C(=O)OC1=C3C(=CC(O)=C1OC)C(=O)O2; CC1(O)C(=O)C2=C(O)C(=CC(O)=C2C2=C1C(=O)C=CC2=O)C(O)=O</t>
  </si>
  <si>
    <t xml:space="preserve">DMPZOHHHRRENRS-UHFFFAOYSA-N; SUBZWRYOAOVYOC-UHFFFAOYSA-N; YFUQJMOETZJFHO-UHFFFAOYSA-N</t>
  </si>
  <si>
    <t xml:space="preserve">Phenylpropanoids and polyketides; Phenylpropanoids and polyketides; Benzenoids</t>
  </si>
  <si>
    <t xml:space="preserve">Tannins; Tannins; Phenanthrenes and derivatives</t>
  </si>
  <si>
    <t xml:space="preserve">Hydrolyzable tannins; Hydrolyzable tannins; Hydrophenanthrenes</t>
  </si>
  <si>
    <t xml:space="preserve">375.10462</t>
  </si>
  <si>
    <t xml:space="preserve">C20H21ClN2O</t>
  </si>
  <si>
    <t xml:space="preserve">3-(4-(4-Chlorophenyl-4-hydroxypiperidino)methyl)indole</t>
  </si>
  <si>
    <t xml:space="preserve">208135</t>
  </si>
  <si>
    <t xml:space="preserve">HMDB0253858</t>
  </si>
  <si>
    <t xml:space="preserve">133633</t>
  </si>
  <si>
    <t xml:space="preserve">OC1(CCN(CC2=CNC3=CC=CC=C23)CC1)C1=CC=C(Cl)C=C1</t>
  </si>
  <si>
    <t xml:space="preserve">LLBLNMUONVVVPG-UHFFFAOYSA-N</t>
  </si>
  <si>
    <t xml:space="preserve">Phenylpiperidines</t>
  </si>
  <si>
    <t xml:space="preserve">377.08659</t>
  </si>
  <si>
    <t xml:space="preserve">C17H16O7</t>
  </si>
  <si>
    <t xml:space="preserve">3,4',5-Trihydroxy-3',7-dimethoxyflavanone; 3,3',5-Trihydroxy-4',7-dimethoxyflavanone</t>
  </si>
  <si>
    <t xml:space="preserve">61045; 61046</t>
  </si>
  <si>
    <t xml:space="preserve">HMDB0037503; HMDB0037504</t>
  </si>
  <si>
    <t xml:space="preserve">92379; 92380</t>
  </si>
  <si>
    <t xml:space="preserve">175236; 175238</t>
  </si>
  <si>
    <t xml:space="preserve">14353345; 11256019</t>
  </si>
  <si>
    <t xml:space="preserve">37971-67-8; 79995-67-8</t>
  </si>
  <si>
    <t xml:space="preserve">COC1=CC(O)=C2C(=O)C(O)C(OC2=C1)C1=CC(OC)=C(O)C=C1; COC1=CC(O)=C2C(=O)C(O)C(OC2=C1)C1=CC(O)=C(OC)C=C1</t>
  </si>
  <si>
    <t xml:space="preserve">DQZRHRLTSJNVBC-UHFFFAOYSA-N; SVPNMFZMHPLGRR-UHFFFAOYSA-N</t>
  </si>
  <si>
    <t xml:space="preserve">O-methylated flavonoids; O-methylated flavonoids</t>
  </si>
  <si>
    <t xml:space="preserve">379.08112</t>
  </si>
  <si>
    <t xml:space="preserve">C15H20O9</t>
  </si>
  <si>
    <t xml:space="preserve">Domesticoside</t>
  </si>
  <si>
    <t xml:space="preserve">54557</t>
  </si>
  <si>
    <t xml:space="preserve">HMDB0029647</t>
  </si>
  <si>
    <t xml:space="preserve">86396</t>
  </si>
  <si>
    <t xml:space="preserve">168004</t>
  </si>
  <si>
    <t xml:space="preserve">75072039</t>
  </si>
  <si>
    <t xml:space="preserve">24587-97-1</t>
  </si>
  <si>
    <t xml:space="preserve">COC1=CC(OC2OC(CO)C(O)C(O)C2O)=C(C(C)=O)C(O)=C1</t>
  </si>
  <si>
    <t xml:space="preserve">XERRGONJPVYTDB-UHFFFAOYSA-N</t>
  </si>
  <si>
    <t xml:space="preserve">379.98946</t>
  </si>
  <si>
    <t xml:space="preserve">C17H12ClNO3S</t>
  </si>
  <si>
    <t xml:space="preserve">p-Hydroxyfentiazac</t>
  </si>
  <si>
    <t xml:space="preserve">209938</t>
  </si>
  <si>
    <t xml:space="preserve">HMDB0256042</t>
  </si>
  <si>
    <t xml:space="preserve">128907</t>
  </si>
  <si>
    <t xml:space="preserve">OC(=O)CC1=C(N=C(S1)C1=CC=C(O)C=C1)C1=CC=C(Cl)C=C1</t>
  </si>
  <si>
    <t xml:space="preserve">DJNVULSXUFPTJJ-UHFFFAOYSA-N</t>
  </si>
  <si>
    <t xml:space="preserve">381.37302</t>
  </si>
  <si>
    <t xml:space="preserve">C25H50O2</t>
  </si>
  <si>
    <t xml:space="preserve">Pentacosanoic acid; 6-Hydroxy-8-pentacosanone; 4-Hydroxy-6-pentacosanone</t>
  </si>
  <si>
    <t xml:space="preserve">71; 59487; 59488</t>
  </si>
  <si>
    <t xml:space="preserve">HMDB0002361; HMDB0035629; HMDB0035630</t>
  </si>
  <si>
    <t xml:space="preserve">4209; 90899; 90900</t>
  </si>
  <si>
    <t xml:space="preserve">LMFA01010025; ; </t>
  </si>
  <si>
    <t xml:space="preserve">39420; ; </t>
  </si>
  <si>
    <t xml:space="preserve">10468; 131751819; 131751820</t>
  </si>
  <si>
    <t xml:space="preserve">506-38-7; ; </t>
  </si>
  <si>
    <t xml:space="preserve">C(CCCCCCCCCCCCC(=O)O)CCCCCCCCCCC; CCCCCCCCCCCCCCCCCC(=O)CC(O)CCCCC; CCCCCCCCCCCCCCCCCCCC(=O)CC(O)CCC</t>
  </si>
  <si>
    <t xml:space="preserve">MWMPEAHGUXCSMY-UHFFFAOYSA-N; GWONURZMUVCQJN-UHFFFAOYSA-N; SXAOJJRLCHVAGW-UHFFFAOYSA-N</t>
  </si>
  <si>
    <t xml:space="preserve">Fatty acids and conjugates; Fatty alcohols; Fatty alcohols</t>
  </si>
  <si>
    <t xml:space="preserve">382.01634</t>
  </si>
  <si>
    <t xml:space="preserve">C14H7F6N3O</t>
  </si>
  <si>
    <t xml:space="preserve">6-(4-(Trifluoromethoxy)phenyl)-3-(trifluoromethyl)-[1,2,4]triazolo[4,3-a]pyridine</t>
  </si>
  <si>
    <t xml:space="preserve">207354</t>
  </si>
  <si>
    <t xml:space="preserve">HMDB0252945</t>
  </si>
  <si>
    <t xml:space="preserve">FC(F)(F)OC1=CC=C(C=C1)C1=CN2C(C=C1)=NN=C2C(F)(F)F</t>
  </si>
  <si>
    <t xml:space="preserve">FEVBKJITJDHASC-UHFFFAOYSA-N</t>
  </si>
  <si>
    <t xml:space="preserve">Phenylpyridines</t>
  </si>
  <si>
    <t xml:space="preserve">382.99220</t>
  </si>
  <si>
    <t xml:space="preserve">C14H16ClO5PS</t>
  </si>
  <si>
    <t xml:space="preserve">Coumaphos</t>
  </si>
  <si>
    <t xml:space="preserve">205258</t>
  </si>
  <si>
    <t xml:space="preserve">HMDB0250488</t>
  </si>
  <si>
    <t xml:space="preserve">44548</t>
  </si>
  <si>
    <t xml:space="preserve">C11025</t>
  </si>
  <si>
    <t xml:space="preserve">3903</t>
  </si>
  <si>
    <t xml:space="preserve">2871</t>
  </si>
  <si>
    <t xml:space="preserve">56-72-4</t>
  </si>
  <si>
    <t xml:space="preserve">CCOP(=S)(OCC)OC1=CC2=C(C=C1)C(C)=C(Cl)C(=O)O2</t>
  </si>
  <si>
    <t xml:space="preserve">BXNANOICGRISHX-UHFFFAOYSA-N</t>
  </si>
  <si>
    <t xml:space="preserve">383.06066</t>
  </si>
  <si>
    <t xml:space="preserve">C17H18N2O6</t>
  </si>
  <si>
    <t xml:space="preserve">Nifedipine</t>
  </si>
  <si>
    <t xml:space="preserve">53338</t>
  </si>
  <si>
    <t xml:space="preserve">HMDB0015247</t>
  </si>
  <si>
    <t xml:space="preserve">1535</t>
  </si>
  <si>
    <t xml:space="preserve">C07266</t>
  </si>
  <si>
    <t xml:space="preserve">7565</t>
  </si>
  <si>
    <t xml:space="preserve">4485</t>
  </si>
  <si>
    <t xml:space="preserve">21829-25-4</t>
  </si>
  <si>
    <t xml:space="preserve">COC(=O)C1=C(C)NC(C)=C(C1C1=CC=CC=C1[N+]([O-])=O)C(=O)OC</t>
  </si>
  <si>
    <t xml:space="preserve">HYIMSNHJOBLJNT-UHFFFAOYSA-N</t>
  </si>
  <si>
    <t xml:space="preserve">Hydropyridines</t>
  </si>
  <si>
    <t xml:space="preserve">385.06690</t>
  </si>
  <si>
    <t xml:space="preserve">C17H18O8</t>
  </si>
  <si>
    <t xml:space="preserve">6-[2,3-Dihydroxy-1-(hydroxymethyl)propyl]-1,2-dihydro-7-hydroxy-9-methoxy-cyclopenta[c][1]benzopyran-3,4-dione</t>
  </si>
  <si>
    <t xml:space="preserve">83578</t>
  </si>
  <si>
    <t xml:space="preserve">HMDB0062427</t>
  </si>
  <si>
    <t xml:space="preserve">73251</t>
  </si>
  <si>
    <t xml:space="preserve">C19590</t>
  </si>
  <si>
    <t xml:space="preserve">53108</t>
  </si>
  <si>
    <t xml:space="preserve">53297445</t>
  </si>
  <si>
    <t xml:space="preserve">COC1=C2C3=C(C(=O)CC3)C(=O)OC2=C(C(CO)C(O)CO)C(O)=C1</t>
  </si>
  <si>
    <t xml:space="preserve">OKGOPKLFGPTQFQ-UHFFFAOYSA-N</t>
  </si>
  <si>
    <t xml:space="preserve">385.12989</t>
  </si>
  <si>
    <t xml:space="preserve">C21H22O7</t>
  </si>
  <si>
    <t xml:space="preserve">Wushanicaritin; Edultin</t>
  </si>
  <si>
    <t xml:space="preserve">30654; 55387</t>
  </si>
  <si>
    <t xml:space="preserve">HMDB0257872; HMDB0030601</t>
  </si>
  <si>
    <t xml:space="preserve">LMPK12110561; </t>
  </si>
  <si>
    <t xml:space="preserve">12310757; 91698393</t>
  </si>
  <si>
    <t xml:space="preserve">; 15591-75-0</t>
  </si>
  <si>
    <t xml:space="preserve">C1(O)=C(CCC(O)(C)C)C2OC(C3C=CC(OC)=CC=3)=C(O)C(=O)C=2C(O)=C1; C\C=C(\C)C(=O)OC1C(OC2=C1C1=C(C=C2)C=CC(=O)O1)C(C)(C)OC(C)=O</t>
  </si>
  <si>
    <t xml:space="preserve">VAYWXTLNNGACLF-UHFFFAOYSA-N; FFCDTHIJWHJUQJ-WDZFZDKYSA-N</t>
  </si>
  <si>
    <t xml:space="preserve">Flavonoids; Coumarins and derivatives</t>
  </si>
  <si>
    <t xml:space="preserve">Flavones; Furanocoumarins</t>
  </si>
  <si>
    <t xml:space="preserve">387.00814</t>
  </si>
  <si>
    <t xml:space="preserve">C17H16Cl2N2O2</t>
  </si>
  <si>
    <t xml:space="preserve">Loviride</t>
  </si>
  <si>
    <t xml:space="preserve">208357</t>
  </si>
  <si>
    <t xml:space="preserve">HMDB0254178</t>
  </si>
  <si>
    <t xml:space="preserve">3963</t>
  </si>
  <si>
    <t xml:space="preserve">CC(=O)C1=C(NC(C(N)=O)C2=C(Cl)C=CC=C2Cl)C=C(C)C=C1</t>
  </si>
  <si>
    <t xml:space="preserve">CJPLEFFCVDQQFZ-UHFFFAOYSA-N</t>
  </si>
  <si>
    <t xml:space="preserve">388.10028</t>
  </si>
  <si>
    <t xml:space="preserve">C16H15F6N5O</t>
  </si>
  <si>
    <t xml:space="preserve">rac-Sitagliptin; Sitagliptin</t>
  </si>
  <si>
    <t xml:space="preserve">210839; 53465</t>
  </si>
  <si>
    <t xml:space="preserve">HMDB0257085; HMDB0015390</t>
  </si>
  <si>
    <t xml:space="preserve">; 85042</t>
  </si>
  <si>
    <t xml:space="preserve">; 40237</t>
  </si>
  <si>
    <t xml:space="preserve">; 4369359</t>
  </si>
  <si>
    <t xml:space="preserve">; 486460-32-6</t>
  </si>
  <si>
    <t xml:space="preserve">NC(CC(=O)N1CCN2C(C1)=NN=C2C(F)(F)F)CC1=CC(F)=C(F)C=C1F; N[C@@H](CC(=O)N1CCN2C(C1)=NN=C2C(F)(F)F)CC1=CC(F)=C(F)C=C1F</t>
  </si>
  <si>
    <t xml:space="preserve">MFFMDFFZMYYVKS-UHFFFAOYSA-N; MFFMDFFZMYYVKS-SECBINFHSA-N</t>
  </si>
  <si>
    <t xml:space="preserve">389.08512</t>
  </si>
  <si>
    <t xml:space="preserve">C19H18O9</t>
  </si>
  <si>
    <t xml:space="preserve">bicyclol</t>
  </si>
  <si>
    <t xml:space="preserve">204175</t>
  </si>
  <si>
    <t xml:space="preserve">HMDB0249191</t>
  </si>
  <si>
    <t xml:space="preserve">408533</t>
  </si>
  <si>
    <t xml:space="preserve">9821754</t>
  </si>
  <si>
    <t xml:space="preserve">COC(=O)C1=CC(OC)=C2OCOC2=C1C1=C2OCOC2=C(OC)C=C1CO</t>
  </si>
  <si>
    <t xml:space="preserve">KXMTXZACPVCDMH-UHFFFAOYSA-N</t>
  </si>
  <si>
    <t xml:space="preserve">Tannins</t>
  </si>
  <si>
    <t xml:space="preserve">Hydrolyzable tannins</t>
  </si>
  <si>
    <t xml:space="preserve">389.12664</t>
  </si>
  <si>
    <t xml:space="preserve">C20H25ClN2O5</t>
  </si>
  <si>
    <t xml:space="preserve">Amlodipine</t>
  </si>
  <si>
    <t xml:space="preserve">48456</t>
  </si>
  <si>
    <t xml:space="preserve">HMDB0005018</t>
  </si>
  <si>
    <t xml:space="preserve">955</t>
  </si>
  <si>
    <t xml:space="preserve">C06825</t>
  </si>
  <si>
    <t xml:space="preserve">2668</t>
  </si>
  <si>
    <t xml:space="preserve">2162</t>
  </si>
  <si>
    <t xml:space="preserve">88150-42-9</t>
  </si>
  <si>
    <t xml:space="preserve">CCOC(=O)C1=C(COCCN)NC(C)=C(C1C1=CC=CC=C1Cl)C(=O)OC</t>
  </si>
  <si>
    <t xml:space="preserve">HTIQEAQVCYTUBX-UHFFFAOYSA-N</t>
  </si>
  <si>
    <t xml:space="preserve">389.24530</t>
  </si>
  <si>
    <t xml:space="preserve">C27H34O2</t>
  </si>
  <si>
    <t xml:space="preserve">1-(4-Hydroxyphenyl)-4,8-dimethyl-10-(2,6,6-trimethylcyclohexen-1-yl)deca-3,5,7,9-tetraen-2-one</t>
  </si>
  <si>
    <t xml:space="preserve">211338</t>
  </si>
  <si>
    <t xml:space="preserve">HMDB0257688</t>
  </si>
  <si>
    <t xml:space="preserve">54436344</t>
  </si>
  <si>
    <t xml:space="preserve">CC(C=CC1=C(C)CCCC1(C)C)=CC=CC(C)=CC(=O)CC1=CC=C(O)C=C1</t>
  </si>
  <si>
    <t xml:space="preserve">WKZPWMRGEOWZTC-UHFFFAOYSA-N</t>
  </si>
  <si>
    <t xml:space="preserve">Prenol lipids</t>
  </si>
  <si>
    <t xml:space="preserve">Retinoids</t>
  </si>
  <si>
    <t xml:space="preserve">394.06240</t>
  </si>
  <si>
    <t xml:space="preserve">C19H18ClNO4</t>
  </si>
  <si>
    <t xml:space="preserve">Gravacridonechlorine; Romucosine B; Isogravacridonechlorine</t>
  </si>
  <si>
    <t xml:space="preserve">55201; 60643; 55014</t>
  </si>
  <si>
    <t xml:space="preserve">HMDB0030384; HMDB0036989; HMDB0030189</t>
  </si>
  <si>
    <t xml:space="preserve">86935; ; 86782</t>
  </si>
  <si>
    <t xml:space="preserve">; ; 542693</t>
  </si>
  <si>
    <t xml:space="preserve">5315835; 85152934; 5486900</t>
  </si>
  <si>
    <t xml:space="preserve">38494-84-7; 356048-24-3; 62512-94-1</t>
  </si>
  <si>
    <t xml:space="preserve">CN1C2=CC=CC=C2C(=O)C2=C1C1=C(OC(C1)C(C)(Cl)CO)C=C2O; COC(=O)N1CCC2=C(Cl)C(O)=C(OC)C3=C2C1CC1=C3C=CC=C1; CN1C2=CC=CC=C2C(=O)C2=C1C1=C(OC(C1)C(C)(O)CCl)C=C2O</t>
  </si>
  <si>
    <t xml:space="preserve">NJSSDVNYKRNTDP-UHFFFAOYSA-N; FFSNCZHOAOMPLR-UHFFFAOYSA-N; PGOOUZZLZBIMRI-UHFFFAOYSA-N</t>
  </si>
  <si>
    <t xml:space="preserve">Organoheterocyclic compounds; Alkaloids and derivatives; Organoheterocyclic compounds</t>
  </si>
  <si>
    <t xml:space="preserve">Quinolines and derivatives; Aporphines; Quinolines and derivatives</t>
  </si>
  <si>
    <t xml:space="preserve">Benzoquinolines; Unclassified; Benzoquinolines</t>
  </si>
  <si>
    <t xml:space="preserve">394.98625</t>
  </si>
  <si>
    <t xml:space="preserve">C17H12Cl2N4O</t>
  </si>
  <si>
    <t xml:space="preserve">4-hydroxytriazolam; 1'-hydroxytriazolam</t>
  </si>
  <si>
    <t xml:space="preserve">82886; 82887</t>
  </si>
  <si>
    <t xml:space="preserve">HMDB0061052; HMDB0061053</t>
  </si>
  <si>
    <t xml:space="preserve">2915; </t>
  </si>
  <si>
    <t xml:space="preserve">128260; 3035212</t>
  </si>
  <si>
    <t xml:space="preserve">65686-11-5; </t>
  </si>
  <si>
    <t xml:space="preserve">CC1=NN=C2C(O)N=C(C3=CC=CC=C3Cl)C3=C(C=CC(Cl)=C3)N12; OCC1=NN=C2CN=C(C3=CC=CC=C3Cl)C3=C(C=CC(Cl)=C3)N12</t>
  </si>
  <si>
    <t xml:space="preserve">YUQRFPYHTPARRM-UHFFFAOYSA-N; BHUYWUDMVCLHND-UHFFFAOYSA-N</t>
  </si>
  <si>
    <t xml:space="preserve">Benzodiazepines; Benzodiazepines</t>
  </si>
  <si>
    <t xml:space="preserve">1,4-benzodiazepines; 1,4-benzodiazepines</t>
  </si>
  <si>
    <t xml:space="preserve">395.21127</t>
  </si>
  <si>
    <t xml:space="preserve">C21H32O7</t>
  </si>
  <si>
    <t xml:space="preserve">Isopetasoside</t>
  </si>
  <si>
    <t xml:space="preserve">54534</t>
  </si>
  <si>
    <t xml:space="preserve">HMDB0029622</t>
  </si>
  <si>
    <t xml:space="preserve">86382</t>
  </si>
  <si>
    <t xml:space="preserve">168841</t>
  </si>
  <si>
    <t xml:space="preserve">131750888</t>
  </si>
  <si>
    <t xml:space="preserve">69809-29-6</t>
  </si>
  <si>
    <t xml:space="preserve">CC1C(CCC2=CC(=O)C(CC12C)=C(C)C)OC1OC(CO)C(O)C(O)C1O</t>
  </si>
  <si>
    <t xml:space="preserve">AVZCSGMWWXMJEA-UHFFFAOYSA-N</t>
  </si>
  <si>
    <t xml:space="preserve">Terpene glycosides</t>
  </si>
  <si>
    <t xml:space="preserve">395.39174</t>
  </si>
  <si>
    <t xml:space="preserve">C26H52O2</t>
  </si>
  <si>
    <t xml:space="preserve">FA(26:0); 6-Hydroxy-8-hexacosanone</t>
  </si>
  <si>
    <t xml:space="preserve">72; 59486</t>
  </si>
  <si>
    <t xml:space="preserve">HMDB0002356; HMDB0035628</t>
  </si>
  <si>
    <t xml:space="preserve">4212; 90898</t>
  </si>
  <si>
    <t xml:space="preserve">LMFA01010026; </t>
  </si>
  <si>
    <t xml:space="preserve">31009; </t>
  </si>
  <si>
    <t xml:space="preserve">10469; 131751818</t>
  </si>
  <si>
    <t xml:space="preserve">506-46-7; </t>
  </si>
  <si>
    <t xml:space="preserve">C(CCCCCCCCCCCCC(=O)O)CCCCCCCCCCCC; CCCCCCCCCCCCCCCCCCC(=O)CC(O)CCCCC</t>
  </si>
  <si>
    <t xml:space="preserve">XMHIUKTWLZUKEX-UHFFFAOYSA-N; AZPCZHMEQBFZQM-UHFFFAOYSA-N</t>
  </si>
  <si>
    <t xml:space="preserve">Fatty acids and conjugates; Fatty alcohols</t>
  </si>
  <si>
    <t xml:space="preserve">397.00055</t>
  </si>
  <si>
    <t xml:space="preserve">C8H6ClNO3</t>
  </si>
  <si>
    <t xml:space="preserve">5-Chloro-6-methoxy-2(3H)-benzoxazolone</t>
  </si>
  <si>
    <t xml:space="preserve">57114</t>
  </si>
  <si>
    <t xml:space="preserve">HMDB0032846</t>
  </si>
  <si>
    <t xml:space="preserve">441869</t>
  </si>
  <si>
    <t xml:space="preserve">15636</t>
  </si>
  <si>
    <t xml:space="preserve">COC1=C(Cl)C=C2NC(=O)OC2=C1</t>
  </si>
  <si>
    <t xml:space="preserve">QQQYQWNSMUHSCK-UHFFFAOYSA-N</t>
  </si>
  <si>
    <t xml:space="preserve">Benzoxazoles</t>
  </si>
  <si>
    <t xml:space="preserve">Benzoxazolones</t>
  </si>
  <si>
    <t xml:space="preserve">397.05896</t>
  </si>
  <si>
    <t xml:space="preserve">C20H14N2O5</t>
  </si>
  <si>
    <t xml:space="preserve">3',6'-Dihydroxy-4,5-diaminospiro[isobenzofuran-1(3H),9'-[9H]xanthene]-3-one; 4,5-Diaminofluorescein</t>
  </si>
  <si>
    <t xml:space="preserve">211291; 205523</t>
  </si>
  <si>
    <t xml:space="preserve">HMDB0257630; HMDB0250826</t>
  </si>
  <si>
    <t xml:space="preserve">; 64883</t>
  </si>
  <si>
    <t xml:space="preserve">9947067; 10666340</t>
  </si>
  <si>
    <t xml:space="preserve">; 205391-01-1</t>
  </si>
  <si>
    <t xml:space="preserve">NC1=C(N)C2=C(C=C1)C1(OC2=O)C2=C(OC3=C1C=CC(O)=C3)C=C(O)C=C2; NC1=C(N)C=C2C(=C1)C(=O)OC21C2=C(OC3=C1C=CC(O)=C3)C=C(O)C=C2</t>
  </si>
  <si>
    <t xml:space="preserve">LPVRTLOUIWNQCQ-UHFFFAOYSA-N; LTYUPYUWXRTNFQ-UHFFFAOYSA-N</t>
  </si>
  <si>
    <t xml:space="preserve">Benzopyrans; Benzopyrans</t>
  </si>
  <si>
    <t xml:space="preserve">1-benzopyrans; 1-benzopyrans</t>
  </si>
  <si>
    <t xml:space="preserve">397.98978</t>
  </si>
  <si>
    <t xml:space="preserve">C15H14INO4</t>
  </si>
  <si>
    <t xml:space="preserve">3'-Monoiodo-L-thyronine; 2-Amino-3-(4-(4-hydroxyphenoxy)-3-iodophenyl)propanoic acid; Monoiodothyronine</t>
  </si>
  <si>
    <t xml:space="preserve">83539; 200205; 47225</t>
  </si>
  <si>
    <t xml:space="preserve">HMDB0062356; HMDB0244731; HMDB0000793</t>
  </si>
  <si>
    <t xml:space="preserve">; ; 5758</t>
  </si>
  <si>
    <t xml:space="preserve">122056; 123785; 53477717</t>
  </si>
  <si>
    <t xml:space="preserve">4732-82-5; ; 29354-16-3</t>
  </si>
  <si>
    <t xml:space="preserve">N[C@@H](CC1=CC=C(OC2=CC(I)=C(O)C=C2)C=C1)C(O)=O; NC(CC1=CC(I)=C(OC2=CC=C(O)C=C2)C=C1)C(O)=O; N[C@H](CC1=CC(I)=C(OC2=CC=C(O)C=C2)C=C1)C(O)=O</t>
  </si>
  <si>
    <t xml:space="preserve">RUIUIJSMLKJUDC-ZDUSSCGKSA-N; SXQVOFSDWXYIRP-UHFFFAOYSA-N; SXQVOFSDWXYIRP-CYBMUJFWSA-N</t>
  </si>
  <si>
    <t xml:space="preserve">399.00307</t>
  </si>
  <si>
    <t xml:space="preserve">C12H20Cl4N2O2</t>
  </si>
  <si>
    <t xml:space="preserve">Fertilysin</t>
  </si>
  <si>
    <t xml:space="preserve">200136</t>
  </si>
  <si>
    <t xml:space="preserve">HMDB0244652</t>
  </si>
  <si>
    <t xml:space="preserve">430393</t>
  </si>
  <si>
    <t xml:space="preserve">90441</t>
  </si>
  <si>
    <t xml:space="preserve">15134</t>
  </si>
  <si>
    <t xml:space="preserve">ClC(Cl)C(=O)NCCCCCCCCNC(=O)C(Cl)Cl</t>
  </si>
  <si>
    <t xml:space="preserve">FAOMZVDZARKPFJ-UHFFFAOYSA-N</t>
  </si>
  <si>
    <t xml:space="preserve">401.07533</t>
  </si>
  <si>
    <t xml:space="preserve">C17H20N2O6S</t>
  </si>
  <si>
    <t xml:space="preserve">Meticillin</t>
  </si>
  <si>
    <t xml:space="preserve">53586</t>
  </si>
  <si>
    <t xml:space="preserve">HMDB0015541</t>
  </si>
  <si>
    <t xml:space="preserve">66601</t>
  </si>
  <si>
    <t xml:space="preserve">C07177</t>
  </si>
  <si>
    <t xml:space="preserve">6827</t>
  </si>
  <si>
    <t xml:space="preserve">6087</t>
  </si>
  <si>
    <t xml:space="preserve">61-32-5</t>
  </si>
  <si>
    <t xml:space="preserve">[H][C@]12SC(C)(C)[C@@H](N1C(=O)[C@H]2NC(=O)C1=C(OC)C=CC=C1OC)C(O)=O</t>
  </si>
  <si>
    <t xml:space="preserve">RJQXTJLFIWVMTO-TYNCELHUSA-N</t>
  </si>
  <si>
    <t xml:space="preserve">402.00251</t>
  </si>
  <si>
    <t xml:space="preserve">C10H13FN5O7P</t>
  </si>
  <si>
    <t xml:space="preserve">Fludarabine; Fludara</t>
  </si>
  <si>
    <t xml:space="preserve">53306; 200569</t>
  </si>
  <si>
    <t xml:space="preserve">HMDB0015206; HMDB0245127</t>
  </si>
  <si>
    <t xml:space="preserve">675; </t>
  </si>
  <si>
    <t xml:space="preserve">63599; </t>
  </si>
  <si>
    <t xml:space="preserve">30751; 3368</t>
  </si>
  <si>
    <t xml:space="preserve">75607-67-9; </t>
  </si>
  <si>
    <t xml:space="preserve">NC1=C2N=CN([C@@H]3O[C@H](COP(O)(O)=O)[C@@H](O)[C@@H]3O)C2=NC(F)=N1; NC1=NC(F)=NC2=C1N=CN2C1OC(COP(O)(O)=O)C(O)C1O</t>
  </si>
  <si>
    <t xml:space="preserve">GIUYCYHIANZCFB-FJFJXFQQSA-N; GIUYCYHIANZCFB-UHFFFAOYSA-N</t>
  </si>
  <si>
    <t xml:space="preserve">Purine ribonucleotides; Purine ribonucleotides</t>
  </si>
  <si>
    <t xml:space="preserve">402.10094</t>
  </si>
  <si>
    <t xml:space="preserve">C16H21NO11</t>
  </si>
  <si>
    <t xml:space="preserve">2,4-Dihydroxy-7,8-dimethoxy-2H-1,4-benzoxazin-3(4H)-one 2-glucoside</t>
  </si>
  <si>
    <t xml:space="preserve">61088</t>
  </si>
  <si>
    <t xml:space="preserve">HMDB0037550</t>
  </si>
  <si>
    <t xml:space="preserve">92407</t>
  </si>
  <si>
    <t xml:space="preserve">169624</t>
  </si>
  <si>
    <t xml:space="preserve">77195081</t>
  </si>
  <si>
    <t xml:space="preserve">40246-08-0</t>
  </si>
  <si>
    <t xml:space="preserve">COC1=C(OC)C2=C(C=C1)N(O)C(=O)C(OC1OC(CO)C(O)C(O)C1O)O2</t>
  </si>
  <si>
    <t xml:space="preserve">CFUFRWCJGZYVHK-UHFFFAOYSA-N</t>
  </si>
  <si>
    <t xml:space="preserve">404.10615</t>
  </si>
  <si>
    <t xml:space="preserve">C19H17F2N3O5</t>
  </si>
  <si>
    <t xml:space="preserve">Cabotegravir</t>
  </si>
  <si>
    <t xml:space="preserve">204458</t>
  </si>
  <si>
    <t xml:space="preserve">HMDB0249523</t>
  </si>
  <si>
    <t xml:space="preserve">66799609</t>
  </si>
  <si>
    <t xml:space="preserve">CC1COC2CN3C=C(C(=O)NCC4=C(F)C=C(F)C=C4)C(=O)C(O)=C3C(=O)N12</t>
  </si>
  <si>
    <t xml:space="preserve">WCWSTNLSLKSJPK-UHFFFAOYSA-N</t>
  </si>
  <si>
    <t xml:space="preserve">405.10370</t>
  </si>
  <si>
    <t xml:space="preserve">C20H13FN4O2</t>
  </si>
  <si>
    <t xml:space="preserve">4-(4-Fluorophenyl)-2-(4-nitrophenyl)-5-(4-pyridyl)-1H-imidazole</t>
  </si>
  <si>
    <t xml:space="preserve">200168</t>
  </si>
  <si>
    <t xml:space="preserve">HMDB0244687</t>
  </si>
  <si>
    <t xml:space="preserve">64644</t>
  </si>
  <si>
    <t xml:space="preserve">4712</t>
  </si>
  <si>
    <t xml:space="preserve">152121-53-4</t>
  </si>
  <si>
    <t xml:space="preserve">[O-][N+](=O)C1=CC=C(C=C1)C1=NC(=C(N1)C1=CC=NC=C1)C1=CC=C(F)C=C1</t>
  </si>
  <si>
    <t xml:space="preserve">BGIYKDUASORTBB-UHFFFAOYSA-N</t>
  </si>
  <si>
    <t xml:space="preserve">406.01899</t>
  </si>
  <si>
    <t xml:space="preserve">C15H16Cl3N5</t>
  </si>
  <si>
    <t xml:space="preserve">Sipatrigine</t>
  </si>
  <si>
    <t xml:space="preserve">211858</t>
  </si>
  <si>
    <t xml:space="preserve">HMDB0258307</t>
  </si>
  <si>
    <t xml:space="preserve">69733</t>
  </si>
  <si>
    <t xml:space="preserve">C13852</t>
  </si>
  <si>
    <t xml:space="preserve">60803</t>
  </si>
  <si>
    <t xml:space="preserve">130800-90-7</t>
  </si>
  <si>
    <t xml:space="preserve">CN1CCN(CC1)C1=NC=C(C(N)=N1)C1=CC(Cl)=CC(Cl)=C1Cl</t>
  </si>
  <si>
    <t xml:space="preserve">PDOCBJADCWMDGL-UHFFFAOYSA-N</t>
  </si>
  <si>
    <t xml:space="preserve">Diazinanes</t>
  </si>
  <si>
    <t xml:space="preserve">Piperazines</t>
  </si>
  <si>
    <t xml:space="preserve">406.10464</t>
  </si>
  <si>
    <t xml:space="preserve">C19H20ClNO4</t>
  </si>
  <si>
    <t xml:space="preserve">Bezafibrate</t>
  </si>
  <si>
    <t xml:space="preserve">53527</t>
  </si>
  <si>
    <t xml:space="preserve">HMDB0015465</t>
  </si>
  <si>
    <t xml:space="preserve">1329</t>
  </si>
  <si>
    <t xml:space="preserve">47612</t>
  </si>
  <si>
    <t xml:space="preserve">39042</t>
  </si>
  <si>
    <t xml:space="preserve">41859-67-0</t>
  </si>
  <si>
    <t xml:space="preserve">CC(C)(OC1=CC=C(CCNC(=O)C2=CC=C(Cl)C=C2)C=C1)C(O)=O</t>
  </si>
  <si>
    <t xml:space="preserve">IIBYAHWJQTYFKB-UHFFFAOYSA-N</t>
  </si>
  <si>
    <t xml:space="preserve">Phenoxyacetic acid derivatives</t>
  </si>
  <si>
    <t xml:space="preserve">406.94221</t>
  </si>
  <si>
    <t xml:space="preserve">C3H8O6S2</t>
  </si>
  <si>
    <t xml:space="preserve">Eprodisate</t>
  </si>
  <si>
    <t xml:space="preserve">201037</t>
  </si>
  <si>
    <t xml:space="preserve">HMDB0245621</t>
  </si>
  <si>
    <t xml:space="preserve">320525</t>
  </si>
  <si>
    <t xml:space="preserve">428573</t>
  </si>
  <si>
    <t xml:space="preserve">OS(=O)(=O)CCCS(O)(=O)=O</t>
  </si>
  <si>
    <t xml:space="preserve">MGNVWUDMMXZUDI-UHFFFAOYSA-N</t>
  </si>
  <si>
    <t xml:space="preserve">407.06557</t>
  </si>
  <si>
    <t xml:space="preserve">C16H15N2O6P</t>
  </si>
  <si>
    <t xml:space="preserve">Fosphenytoin</t>
  </si>
  <si>
    <t xml:space="preserve">53488</t>
  </si>
  <si>
    <t xml:space="preserve">HMDB0015417</t>
  </si>
  <si>
    <t xml:space="preserve">4050</t>
  </si>
  <si>
    <t xml:space="preserve">C07840</t>
  </si>
  <si>
    <t xml:space="preserve">775287</t>
  </si>
  <si>
    <t xml:space="preserve">56339</t>
  </si>
  <si>
    <t xml:space="preserve">93390-81-9</t>
  </si>
  <si>
    <t xml:space="preserve">OP(O)(=O)OCN1C(=O)NC(C1=O)(C1=CC=CC=C1)C1=CC=CC=C1</t>
  </si>
  <si>
    <t xml:space="preserve">XWLUWCNOOVRFPX-UHFFFAOYSA-N</t>
  </si>
  <si>
    <t xml:space="preserve">Diphenylmethanes</t>
  </si>
  <si>
    <t xml:space="preserve">409.23601</t>
  </si>
  <si>
    <t xml:space="preserve">C19H39O7P</t>
  </si>
  <si>
    <t xml:space="preserve">LPA(16:0)</t>
  </si>
  <si>
    <t xml:space="preserve">49556</t>
  </si>
  <si>
    <t xml:space="preserve">HMDB0007849</t>
  </si>
  <si>
    <t xml:space="preserve">56960317</t>
  </si>
  <si>
    <t xml:space="preserve">CCCCCCCCCCCCCCCC(=O)OC(CO)COP(O)(O)=O</t>
  </si>
  <si>
    <t xml:space="preserve">LPQBQFLKBCPNAV-UHFFFAOYSA-N</t>
  </si>
  <si>
    <t xml:space="preserve">Glycerophosphates</t>
  </si>
  <si>
    <t xml:space="preserve">410.06516</t>
  </si>
  <si>
    <t xml:space="preserve">C16H19N3O9S</t>
  </si>
  <si>
    <t xml:space="preserve">Sulfamethoxazole N1-glucuronide</t>
  </si>
  <si>
    <t xml:space="preserve">52478</t>
  </si>
  <si>
    <t xml:space="preserve">HMDB0013855</t>
  </si>
  <si>
    <t xml:space="preserve">75213081</t>
  </si>
  <si>
    <t xml:space="preserve">CC1=CC(=NO1)N(C1OC(C(O)C(O)C1O)C(O)=O)S(=O)(=O)C1=CC=C(N)C=C1</t>
  </si>
  <si>
    <t xml:space="preserve">BLFOMTRQSZIMKK-UHFFFAOYSA-N</t>
  </si>
  <si>
    <t xml:space="preserve">411.20486</t>
  </si>
  <si>
    <t xml:space="preserve">C22H28N4O4</t>
  </si>
  <si>
    <t xml:space="preserve">(2S)-5-(Diaminomethylideneamino)-2-[[2-(2,2-diphenylethoxy)acetyl]amino]pentanoic acid; (E)-8-(3,4-Dimethoxystyryl)-7-methyl-1,3-dipropylxanthine; Ametantrone</t>
  </si>
  <si>
    <t xml:space="preserve">211195; 208083; 204532</t>
  </si>
  <si>
    <t xml:space="preserve">HMDB0257522; HMDB0253795; HMDB0249621</t>
  </si>
  <si>
    <t xml:space="preserve">; ; 351491</t>
  </si>
  <si>
    <t xml:space="preserve">5167; 3072326; 2134</t>
  </si>
  <si>
    <t xml:space="preserve">NC(N)=NCCCC(NC(=O)COCC(C1=CC=CC=C1)C1=CC=CC=C1)C(O)=O; CCCN1C2=C(N(C)C(C=CC3=CC(OC)=C(OC)C=C3)=N2)C(=O)N(CCC)C1=O; OCCNCCNC1=C2C(=O)C3=CC=CC=C3C(=O)C2=C(NCCNCCO)C=C1</t>
  </si>
  <si>
    <t xml:space="preserve">RRKKJYBCPXAJAO-UHFFFAOYSA-N; UQGGPCQNHJCOPS-UHFFFAOYSA-N; FFGSXKJJVBXWCY-UHFFFAOYSA-N</t>
  </si>
  <si>
    <t xml:space="preserve">Benzenoids; Organoheterocyclic compounds; Benzenoids</t>
  </si>
  <si>
    <t xml:space="preserve">Benzene and substituted derivatives; Imidazopyrimidines; Anthracenes</t>
  </si>
  <si>
    <t xml:space="preserve">Diphenylmethanes; Purines and purine derivatives; Anthraquinones</t>
  </si>
  <si>
    <t xml:space="preserve">413.07655</t>
  </si>
  <si>
    <t xml:space="preserve">C18H22N2O3S2</t>
  </si>
  <si>
    <t xml:space="preserve">(2R)-3-Cyclopentyl-2-(4-methylsulfonylphenyl)-N-(2-thiazolyl)propanamide</t>
  </si>
  <si>
    <t xml:space="preserve">199051</t>
  </si>
  <si>
    <t xml:space="preserve">HMDB0242661</t>
  </si>
  <si>
    <t xml:space="preserve">9799942</t>
  </si>
  <si>
    <t xml:space="preserve">CS(=O)(=O)C1=CC=C(C=C1)C(CC1CCCC1)C(=O)NC1=NC=CS1</t>
  </si>
  <si>
    <t xml:space="preserve">NEQSWPCDHDQINX-UHFFFAOYSA-N</t>
  </si>
  <si>
    <t xml:space="preserve">Phenylacetamides</t>
  </si>
  <si>
    <t xml:space="preserve">413.12586</t>
  </si>
  <si>
    <t xml:space="preserve">C22H22O8</t>
  </si>
  <si>
    <t xml:space="preserve">Podofilox; Lignans</t>
  </si>
  <si>
    <t xml:space="preserve">53395; 56009</t>
  </si>
  <si>
    <t xml:space="preserve">HMDB0015310; HMDB0031452</t>
  </si>
  <si>
    <t xml:space="preserve">; 87691</t>
  </si>
  <si>
    <t xml:space="preserve">C10874; C10871</t>
  </si>
  <si>
    <t xml:space="preserve">50305; </t>
  </si>
  <si>
    <t xml:space="preserve">10607; 443013</t>
  </si>
  <si>
    <t xml:space="preserve">477-47-4; </t>
  </si>
  <si>
    <t xml:space="preserve">[H][C@]12COC(=O)[C@]1([H])[C@H](C1=CC(OC)=C(OC)C(OC)=C1)C1=CC3=C(OCO3)C=C1[C@@H]2O; COC1=CC(=CC(OC)=C1OC)[C@H]1[C@H]2C(COC2=O)[C@@H](O)C2=CC3=C(OCO3)C=C12</t>
  </si>
  <si>
    <t xml:space="preserve">YJGVMLPVUAXIQN-XVVDYKMHSA-N; YJGVMLPVUAXIQN-BCVBHCCTSA-N</t>
  </si>
  <si>
    <t xml:space="preserve">Lignans, neolignans and related compounds; Lignans, neolignans and related compounds</t>
  </si>
  <si>
    <t xml:space="preserve">Lignan lactones; Lignan lactones</t>
  </si>
  <si>
    <t xml:space="preserve">Podophyllotoxins; Podophyllotoxins</t>
  </si>
  <si>
    <t xml:space="preserve">415.03226</t>
  </si>
  <si>
    <t xml:space="preserve">C15H14O9S</t>
  </si>
  <si>
    <t xml:space="preserve">Catechin 7-sulfate; Catechin 3-sulfate; Catechin 3'-sulfate</t>
  </si>
  <si>
    <t xml:space="preserve">197095; 197096; 197142</t>
  </si>
  <si>
    <t xml:space="preserve">HMDB0240436; HMDB0240437; HMDB0240485</t>
  </si>
  <si>
    <t xml:space="preserve">; 149590; </t>
  </si>
  <si>
    <t xml:space="preserve">; 146026647; 102232874</t>
  </si>
  <si>
    <t xml:space="preserve">1123761-39-6; 2095326-82-0; </t>
  </si>
  <si>
    <t xml:space="preserve">[H][C@]1(O)CC2=C(O)C=C(OS(O)(=O)=O)C=C2O[C@]1([H])C1=CC(O)=C(O)C=C1; [H][C@@]1(CC2=C(O)C=C(O)C=C2O[C@]1([H])C1=CC(O)=C(O)C=C1)OS(O)(=O)=O; [H][C@]1(O)CC2=C(O)C=C(O)C=C2O[C@]1([H])C1=CC(OS(O)(=O)=O)=C(O)C=C1</t>
  </si>
  <si>
    <t xml:space="preserve">RTMISWLJQDWIPT-DZGCQCFKSA-N; FLSYXGAHKYHTCZ-LSDHHAIUSA-N; VBSMBNMUYITMLB-SWLSCSKDSA-N</t>
  </si>
  <si>
    <t xml:space="preserve">Phenylpropanoids and polyketides; Phenylpropanoids and polyketides; Phenylpropanoids and polyketides</t>
  </si>
  <si>
    <t xml:space="preserve">Flavonoids; Flavonoids; Flavonoids</t>
  </si>
  <si>
    <t xml:space="preserve">Flavans; Flavans; Flavans</t>
  </si>
  <si>
    <t xml:space="preserve">415.14464</t>
  </si>
  <si>
    <t xml:space="preserve">C19H22N4O2S</t>
  </si>
  <si>
    <t xml:space="preserve">Telenzepine</t>
  </si>
  <si>
    <t xml:space="preserve">212234</t>
  </si>
  <si>
    <t xml:space="preserve">HMDB0258786</t>
  </si>
  <si>
    <t xml:space="preserve">CN1CCN(CC(=O)N2C3=C(C)SC=C3C(=O)NC3=CC=CC=C23)CC1</t>
  </si>
  <si>
    <t xml:space="preserve">VSWPGAIWKHPTKX-UHFFFAOYSA-N</t>
  </si>
  <si>
    <t xml:space="preserve">416.13837</t>
  </si>
  <si>
    <t xml:space="preserve">C19H20FN5O5</t>
  </si>
  <si>
    <t xml:space="preserve">N-Acetyl gemifloxacin</t>
  </si>
  <si>
    <t xml:space="preserve">82511</t>
  </si>
  <si>
    <t xml:space="preserve">HMDB0060633</t>
  </si>
  <si>
    <t xml:space="preserve">131769922</t>
  </si>
  <si>
    <t xml:space="preserve">CO\N=C1/CN(CC1NC(C)=O)C1=NC2=C(C=C1F)C(=O)C(=CN2C1CC1)C(O)=O</t>
  </si>
  <si>
    <t xml:space="preserve">ZLRGFKRHAFQIIT-HZHRSRAPSA-N</t>
  </si>
  <si>
    <t xml:space="preserve">Naphthyridines</t>
  </si>
  <si>
    <t xml:space="preserve">418.10014</t>
  </si>
  <si>
    <t xml:space="preserve">C20H24ClN3O4S</t>
  </si>
  <si>
    <t xml:space="preserve">Ethyl 3-[[(4-chlorophenyl)methyl-[(5-nitrothiophen-2-yl)methyl]amino]methyl]pyrrolidine-1-carboxylate</t>
  </si>
  <si>
    <t xml:space="preserve">211970</t>
  </si>
  <si>
    <t xml:space="preserve">HMDB0258461</t>
  </si>
  <si>
    <t xml:space="preserve">CCOC(=O)N1CCC(CN(CC2=CC=C(S2)[N+]([O-])=O)CC2=CC=C(Cl)C=C2)C1</t>
  </si>
  <si>
    <t xml:space="preserve">MMJJNHOIVCGAAP-UHFFFAOYSA-N</t>
  </si>
  <si>
    <t xml:space="preserve">Nitrothiophenes</t>
  </si>
  <si>
    <t xml:space="preserve">419.09476</t>
  </si>
  <si>
    <t xml:space="preserve">C22H16N4O3</t>
  </si>
  <si>
    <t xml:space="preserve">UVA-1; 4-(4-(Benzo[d][1,3]dioxol-5-yl)-5-(pyridin-2-yl)-1H-imidazol-2-yl)benzamide</t>
  </si>
  <si>
    <t xml:space="preserve">212982; 201485</t>
  </si>
  <si>
    <t xml:space="preserve">HMDB0259732; HMDB0246120</t>
  </si>
  <si>
    <t xml:space="preserve">; 45432</t>
  </si>
  <si>
    <t xml:space="preserve">; 91108</t>
  </si>
  <si>
    <t xml:space="preserve">23508622; 4521392</t>
  </si>
  <si>
    <t xml:space="preserve">; 301836-41-9</t>
  </si>
  <si>
    <t xml:space="preserve">CC1=CC(CN2C(=O)C3=CC=CC=C3C2=O)=C(O)C(=C1)N1N=C2C=CC=CC2=N1; NC(=O)C1=CC=C(C=C1)C1=NC(=C(N1)C1=CC2=C(OCO2)C=C1)C1=CC=CC=N1</t>
  </si>
  <si>
    <t xml:space="preserve">MRPAPSRRNXMGJW-UHFFFAOYSA-N; FHYUGAJXYORMHI-UHFFFAOYSA-N</t>
  </si>
  <si>
    <t xml:space="preserve">Isoindoles and derivatives; Azoles</t>
  </si>
  <si>
    <t xml:space="preserve">Isoindolines; Imidazoles</t>
  </si>
  <si>
    <t xml:space="preserve">420.08855</t>
  </si>
  <si>
    <t xml:space="preserve">C20H20ClN3O3</t>
  </si>
  <si>
    <t xml:space="preserve">Tepoxalin</t>
  </si>
  <si>
    <t xml:space="preserve">212267</t>
  </si>
  <si>
    <t xml:space="preserve">HMDB0258823</t>
  </si>
  <si>
    <t xml:space="preserve">72179</t>
  </si>
  <si>
    <t xml:space="preserve">C18362</t>
  </si>
  <si>
    <t xml:space="preserve">76277</t>
  </si>
  <si>
    <t xml:space="preserve">59757</t>
  </si>
  <si>
    <t xml:space="preserve">103475-41-8</t>
  </si>
  <si>
    <t xml:space="preserve">COC1=CC=C(C=C1)N1N=C(CCC(=O)N(C)O)C=C1C1=CC=C(Cl)C=C1</t>
  </si>
  <si>
    <t xml:space="preserve">XYKWNRUXCOIMFZ-UHFFFAOYSA-N</t>
  </si>
  <si>
    <t xml:space="preserve">Pyrazoles</t>
  </si>
  <si>
    <t xml:space="preserve">421.07824</t>
  </si>
  <si>
    <t xml:space="preserve">C19H20O12</t>
  </si>
  <si>
    <t xml:space="preserve">3,5-Dihydroxyphenyl 1-O-(6-O-galloyl-beta-D-glucopyranoside)</t>
  </si>
  <si>
    <t xml:space="preserve">62592</t>
  </si>
  <si>
    <t xml:space="preserve">HMDB0039307</t>
  </si>
  <si>
    <t xml:space="preserve">93891</t>
  </si>
  <si>
    <t xml:space="preserve">169424</t>
  </si>
  <si>
    <t xml:space="preserve">131752603</t>
  </si>
  <si>
    <t xml:space="preserve">94356-21-5</t>
  </si>
  <si>
    <t xml:space="preserve">OC1C(O)C(COC(=O)C2=CC(O)=C(O)C(O)=C2)OC(OC2=CC(O)=CC(O)=C2)C1O</t>
  </si>
  <si>
    <t xml:space="preserve">WVHDGXKUZIDTIN-UHFFFAOYSA-N</t>
  </si>
  <si>
    <t xml:space="preserve">421.23263</t>
  </si>
  <si>
    <t xml:space="preserve">C21H38O6</t>
  </si>
  <si>
    <t xml:space="preserve">Cryptomeridiol 11-rhamnoside; Mangalkanyl glucoside; Glycerol trihexanoate</t>
  </si>
  <si>
    <t xml:space="preserve">61484; 59822; 55741</t>
  </si>
  <si>
    <t xml:space="preserve">HMDB0038018; HMDB0036015; HMDB0031125</t>
  </si>
  <si>
    <t xml:space="preserve">; 91194; 87428</t>
  </si>
  <si>
    <t xml:space="preserve">; 168982; 77386</t>
  </si>
  <si>
    <t xml:space="preserve">73077690; 131751899; 12131</t>
  </si>
  <si>
    <t xml:space="preserve">349112-30-7; 259144-63-3; 621-70-5</t>
  </si>
  <si>
    <t xml:space="preserve">CC1OC(OC(C)(C)C2CCC3(C)CCCC(C)(O)C3C2)C(O)C(O)C1O; CCCCCCCCCC1CCC=CC1OC1OC(CO)C(O)C(O)C1O; CCCCCC(=O)OCC(COC(=O)CCCCC)OC(=O)CCCCC</t>
  </si>
  <si>
    <t xml:space="preserve">HUSBLOAZNQURFJ-UHFFFAOYSA-N; UMZTUZCMBMNJSZ-UHFFFAOYSA-N; MAYCICSNZYXLHB-UHFFFAOYSA-N</t>
  </si>
  <si>
    <t xml:space="preserve">Lipids and lipid-like molecules; Organic oxygen compounds; Lipids and lipid-like molecules</t>
  </si>
  <si>
    <t xml:space="preserve">Prenol lipids; Organooxygen compounds; Glycerolipids</t>
  </si>
  <si>
    <t xml:space="preserve">Sesquiterpenoids; Carbohydrates and carbohydrate conjugates; Triradylcglycerols</t>
  </si>
  <si>
    <t xml:space="preserve">421.99528</t>
  </si>
  <si>
    <t xml:space="preserve">C9H15N3O10P2</t>
  </si>
  <si>
    <t xml:space="preserve">dCDP</t>
  </si>
  <si>
    <t xml:space="preserve">47468</t>
  </si>
  <si>
    <t xml:space="preserve">HMDB0001245</t>
  </si>
  <si>
    <t xml:space="preserve">6105</t>
  </si>
  <si>
    <t xml:space="preserve">C00705</t>
  </si>
  <si>
    <t xml:space="preserve">28846</t>
  </si>
  <si>
    <t xml:space="preserve">150855</t>
  </si>
  <si>
    <t xml:space="preserve">800-73-7</t>
  </si>
  <si>
    <t xml:space="preserve">NC1=NC(=O)N(C=C1)[C@H]1C[C@H](O)[C@@H](COP(O)(=O)OP(O)(O)=O)O1</t>
  </si>
  <si>
    <t xml:space="preserve">FTDHDKPUHBLBTL-SHYZEUOFSA-N</t>
  </si>
  <si>
    <t xml:space="preserve">Organic pyrophosphates</t>
  </si>
  <si>
    <t xml:space="preserve">422.08859</t>
  </si>
  <si>
    <t xml:space="preserve">C16H21NO10</t>
  </si>
  <si>
    <t xml:space="preserve">(R)-2-Hydroxy-7,8-dimethoxy-2H-1,4-benzoxazin-3(4H)-one 2-glucoside</t>
  </si>
  <si>
    <t xml:space="preserve">60864</t>
  </si>
  <si>
    <t xml:space="preserve">HMDB0037262</t>
  </si>
  <si>
    <t xml:space="preserve">92215</t>
  </si>
  <si>
    <t xml:space="preserve">168075</t>
  </si>
  <si>
    <t xml:space="preserve">77195087</t>
  </si>
  <si>
    <t xml:space="preserve">40246-09-1</t>
  </si>
  <si>
    <t xml:space="preserve">COC1=CC=C2NC(=O)C(OC3OC(CO)C(O)C(O)C3O)OC2=C1OC</t>
  </si>
  <si>
    <t xml:space="preserve">VKCKUXJIUMKEJF-UHFFFAOYSA-N</t>
  </si>
  <si>
    <t xml:space="preserve">422.25358</t>
  </si>
  <si>
    <t xml:space="preserve">C23H37NO6</t>
  </si>
  <si>
    <t xml:space="preserve">(6E,9E,12E)-hexadeca-6,9,12-trienedioylcarnitine; (5E,8E,11E)-Hexadeca-5,8,11-trienedioylcarnitine; (2Z,6Z,10Z)-Hexadeca-2,6,10-trienedioylcarnitine</t>
  </si>
  <si>
    <t xml:space="preserve">198043; 198044; 198045</t>
  </si>
  <si>
    <t xml:space="preserve">HMDB0241500; HMDB0241501; HMDB0241502</t>
  </si>
  <si>
    <t xml:space="preserve">C[N+](C)(C)CC(CC([O-])=O)OC(=O)CCCCC=CCC=CCC=CCCC(O)=O; C[N+](C)(C)CC(CC([O-])=O)OC(=O)CCCC=CCC=CCC=CCCCC(O)=O; C[N+](C)(C)CC(CC([O-])=O)OC(=O)C=CCCC=CCCC=CCCCCC(O)=O</t>
  </si>
  <si>
    <t xml:space="preserve">WQYJEEUDWOXWCP-UHFFFAOYSA-N; WRLHCOOWSPPGFT-UHFFFAOYSA-N; UIAPNQBOFVJRPV-UHFFFAOYSA-N</t>
  </si>
  <si>
    <t xml:space="preserve">Fatty acid esters; Fatty acid esters; Fatty acid esters</t>
  </si>
  <si>
    <t xml:space="preserve">423.24660</t>
  </si>
  <si>
    <t xml:space="preserve">C18H32N8O4</t>
  </si>
  <si>
    <t xml:space="preserve">L-Prolinamide, glycyl-L-prolyl-L-arginyl-</t>
  </si>
  <si>
    <t xml:space="preserve">208157</t>
  </si>
  <si>
    <t xml:space="preserve">HMDB0253912</t>
  </si>
  <si>
    <t xml:space="preserve">3884696</t>
  </si>
  <si>
    <t xml:space="preserve">NCC(=O)N1CCCC1C(=O)NC(CCCN=C(N)N)C(=O)N1CCCC1C(N)=O</t>
  </si>
  <si>
    <t xml:space="preserve">SCCTZYGEMPQRCV-UHFFFAOYSA-N</t>
  </si>
  <si>
    <t xml:space="preserve">424.08067</t>
  </si>
  <si>
    <t xml:space="preserve">C20H21NO7</t>
  </si>
  <si>
    <t xml:space="preserve">Dihydroxycitracridone I</t>
  </si>
  <si>
    <t xml:space="preserve">55975</t>
  </si>
  <si>
    <t xml:space="preserve">HMDB0031401</t>
  </si>
  <si>
    <t xml:space="preserve">87654</t>
  </si>
  <si>
    <t xml:space="preserve">175923</t>
  </si>
  <si>
    <t xml:space="preserve">131751166</t>
  </si>
  <si>
    <t xml:space="preserve">161043-20-5</t>
  </si>
  <si>
    <t xml:space="preserve">COC1=C2N(C)C3=C(C(O)=CC4=C3C(O)C(O)C(C)(C)O4)C(=O)C2=CC=C1O</t>
  </si>
  <si>
    <t xml:space="preserve">ZDUPGHPJVKHTEK-UHFFFAOYSA-N</t>
  </si>
  <si>
    <t xml:space="preserve">424.24384</t>
  </si>
  <si>
    <t xml:space="preserve">C19H40NO7P</t>
  </si>
  <si>
    <t xml:space="preserve">LPE(14:0)</t>
  </si>
  <si>
    <t xml:space="preserve">21194</t>
  </si>
  <si>
    <t xml:space="preserve">HMDB0011470</t>
  </si>
  <si>
    <t xml:space="preserve">62258</t>
  </si>
  <si>
    <t xml:space="preserve">LMGP02050033</t>
  </si>
  <si>
    <t xml:space="preserve">53480919</t>
  </si>
  <si>
    <t xml:space="preserve">C(OP(OCCN)(O)=O)[C@]([H])(OC(=O)CCCCCCCCCCCCC)CO</t>
  </si>
  <si>
    <t xml:space="preserve">DDUZNLUWXLYPCP-GOSISDBHSA-N</t>
  </si>
  <si>
    <t xml:space="preserve">Glycerophosphoethanolamines</t>
  </si>
  <si>
    <t xml:space="preserve">424.93961</t>
  </si>
  <si>
    <t xml:space="preserve">C9H5Cl2NO</t>
  </si>
  <si>
    <t xml:space="preserve">Chloroxine</t>
  </si>
  <si>
    <t xml:space="preserve">53448</t>
  </si>
  <si>
    <t xml:space="preserve">HMDB0015373</t>
  </si>
  <si>
    <t xml:space="preserve">44002</t>
  </si>
  <si>
    <t xml:space="preserve">59477</t>
  </si>
  <si>
    <t xml:space="preserve">2722</t>
  </si>
  <si>
    <t xml:space="preserve">773-76-2</t>
  </si>
  <si>
    <t xml:space="preserve">OC1=C(Cl)C=C(Cl)C2=C1N=CC=C2</t>
  </si>
  <si>
    <t xml:space="preserve">WDFKMLRRRCGAKS-UHFFFAOYSA-N</t>
  </si>
  <si>
    <t xml:space="preserve">Haloquinolines</t>
  </si>
  <si>
    <t xml:space="preserve">425.07791</t>
  </si>
  <si>
    <t xml:space="preserve">C21H21ClO6</t>
  </si>
  <si>
    <t xml:space="preserve">Mollicellin D</t>
  </si>
  <si>
    <t xml:space="preserve">57587</t>
  </si>
  <si>
    <t xml:space="preserve">HMDB0033343</t>
  </si>
  <si>
    <t xml:space="preserve">89190</t>
  </si>
  <si>
    <t xml:space="preserve">152840</t>
  </si>
  <si>
    <t xml:space="preserve">68455-11-8</t>
  </si>
  <si>
    <t xml:space="preserve">CC(C)=CCC1=C(C)C2=C(OC3=C(C(C)=C(Cl)C(O)=C3CO)C(=O)O2)C=C1O</t>
  </si>
  <si>
    <t xml:space="preserve">AINFZKIGIQBKDM-UHFFFAOYSA-N</t>
  </si>
  <si>
    <t xml:space="preserve">Depsides and depsidones</t>
  </si>
  <si>
    <t xml:space="preserve">426.02252</t>
  </si>
  <si>
    <t xml:space="preserve">C10H15N5O10P2</t>
  </si>
  <si>
    <t xml:space="preserve">ADP; Adenosine 3',5'-diphosphate; dGDP</t>
  </si>
  <si>
    <t xml:space="preserve">47526; 46850; 47321</t>
  </si>
  <si>
    <t xml:space="preserve">HMDB0001341; HMDB0000061; HMDB0000960</t>
  </si>
  <si>
    <t xml:space="preserve">34522; ; 5906</t>
  </si>
  <si>
    <t xml:space="preserve">C00008; C00054; C00361</t>
  </si>
  <si>
    <t xml:space="preserve">16761; 17985; 28862</t>
  </si>
  <si>
    <t xml:space="preserve">6022; 159296; 439220</t>
  </si>
  <si>
    <t xml:space="preserve">58-64-0; 1053-73-2; 3493-09-2</t>
  </si>
  <si>
    <t xml:space="preserve">NC1=NC=NC2=C1N=CN2[C@@H]1O[C@H](COP(O)(=O)OP(O)(O)=O)[C@@H](O)[C@H]1O; NC1=C2N=CN([C@@H]3O[C@H](COP(O)(O)=O)[C@@H](OP(O)(O)=O)[C@H]3O)C2=NC=N1; NC1=NC2=C(N=CN2[C@H]2C[C@H](O)[C@@H](COP(O)(=O)OP(O)(O)=O)O2)C(=O)N1</t>
  </si>
  <si>
    <t xml:space="preserve">XTWYTFMLZFPYCI-KQYNXXCUSA-N; WHTCPDAXWFLDIH-KQYNXXCUSA-N; CIKGWCTVFSRMJU-KVQBGUIXSA-N</t>
  </si>
  <si>
    <t xml:space="preserve">Purine nucleotides; Purine nucleotides; Purine nucleotides</t>
  </si>
  <si>
    <t xml:space="preserve">Purine ribonucleotides; Purine ribonucleotides; Purine deoxyribonucleotides</t>
  </si>
  <si>
    <t xml:space="preserve">427.05115</t>
  </si>
  <si>
    <t xml:space="preserve">C9H10O4S</t>
  </si>
  <si>
    <t xml:space="preserve">4-Allylphenol sulfate; 3- Allylphenol sulfate</t>
  </si>
  <si>
    <t xml:space="preserve">144439; 257673</t>
  </si>
  <si>
    <t xml:space="preserve">HMDB0170765; HMDB0304933</t>
  </si>
  <si>
    <t xml:space="preserve">133096; </t>
  </si>
  <si>
    <t xml:space="preserve">66633409; 67613298</t>
  </si>
  <si>
    <t xml:space="preserve">1823179-01-6; </t>
  </si>
  <si>
    <t xml:space="preserve">OS(=O)(=O)OC1=CC=C(CC=C)C=C1; OS(=O)(=O)OC1=CC=CC(CC=C)=C1</t>
  </si>
  <si>
    <t xml:space="preserve">KFDHKOFCRYUXLA-UHFFFAOYSA-N; TWEFFSVOCVXBPV-UHFFFAOYSA-N</t>
  </si>
  <si>
    <t xml:space="preserve">Organic sulfuric acids and derivatives; Organic sulfuric acids and derivatives</t>
  </si>
  <si>
    <t xml:space="preserve">Arylsulfates; Arylsulfates</t>
  </si>
  <si>
    <t xml:space="preserve">428.08379</t>
  </si>
  <si>
    <t xml:space="preserve">C21H19N3O3S</t>
  </si>
  <si>
    <t xml:space="preserve">Amsacrine</t>
  </si>
  <si>
    <t xml:space="preserve">52668</t>
  </si>
  <si>
    <t xml:space="preserve">HMDB0014421</t>
  </si>
  <si>
    <t xml:space="preserve">559</t>
  </si>
  <si>
    <t xml:space="preserve">C01553</t>
  </si>
  <si>
    <t xml:space="preserve">2687</t>
  </si>
  <si>
    <t xml:space="preserve">2179</t>
  </si>
  <si>
    <t xml:space="preserve">51264-14-3</t>
  </si>
  <si>
    <t xml:space="preserve">COC1=C(NC2=C3C=CC=CC3=NC3=CC=CC=C23)C=CC(NS(C)(=O)=O)=C1</t>
  </si>
  <si>
    <t xml:space="preserve">XCPGHVQEEXUHNC-UHFFFAOYSA-N</t>
  </si>
  <si>
    <t xml:space="preserve">430.03934</t>
  </si>
  <si>
    <t xml:space="preserve">C14H20Cl3N5O2</t>
  </si>
  <si>
    <t xml:space="preserve">Imidodicarbonimidic diamide, N-(1-methylethyl)-N'-(3-(2,4,5-trichlorophenoxy)propoxy)-, hydrochloride</t>
  </si>
  <si>
    <t xml:space="preserve">210672</t>
  </si>
  <si>
    <t xml:space="preserve">HMDB0256883</t>
  </si>
  <si>
    <t xml:space="preserve">5464439</t>
  </si>
  <si>
    <t xml:space="preserve">CC(C)N=C(N)N=C(N)NOCCCOC1=CC(Cl)=C(Cl)C=C1Cl</t>
  </si>
  <si>
    <t xml:space="preserve">LXMYLZNSNKNNEJ-UHFFFAOYSA-N</t>
  </si>
  <si>
    <t xml:space="preserve">430.10199</t>
  </si>
  <si>
    <t xml:space="preserve">C21H18F3N3O5</t>
  </si>
  <si>
    <t xml:space="preserve">Bictegravir</t>
  </si>
  <si>
    <t xml:space="preserve">204171</t>
  </si>
  <si>
    <t xml:space="preserve">HMDB0249186</t>
  </si>
  <si>
    <t xml:space="preserve">129130827</t>
  </si>
  <si>
    <t xml:space="preserve">OC1=C2N(CC3OC4CCC(C4)N3C2=O)C=C(C(=O)NCC2=C(F)C=C(F)C=C2F)C1=O</t>
  </si>
  <si>
    <t xml:space="preserve">SOLUWJRYJLAZCX-UHFFFAOYSA-N</t>
  </si>
  <si>
    <t xml:space="preserve">430.15934</t>
  </si>
  <si>
    <t xml:space="preserve">C25H27N3O3S</t>
  </si>
  <si>
    <t xml:space="preserve">N-[2,6-Bis(1-methylethyl)phenyl]-N'-[4-[(4-nitrophenyl)thio]phenyl]urea</t>
  </si>
  <si>
    <t xml:space="preserve">213104</t>
  </si>
  <si>
    <t xml:space="preserve">HMDB0259881</t>
  </si>
  <si>
    <t xml:space="preserve">CC(C)C1=CC=CC(C(C)C)=C1NC(=O)NC1=CC=C(SC2=CC=C(C=C2)[N+]([O-])=O)C=C1</t>
  </si>
  <si>
    <t xml:space="preserve">XFFITGBWVLQNCD-UHFFFAOYSA-N</t>
  </si>
  <si>
    <t xml:space="preserve">431.14277</t>
  </si>
  <si>
    <t xml:space="preserve">C21H26F2O5</t>
  </si>
  <si>
    <t xml:space="preserve">fluticasone 17beta-carboxylic acid</t>
  </si>
  <si>
    <t xml:space="preserve">82919</t>
  </si>
  <si>
    <t xml:space="preserve">HMDB0061092</t>
  </si>
  <si>
    <t xml:space="preserve">10200766</t>
  </si>
  <si>
    <t xml:space="preserve">C[C@@H]1CC2C3C[C@H](F)C4=CC(=O)C=C[C@]4(C)[C@@]3(F)[C@@H](O)C[C@]2(C)[C@@]1(O)C(O)=O</t>
  </si>
  <si>
    <t xml:space="preserve">QSVBUQTYFQFEHC-FULJYSEXSA-N</t>
  </si>
  <si>
    <t xml:space="preserve">Androstane steroids</t>
  </si>
  <si>
    <t xml:space="preserve">431.21347</t>
  </si>
  <si>
    <t xml:space="preserve">C22H29FN6</t>
  </si>
  <si>
    <t xml:space="preserve">1-[(trans-4-Aminocyclohexyl)methyl]-N-Butyl-3-(4-Fluorophenyl)-1h-Pyrazolo[3,4-D]pyrimidin-6-Amine</t>
  </si>
  <si>
    <t xml:space="preserve">212768</t>
  </si>
  <si>
    <t xml:space="preserve">HMDB0259404</t>
  </si>
  <si>
    <t xml:space="preserve">53355503</t>
  </si>
  <si>
    <t xml:space="preserve">CCCCNC1=NC=C2C(=NN(CC3CCC(N)CC3)C2=N1)C1=CC=C(F)C=C1</t>
  </si>
  <si>
    <t xml:space="preserve">OGEBRHQLRGFBNV-UHFFFAOYSA-N</t>
  </si>
  <si>
    <t xml:space="preserve">432.03995</t>
  </si>
  <si>
    <t xml:space="preserve">C10H17N3O9S2</t>
  </si>
  <si>
    <t xml:space="preserve">2-Amino-5-[[1-[carboxymethyl(sulfo)amino]-1-oxo-3-sulfanylpropan-2-yl]amino]-5-oxopentanoic acid</t>
  </si>
  <si>
    <t xml:space="preserve">211316</t>
  </si>
  <si>
    <t xml:space="preserve">HMDB0257661</t>
  </si>
  <si>
    <t xml:space="preserve">54398503</t>
  </si>
  <si>
    <t xml:space="preserve">NC(CCC(=O)NC(CS)C(=O)N(CC(O)=O)S(O)(=O)=O)C(O)=O</t>
  </si>
  <si>
    <t xml:space="preserve">VLSLPWKXPMKTLB-UHFFFAOYSA-N</t>
  </si>
  <si>
    <t xml:space="preserve">432.11966</t>
  </si>
  <si>
    <t xml:space="preserve">C19H21N7O3</t>
  </si>
  <si>
    <t xml:space="preserve">Methyl N-[6-[(4-pyridin-2-ylpiperazine-1-carbonyl)amino]-1H-benzimidazol-2-yl]carbamate</t>
  </si>
  <si>
    <t xml:space="preserve">204636</t>
  </si>
  <si>
    <t xml:space="preserve">HMDB0249744</t>
  </si>
  <si>
    <t xml:space="preserve">146439</t>
  </si>
  <si>
    <t xml:space="preserve">COC(=O)NC1=NC2=C(N1)C=C(NC(=O)N1CCN(CC1)C1=CC=CC=N1)C=C2</t>
  </si>
  <si>
    <t xml:space="preserve">JEGRFXZWEUCCHQ-UHFFFAOYSA-N</t>
  </si>
  <si>
    <t xml:space="preserve">2-benzimidazolylcarbamic acid esters</t>
  </si>
  <si>
    <t xml:space="preserve">433.11364</t>
  </si>
  <si>
    <t xml:space="preserve">C21H22O10</t>
  </si>
  <si>
    <t xml:space="preserve">2-O-Caffeoylarbutin; Floribundoside; Eriodictin</t>
  </si>
  <si>
    <t xml:space="preserve">55921; 57932; 61032</t>
  </si>
  <si>
    <t xml:space="preserve">HMDB0031347; HMDB0033739; HMDB0037480</t>
  </si>
  <si>
    <t xml:space="preserve">87601; ; </t>
  </si>
  <si>
    <t xml:space="preserve">131751154; 3483754; 12308984</t>
  </si>
  <si>
    <t xml:space="preserve">230955-36-9; 529-41-9; 480-35-3</t>
  </si>
  <si>
    <t xml:space="preserve">OCC1OC(OC2=CC=C(O)C=C2)C(OC(=O)\C=C\C2=CC(O)=C(O)C=C2)C(O)C1O; OCC1OC(OC2=CC(O)=CC3=C2C(=O)CC(O3)C2=CC=C(O)C=C2)C(O)C(O)C1O; CC1OC(OC2=CC(O)=C3C(=O)CC(OC3=C2)C2=CC(O)=C(O)C=C2)C(O)C(O)C1O</t>
  </si>
  <si>
    <t xml:space="preserve">SAHZOJQMDIDFST-KRXBUXKQSA-N; MFQIWHVVFBCURA-UHFFFAOYSA-N; JMVXRLMOIOTWSB-UHFFFAOYSA-N</t>
  </si>
  <si>
    <t xml:space="preserve">Organic oxygen compounds; Phenylpropanoids and polyketides; Phenylpropanoids and polyketides</t>
  </si>
  <si>
    <t xml:space="preserve">Organooxygen compounds; Flavonoids; Flavonoids</t>
  </si>
  <si>
    <t xml:space="preserve">Carbohydrates and carbohydrate conjugates; Flavonoid glycosides; Flavonoid glycosides</t>
  </si>
  <si>
    <t xml:space="preserve">433.23142</t>
  </si>
  <si>
    <t xml:space="preserve">C12H15N3O</t>
  </si>
  <si>
    <t xml:space="preserve">N-Desmethylaminopyrine</t>
  </si>
  <si>
    <t xml:space="preserve">52468</t>
  </si>
  <si>
    <t xml:space="preserve">HMDB0013839</t>
  </si>
  <si>
    <t xml:space="preserve">85278</t>
  </si>
  <si>
    <t xml:space="preserve">73261</t>
  </si>
  <si>
    <t xml:space="preserve">10618</t>
  </si>
  <si>
    <t xml:space="preserve">CNC1=C(C)N(C)N(C1=O)C1=CC=CC=C1</t>
  </si>
  <si>
    <t xml:space="preserve">JILCEWWZTBBOFS-UHFFFAOYSA-N</t>
  </si>
  <si>
    <t xml:space="preserve">435.08816</t>
  </si>
  <si>
    <t xml:space="preserve">C21H21ClO8</t>
  </si>
  <si>
    <t xml:space="preserve">7-Chloro-3,3',4',5,6,8-hexamethoxyflavone</t>
  </si>
  <si>
    <t xml:space="preserve">56942</t>
  </si>
  <si>
    <t xml:space="preserve">HMDB0032658</t>
  </si>
  <si>
    <t xml:space="preserve">88599</t>
  </si>
  <si>
    <t xml:space="preserve">101943858</t>
  </si>
  <si>
    <t xml:space="preserve">COC1=C(OC)C=C(C=C1)C1=C(OC)C(=O)C2=C(OC)C(OC)=C(Cl)C(OC)=C2O1</t>
  </si>
  <si>
    <t xml:space="preserve">YMQQCBFLPJFYJI-UHFFFAOYSA-N</t>
  </si>
  <si>
    <t xml:space="preserve">Flavonoids</t>
  </si>
  <si>
    <t xml:space="preserve">O-methylated flavonoids</t>
  </si>
  <si>
    <t xml:space="preserve">435.24279</t>
  </si>
  <si>
    <t xml:space="preserve">C24H30N4O</t>
  </si>
  <si>
    <t xml:space="preserve">Ipazilide</t>
  </si>
  <si>
    <t xml:space="preserve">207886</t>
  </si>
  <si>
    <t xml:space="preserve">HMDB0253562</t>
  </si>
  <si>
    <t xml:space="preserve">60650</t>
  </si>
  <si>
    <t xml:space="preserve">CCN(CC)CCCNC(=O)CN1N=CC(=C1C1=CC=CC=C1)C1=CC=CC=C1</t>
  </si>
  <si>
    <t xml:space="preserve">PRHCHMGCDBUACR-UHFFFAOYSA-N</t>
  </si>
  <si>
    <t xml:space="preserve">436.97496</t>
  </si>
  <si>
    <t xml:space="preserve">C19H12O8S</t>
  </si>
  <si>
    <t xml:space="preserve">Pyrogallol Red</t>
  </si>
  <si>
    <t xml:space="preserve">210764</t>
  </si>
  <si>
    <t xml:space="preserve">HMDB0256989</t>
  </si>
  <si>
    <t xml:space="preserve">OC1=C(O)C2=C(C=C1)C1(OS(=O)(=O)C3=CC=CC=C13)C1=C(O2)C(O)=C(O)C=C1</t>
  </si>
  <si>
    <t xml:space="preserve">KUQNCHZOCSYKOR-UHFFFAOYSA-N</t>
  </si>
  <si>
    <t xml:space="preserve">Benzopyrans</t>
  </si>
  <si>
    <t xml:space="preserve">1-benzopyrans</t>
  </si>
  <si>
    <t xml:space="preserve">438.24443</t>
  </si>
  <si>
    <t xml:space="preserve">C30H35NO3</t>
  </si>
  <si>
    <t xml:space="preserve">CENTCHROMAN</t>
  </si>
  <si>
    <t xml:space="preserve">204686</t>
  </si>
  <si>
    <t xml:space="preserve">HMDB0249800</t>
  </si>
  <si>
    <t xml:space="preserve">316210</t>
  </si>
  <si>
    <t xml:space="preserve">98941</t>
  </si>
  <si>
    <t xml:space="preserve">COC1=CC2=C(C=C1)C(C(C1=CC=CC=C1)C(C)(C)O2)C1=CC=C(OCCN2CCCC2)C=C1</t>
  </si>
  <si>
    <t xml:space="preserve">XZEUAXYWNKYKPL-UHFFFAOYSA-N</t>
  </si>
  <si>
    <t xml:space="preserve">O-methylated isoflavonoids</t>
  </si>
  <si>
    <t xml:space="preserve">439.08174</t>
  </si>
  <si>
    <t xml:space="preserve">C21H23ClN2O4</t>
  </si>
  <si>
    <t xml:space="preserve">Rafabegron</t>
  </si>
  <si>
    <t xml:space="preserve">210848</t>
  </si>
  <si>
    <t xml:space="preserve">HMDB0257097</t>
  </si>
  <si>
    <t xml:space="preserve">9844080</t>
  </si>
  <si>
    <t xml:space="preserve">CC(CC1=CNC2=C1C=CC=C2OCC(O)=O)NCC(O)C1=CC(Cl)=CC=C1</t>
  </si>
  <si>
    <t xml:space="preserve">FHEYFIGWYQJVDR-UHFFFAOYSA-N</t>
  </si>
  <si>
    <t xml:space="preserve">442.96142</t>
  </si>
  <si>
    <t xml:space="preserve">C16H10N2O8S2</t>
  </si>
  <si>
    <t xml:space="preserve">Indigo Carmine</t>
  </si>
  <si>
    <t xml:space="preserve">81935</t>
  </si>
  <si>
    <t xml:space="preserve">HMDB0059912</t>
  </si>
  <si>
    <t xml:space="preserve">90117</t>
  </si>
  <si>
    <t xml:space="preserve">5282430</t>
  </si>
  <si>
    <t xml:space="preserve">OS(=O)(=O)C1=CC2=C(N\C(C2=O)=C2\NC3=C(C=C(C=C3)S(O)(=O)=O)C2=O)C=C1</t>
  </si>
  <si>
    <t xml:space="preserve">CFZXDJWFRVEWSR-BUHFOSPRSA-N</t>
  </si>
  <si>
    <t xml:space="preserve">Indolines</t>
  </si>
  <si>
    <t xml:space="preserve">443.25349</t>
  </si>
  <si>
    <t xml:space="preserve">C24H40O5</t>
  </si>
  <si>
    <t xml:space="preserve">alpha-Muricholic acid; Cholic acid; 3a,6a,7b-Trihydroxy-5b-cholanoic acid</t>
  </si>
  <si>
    <t xml:space="preserve">45929; 45864; 45928</t>
  </si>
  <si>
    <t xml:space="preserve">HMDB0000506; HMDB0000619; HMDB0000364</t>
  </si>
  <si>
    <t xml:space="preserve">84381; 206; 5353</t>
  </si>
  <si>
    <t xml:space="preserve">LMST04010066; LMST04010001; LMST04010065</t>
  </si>
  <si>
    <t xml:space="preserve">C17647; C00695; C17727</t>
  </si>
  <si>
    <t xml:space="preserve">81243; 16359; 81299</t>
  </si>
  <si>
    <t xml:space="preserve">5283852; 221493; 5283851</t>
  </si>
  <si>
    <t xml:space="preserve">2393-58-0; 81-25-4; 6830-03-1</t>
  </si>
  <si>
    <t xml:space="preserve">C1[C@]2(C)[C@@]3([H])CC[C@]4(C)[C@@]([H])([C@]([H])(C)CCC(O)=O)CC[C@@]4([H])[C@]3([H])[C@H](O)[C@@H](O)[C@]2([H])C[C@H](O)C1; [C@]12([C@H](O)C[C@]3([H])C[C@H](O)CC[C@]3(C)[C@@]1([H])C[C@H](O)[C@]1(C)[C@@]([H])([C@@](C)([H])CCC(O)=O)CC[C@@]21[H])[H]; C1[C@]2(C)[C@@]3([H])CC[C@]4(C)[C@@]([H])([C@]([H])(C)CCC(O)=O)CC[C@@]4([H])[C@]3([H])[C@@H](O)[C@H](O)[C@]2([H])C[C@H](O)C1</t>
  </si>
  <si>
    <t xml:space="preserve">DKPMWHFRUGMUKF-GDYCBZMLSA-N; BHQCQFFYRZLCQQ-OELDTZBJSA-N; DKPMWHFRUGMUKF-NTPBNISXSA-N</t>
  </si>
  <si>
    <t xml:space="preserve">Steroids and steroid derivatives; Steroids and steroid derivatives; Steroids and steroid derivatives</t>
  </si>
  <si>
    <t xml:space="preserve">Bile acids, alcohols and derivatives; Bile acids, alcohols and derivatives; Bile acids, alcohols and derivatives</t>
  </si>
  <si>
    <t xml:space="preserve">445.22443</t>
  </si>
  <si>
    <t xml:space="preserve">C25H34O7</t>
  </si>
  <si>
    <t xml:space="preserve">Glycinoeclepin A</t>
  </si>
  <si>
    <t xml:space="preserve">60686</t>
  </si>
  <si>
    <t xml:space="preserve">HMDB0037037</t>
  </si>
  <si>
    <t xml:space="preserve">C08765</t>
  </si>
  <si>
    <t xml:space="preserve">14010691</t>
  </si>
  <si>
    <t xml:space="preserve">83216-10-8</t>
  </si>
  <si>
    <t xml:space="preserve">C[C@H](CC(O)=O)[C@]1(C)CC=C2C(C(O)=O)=C(C[C@]34CC[C@H](O3)C(C)(C)C4=O)C[C@@H](O)[C@@]12C</t>
  </si>
  <si>
    <t xml:space="preserve">XOLYVYHBERHQBZ-FMNVCWJRSA-N</t>
  </si>
  <si>
    <t xml:space="preserve">446.02345</t>
  </si>
  <si>
    <t xml:space="preserve">C17H12F3N3O4S</t>
  </si>
  <si>
    <t xml:space="preserve">Carboxycelecoxib</t>
  </si>
  <si>
    <t xml:space="preserve">82456</t>
  </si>
  <si>
    <t xml:space="preserve">HMDB0060571</t>
  </si>
  <si>
    <t xml:space="preserve">10047220</t>
  </si>
  <si>
    <t xml:space="preserve">170571-01-4</t>
  </si>
  <si>
    <t xml:space="preserve">NS(=O)(=O)C1=CC=C(C=C1)N1N=C(C=C1C1=CC=C(C=C1)C(O)=O)C(F)(F)F</t>
  </si>
  <si>
    <t xml:space="preserve">WTHNOVFEXONZMI-UHFFFAOYSA-N</t>
  </si>
  <si>
    <t xml:space="preserve">446.14192</t>
  </si>
  <si>
    <t xml:space="preserve">C23H27Cl2N3O2</t>
  </si>
  <si>
    <t xml:space="preserve">Aripiprazole</t>
  </si>
  <si>
    <t xml:space="preserve">48473</t>
  </si>
  <si>
    <t xml:space="preserve">HMDB0005042</t>
  </si>
  <si>
    <t xml:space="preserve">58290</t>
  </si>
  <si>
    <t xml:space="preserve">C12564</t>
  </si>
  <si>
    <t xml:space="preserve">31236</t>
  </si>
  <si>
    <t xml:space="preserve">60795</t>
  </si>
  <si>
    <t xml:space="preserve">129722-12-9</t>
  </si>
  <si>
    <t xml:space="preserve">ClC1=CC=CC(N2CCN(CCCCOC3=CC4=C(CCC(=O)N4)C=C3)CC2)=C1Cl</t>
  </si>
  <si>
    <t xml:space="preserve">CEUORZQYGODEFX-UHFFFAOYSA-N</t>
  </si>
  <si>
    <t xml:space="preserve">447.03537</t>
  </si>
  <si>
    <t xml:space="preserve">C17H14Cl2F2N2O3</t>
  </si>
  <si>
    <t xml:space="preserve">N-(Cyclopropylmethoxy)-N-(3,5-dichloropyridin-4-yl)-4-(difluoromethoxy)benzamide; Roflumilast</t>
  </si>
  <si>
    <t xml:space="preserve">201237; 211008</t>
  </si>
  <si>
    <t xml:space="preserve">HMDB0245847; HMDB0257288</t>
  </si>
  <si>
    <t xml:space="preserve">; 47657</t>
  </si>
  <si>
    <t xml:space="preserve">158787; </t>
  </si>
  <si>
    <t xml:space="preserve">FC(F)OC1=CC=C(C=C1)C(=O)N(OCC1CC1)C1=C(Cl)C=NC=C1Cl; FC(F)OC1=C(OCC2CC2)C=C(C=C1)C(=O)NC1=C(Cl)C=NC=C1Cl</t>
  </si>
  <si>
    <t xml:space="preserve">IWONQDOIPBAXGV-UHFFFAOYSA-N; MNDBXUUTURYVHR-UHFFFAOYSA-N</t>
  </si>
  <si>
    <t xml:space="preserve">447.25161</t>
  </si>
  <si>
    <t xml:space="preserve">C25H34N6O3</t>
  </si>
  <si>
    <t xml:space="preserve">Mutant IDH1 inhibitor; Acetildenafil</t>
  </si>
  <si>
    <t xml:space="preserve">209008; 203089</t>
  </si>
  <si>
    <t xml:space="preserve">HMDB0254960; HMDB0247908</t>
  </si>
  <si>
    <t xml:space="preserve">78105015; 29918992</t>
  </si>
  <si>
    <t xml:space="preserve">CC(C)C1COC(=O)N1C1=NC(NC(C)C2=CC=C(CN3CCN(CC3)C(C)=O)C=C2)=NC=C1; CCCC1=NN(C)C2=C1N=C(NC2=O)C1=C(OCC)C=CC(=C1)C(=O)CN1CCN(CC)CC1</t>
  </si>
  <si>
    <t xml:space="preserve">BEWLUEOYYPKPQL-UHFFFAOYSA-N; RRBRQNALHKQCAI-UHFFFAOYSA-N</t>
  </si>
  <si>
    <t xml:space="preserve">Benzenoids; Organic oxygen compounds</t>
  </si>
  <si>
    <t xml:space="preserve">Benzene and substituted derivatives; Organooxygen compounds</t>
  </si>
  <si>
    <t xml:space="preserve">Phenylmethylamines; Carbonyl compounds</t>
  </si>
  <si>
    <t xml:space="preserve">448.02289</t>
  </si>
  <si>
    <t xml:space="preserve">C16H17N3O7S2</t>
  </si>
  <si>
    <t xml:space="preserve">Cefoxitin</t>
  </si>
  <si>
    <t xml:space="preserve">53497</t>
  </si>
  <si>
    <t xml:space="preserve">HMDB0015426</t>
  </si>
  <si>
    <t xml:space="preserve">1591</t>
  </si>
  <si>
    <t xml:space="preserve">C06887</t>
  </si>
  <si>
    <t xml:space="preserve">209807</t>
  </si>
  <si>
    <t xml:space="preserve">441199</t>
  </si>
  <si>
    <t xml:space="preserve">35607-66-0</t>
  </si>
  <si>
    <t xml:space="preserve">[H][C@]12SCC(COC(N)=O)=C(N1C(=O)[C@]2(NC(=O)CC1=CC=CS1)OC)C(O)=O</t>
  </si>
  <si>
    <t xml:space="preserve">WZOZEZRFJCJXNZ-ZBFHGGJFSA-N</t>
  </si>
  <si>
    <t xml:space="preserve">449.01408</t>
  </si>
  <si>
    <t xml:space="preserve">C15H12F4N4O7S</t>
  </si>
  <si>
    <t xml:space="preserve">Primisulfuron-methyl</t>
  </si>
  <si>
    <t xml:space="preserve">210575</t>
  </si>
  <si>
    <t xml:space="preserve">HMDB0256773</t>
  </si>
  <si>
    <t xml:space="preserve">COC(=O)C1=C(C=CC=C1)S(=O)(=O)NC(=O)NC1=NC(OC(F)F)=CC(OC(F)F)=N1</t>
  </si>
  <si>
    <t xml:space="preserve">ZTYVMAQSHCZXLF-UHFFFAOYSA-N</t>
  </si>
  <si>
    <t xml:space="preserve">449.10683</t>
  </si>
  <si>
    <t xml:space="preserve">C21H22O11</t>
  </si>
  <si>
    <t xml:space="preserve">Astilbin</t>
  </si>
  <si>
    <t xml:space="preserve">58017</t>
  </si>
  <si>
    <t xml:space="preserve">HMDB0033850</t>
  </si>
  <si>
    <t xml:space="preserve">71696</t>
  </si>
  <si>
    <t xml:space="preserve">C17449</t>
  </si>
  <si>
    <t xml:space="preserve">38200</t>
  </si>
  <si>
    <t xml:space="preserve">119258</t>
  </si>
  <si>
    <t xml:space="preserve">29838-67-3</t>
  </si>
  <si>
    <t xml:space="preserve">C[C@@H]1O[C@@H](O[C@@H]2[C@H](OC3=CC(O)=CC(O)=C3C2=O)C2=CC(O)=C(O)C=C2)[C@H](O)[C@H](O)[C@H]1O</t>
  </si>
  <si>
    <t xml:space="preserve">ZROGCCBNZBKLEL-MPRHSVQHSA-N</t>
  </si>
  <si>
    <t xml:space="preserve">Flavonoid glycosides</t>
  </si>
  <si>
    <t xml:space="preserve">449.21891</t>
  </si>
  <si>
    <t xml:space="preserve">C23H32O6</t>
  </si>
  <si>
    <t xml:space="preserve">11,17-Dihydroxy-3,20-dioxopregn-4-en-21-yl acetate; 1alpha-O-Methylquassin; 16-Methyl-epi-nigakihemiacetal B</t>
  </si>
  <si>
    <t xml:space="preserve">199882; 62824; 63122</t>
  </si>
  <si>
    <t xml:space="preserve">HMDB0244374; HMDB0039558; HMDB0039886</t>
  </si>
  <si>
    <t xml:space="preserve">; 94117; 94430</t>
  </si>
  <si>
    <t xml:space="preserve">3641; 85102744; 85234534</t>
  </si>
  <si>
    <t xml:space="preserve">CC(=O)OCC(=O)C1(O)CCC2C3CCC4=CC(=O)CCC4(C)C3C(O)CC12C; COC1C(OC)=CC(C)C2CC3OC(=O)CC4C(C)=C(OC)C(=O)C(C34C)C12C; COC1CC2C(C)=C(OC)C(=O)C3C2(C)C(CC2C(C)C=C(OC)C(=O)C32C)O1</t>
  </si>
  <si>
    <t xml:space="preserve">ALEXXDVDDISNDU-UHFFFAOYSA-N; YHEQIRIWAKHQFI-UHFFFAOYSA-N; MSXBIQMJEOYRDV-UHFFFAOYSA-N</t>
  </si>
  <si>
    <t xml:space="preserve">Steroids and steroid derivatives; Prenol lipids; Prenol lipids</t>
  </si>
  <si>
    <t xml:space="preserve">Pregnane steroids; Terpene lactones; Terpene lactones</t>
  </si>
  <si>
    <t xml:space="preserve">450.01251</t>
  </si>
  <si>
    <t xml:space="preserve">C19H17Cl2N3O5S</t>
  </si>
  <si>
    <t xml:space="preserve">Dicloxacillin</t>
  </si>
  <si>
    <t xml:space="preserve">52833</t>
  </si>
  <si>
    <t xml:space="preserve">HMDB0014628</t>
  </si>
  <si>
    <t xml:space="preserve">3981</t>
  </si>
  <si>
    <t xml:space="preserve">C06950</t>
  </si>
  <si>
    <t xml:space="preserve">4511</t>
  </si>
  <si>
    <t xml:space="preserve">18381</t>
  </si>
  <si>
    <t xml:space="preserve">3116-76-5</t>
  </si>
  <si>
    <t xml:space="preserve">[H][C@]12SC(C)(C)[C@@H](N1C(=O)[C@H]2NC(=O)C1=C(C)ON=C1C1=C(Cl)C=CC=C1Cl)C(O)=O</t>
  </si>
  <si>
    <t xml:space="preserve">YFAGHNZHGGCZAX-JKIFEVAISA-N</t>
  </si>
  <si>
    <t xml:space="preserve">451.11338</t>
  </si>
  <si>
    <t xml:space="preserve">C20H17F3N2O4</t>
  </si>
  <si>
    <t xml:space="preserve">floctafenine</t>
  </si>
  <si>
    <t xml:space="preserve">206803</t>
  </si>
  <si>
    <t xml:space="preserve">HMDB0252310</t>
  </si>
  <si>
    <t xml:space="preserve">329663</t>
  </si>
  <si>
    <t xml:space="preserve">3360</t>
  </si>
  <si>
    <t xml:space="preserve">OCC(O)COC(=O)C1=CC=CC=C1NC1=C2C=CC=C(C2=NC=C1)C(F)(F)F</t>
  </si>
  <si>
    <t xml:space="preserve">APQPGQGAWABJLN-UHFFFAOYSA-N</t>
  </si>
  <si>
    <t xml:space="preserve">Aminoquinolines and derivatives</t>
  </si>
  <si>
    <t xml:space="preserve">452.01268</t>
  </si>
  <si>
    <t xml:space="preserve">C17H21NO4S4</t>
  </si>
  <si>
    <t xml:space="preserve">Bensultap</t>
  </si>
  <si>
    <t xml:space="preserve">203991</t>
  </si>
  <si>
    <t xml:space="preserve">HMDB0248963</t>
  </si>
  <si>
    <t xml:space="preserve">72368</t>
  </si>
  <si>
    <t xml:space="preserve">C18563</t>
  </si>
  <si>
    <t xml:space="preserve">39188</t>
  </si>
  <si>
    <t xml:space="preserve">87176</t>
  </si>
  <si>
    <t xml:space="preserve">17606-31-4</t>
  </si>
  <si>
    <t xml:space="preserve">CN(C)C(CSS(=O)(=O)C1=CC=CC=C1)CSS(=O)(=O)C1=CC=CC=C1</t>
  </si>
  <si>
    <t xml:space="preserve">YFXPPSKYMBTNAV-UHFFFAOYSA-N</t>
  </si>
  <si>
    <t xml:space="preserve">Benzenesulfonyl compounds</t>
  </si>
  <si>
    <t xml:space="preserve">452.27449</t>
  </si>
  <si>
    <t xml:space="preserve">C21H44NO7P</t>
  </si>
  <si>
    <t xml:space="preserve">LPE(16:0); [3-[2-Aminoethoxy(hydroxy)phosphoryl]oxy-2-hydroxypropyl] hexadecanoate; GPE(16:0)</t>
  </si>
  <si>
    <t xml:space="preserve">21197; 209928; 21164</t>
  </si>
  <si>
    <t xml:space="preserve">HMDB0011473; HMDB0256030; HMDB0011503</t>
  </si>
  <si>
    <t xml:space="preserve">62261; ; 40776</t>
  </si>
  <si>
    <t xml:space="preserve">LMGP02050036; ; LMGP02050002</t>
  </si>
  <si>
    <t xml:space="preserve">131743; ; 73004</t>
  </si>
  <si>
    <t xml:space="preserve">53480922; ; 9547069</t>
  </si>
  <si>
    <t xml:space="preserve">; ; 53862-35-4</t>
  </si>
  <si>
    <t xml:space="preserve">C(OP(OCCN)(O)=O)[C@]([H])(OC(=O)CCCCCCCCCCCCCCC)CO; CCCCCCCCCCCCCCCC(=O)OCC(O)COP(O)(=O)OCCN; [C@](COP(=O)(O)OCCN)([H])(O)COC(CCCCCCCCCCCCCCC)=O</t>
  </si>
  <si>
    <t xml:space="preserve">CKPBBEOJHAPPBT-HXUWFJFHSA-N; YVYMBNSKXOXSKW-UHFFFAOYSA-N; YVYMBNSKXOXSKW-HXUWFJFHSA-N</t>
  </si>
  <si>
    <t xml:space="preserve">Glycerophospholipids; Glycerophospholipids; Glycerophospholipids</t>
  </si>
  <si>
    <t xml:space="preserve">Glycerophosphoethanolamines; Glycerophosphoethanolamines; Glycerophosphoethanolamines</t>
  </si>
  <si>
    <t xml:space="preserve">453.01570</t>
  </si>
  <si>
    <t xml:space="preserve">C18H20Cl4N4</t>
  </si>
  <si>
    <t xml:space="preserve">5-Chloro-4-N-(cyclopropylmethyl)-2-methyl-4-N-propyl-6-N-(2,4,6-trichlorophenyl)pyrimidine-4,6-diamine</t>
  </si>
  <si>
    <t xml:space="preserve">209468</t>
  </si>
  <si>
    <t xml:space="preserve">HMDB0255481</t>
  </si>
  <si>
    <t xml:space="preserve">444916</t>
  </si>
  <si>
    <t xml:space="preserve">176157</t>
  </si>
  <si>
    <t xml:space="preserve">CCCN(CC1CC1)C1=NC(C)=NC(NC2=C(Cl)C=C(Cl)C=C2Cl)=C1Cl</t>
  </si>
  <si>
    <t xml:space="preserve">KNADXBVKFAUMCR-UHFFFAOYSA-N</t>
  </si>
  <si>
    <t xml:space="preserve">453.07437</t>
  </si>
  <si>
    <t xml:space="preserve">C21H16N2O5S</t>
  </si>
  <si>
    <t xml:space="preserve">Susalimod</t>
  </si>
  <si>
    <t xml:space="preserve">212118</t>
  </si>
  <si>
    <t xml:space="preserve">HMDB0258638</t>
  </si>
  <si>
    <t xml:space="preserve">431446</t>
  </si>
  <si>
    <t xml:space="preserve">3086668</t>
  </si>
  <si>
    <t xml:space="preserve">CC1=C(NS(=O)(=O)C2=CC=C(C=C2)C#CC2=CC(C(O)=O)=C(O)C=C2)N=CC=C1</t>
  </si>
  <si>
    <t xml:space="preserve">WJLQPSZXCOYTHS-UHFFFAOYSA-N</t>
  </si>
  <si>
    <t xml:space="preserve">454.07870</t>
  </si>
  <si>
    <t xml:space="preserve">C13H19N3O10S</t>
  </si>
  <si>
    <t xml:space="preserve">methionine aspartate aspartate</t>
  </si>
  <si>
    <t xml:space="preserve">208635</t>
  </si>
  <si>
    <t xml:space="preserve">HMDB0254530</t>
  </si>
  <si>
    <t xml:space="preserve">129762625</t>
  </si>
  <si>
    <t xml:space="preserve">CSCCC(N)C(=O)OC1(N)CC(=O)OOC(=O)CC(N)C(=O)OOC1=O</t>
  </si>
  <si>
    <t xml:space="preserve">XFCJHDISDHNLMP-UHFFFAOYSA-N</t>
  </si>
  <si>
    <t xml:space="preserve">Pentacarboxylic acids and derivatives</t>
  </si>
  <si>
    <t xml:space="preserve">454.99958</t>
  </si>
  <si>
    <t xml:space="preserve">C19H14O11</t>
  </si>
  <si>
    <t xml:space="preserve">Shoyuflavone C</t>
  </si>
  <si>
    <t xml:space="preserve">58585</t>
  </si>
  <si>
    <t xml:space="preserve">HMDB0034590</t>
  </si>
  <si>
    <t xml:space="preserve">90053</t>
  </si>
  <si>
    <t xml:space="preserve">10070618</t>
  </si>
  <si>
    <t xml:space="preserve">194664-54-5</t>
  </si>
  <si>
    <t xml:space="preserve">OC(C(OC1=C(O)C2=C(C(O)=C1)C(=O)C(=CO2)C1=CC=C(O)C=C1)C(O)=O)C(O)=O</t>
  </si>
  <si>
    <t xml:space="preserve">DGJSSBCAHRQASY-UHFFFAOYSA-N</t>
  </si>
  <si>
    <t xml:space="preserve">455.09045</t>
  </si>
  <si>
    <t xml:space="preserve">C24H20O7</t>
  </si>
  <si>
    <t xml:space="preserve">Artonol B</t>
  </si>
  <si>
    <t xml:space="preserve">55297</t>
  </si>
  <si>
    <t xml:space="preserve">HMDB0030488</t>
  </si>
  <si>
    <t xml:space="preserve">87011</t>
  </si>
  <si>
    <t xml:space="preserve">131751030</t>
  </si>
  <si>
    <t xml:space="preserve">186824-58-8</t>
  </si>
  <si>
    <t xml:space="preserve">CC(=O)C1=C2OC3=C(C(O)=CC4=C3C=CC(C)(C)O4)C(=O)C2=CC2=C1C(=O)OC2(C)C</t>
  </si>
  <si>
    <t xml:space="preserve">LWJBUOOKYYTUDX-UHFFFAOYSA-N</t>
  </si>
  <si>
    <t xml:space="preserve">457.05882</t>
  </si>
  <si>
    <t xml:space="preserve">C18H18Cl2N2O5</t>
  </si>
  <si>
    <t xml:space="preserve">Nitrofenac</t>
  </si>
  <si>
    <t xml:space="preserve">209604</t>
  </si>
  <si>
    <t xml:space="preserve">HMDB0255647</t>
  </si>
  <si>
    <t xml:space="preserve">132976</t>
  </si>
  <si>
    <t xml:space="preserve">[O-][N+](=O)OCCCCOC(=O)CC1=CC=CC=C1NC1=C(Cl)C=CC=C1Cl</t>
  </si>
  <si>
    <t xml:space="preserve">CQVHWLHWUZRTQC-UHFFFAOYSA-N</t>
  </si>
  <si>
    <t xml:space="preserve">458.13437</t>
  </si>
  <si>
    <t xml:space="preserve">C26H24FN3O3S</t>
  </si>
  <si>
    <t xml:space="preserve">(S)-N-((1-(5-(4-Fluorophenyl)-2-methylthiazole-4-carbonyl)piperidin-2-yl)methyl)benzofuran-4-carboxamide</t>
  </si>
  <si>
    <t xml:space="preserve">211199</t>
  </si>
  <si>
    <t xml:space="preserve">HMDB0257526</t>
  </si>
  <si>
    <t xml:space="preserve">70681618</t>
  </si>
  <si>
    <t xml:space="preserve">CC1=NC(C(=O)N2CCCCC2CNC(=O)C2=C3C=COC3=CC=C2)=C(S1)C1=CC=C(F)C=C1</t>
  </si>
  <si>
    <t xml:space="preserve">ZJXIUGNEAIHSBI-UHFFFAOYSA-N</t>
  </si>
  <si>
    <t xml:space="preserve">Benzofurans</t>
  </si>
  <si>
    <t xml:space="preserve">458.18620</t>
  </si>
  <si>
    <t xml:space="preserve">C25H25N5O4</t>
  </si>
  <si>
    <t xml:space="preserve">Apixaban</t>
  </si>
  <si>
    <t xml:space="preserve">203595</t>
  </si>
  <si>
    <t xml:space="preserve">HMDB0248515</t>
  </si>
  <si>
    <t xml:space="preserve">72296</t>
  </si>
  <si>
    <t xml:space="preserve">10182969</t>
  </si>
  <si>
    <t xml:space="preserve">COC1=CC=C(C=C1)N1N=C(C(N)=O)C2=C1C(=O)N(CC2)C1=CC=C(C=C1)N1CCCCC1=O</t>
  </si>
  <si>
    <t xml:space="preserve">QNZCBYKSOIHPEH-UHFFFAOYSA-N</t>
  </si>
  <si>
    <t xml:space="preserve">459.12533</t>
  </si>
  <si>
    <t xml:space="preserve">C22H24N2O7S</t>
  </si>
  <si>
    <t xml:space="preserve">Apremilast</t>
  </si>
  <si>
    <t xml:space="preserve">203611</t>
  </si>
  <si>
    <t xml:space="preserve">HMDB0248531</t>
  </si>
  <si>
    <t xml:space="preserve">10151715</t>
  </si>
  <si>
    <t xml:space="preserve">CCOC1=C(OC)C=CC(=C1)C(CS(C)(=O)=O)N1C(=O)C2=C(C1=O)C(NC(C)=O)=CC=C2</t>
  </si>
  <si>
    <t xml:space="preserve">IMOZEMNVLZVGJZ-UHFFFAOYSA-N</t>
  </si>
  <si>
    <t xml:space="preserve">Isoindoles and derivatives</t>
  </si>
  <si>
    <t xml:space="preserve">Isoindolines</t>
  </si>
  <si>
    <t xml:space="preserve">461.05040</t>
  </si>
  <si>
    <t xml:space="preserve">C13H16N10O5S</t>
  </si>
  <si>
    <t xml:space="preserve">Azimsulfuron</t>
  </si>
  <si>
    <t xml:space="preserve">57404</t>
  </si>
  <si>
    <t xml:space="preserve">HMDB0033145</t>
  </si>
  <si>
    <t xml:space="preserve">72244</t>
  </si>
  <si>
    <t xml:space="preserve">C18438</t>
  </si>
  <si>
    <t xml:space="preserve">81746</t>
  </si>
  <si>
    <t xml:space="preserve">86355</t>
  </si>
  <si>
    <t xml:space="preserve">120162-55-2</t>
  </si>
  <si>
    <t xml:space="preserve">COC1=CC(OC)=NC(NC(=O)NS(=O)(=O)C2=C(C=NN2C)C2=NN(C)N=N2)=N1</t>
  </si>
  <si>
    <t xml:space="preserve">MAHPNPYYQAIOJN-UHFFFAOYSA-N</t>
  </si>
  <si>
    <t xml:space="preserve">461.13672</t>
  </si>
  <si>
    <t xml:space="preserve">C24H26O7</t>
  </si>
  <si>
    <t xml:space="preserve">Mangostanol; Edulisin II; Archangelicin</t>
  </si>
  <si>
    <t xml:space="preserve">54749; 55379; 55574</t>
  </si>
  <si>
    <t xml:space="preserve">HMDB0029868; HMDB0030593; HMDB0030845</t>
  </si>
  <si>
    <t xml:space="preserve">86556; 87082; </t>
  </si>
  <si>
    <t xml:space="preserve">790705; ; </t>
  </si>
  <si>
    <t xml:space="preserve">10048103; 76801427; 6450203</t>
  </si>
  <si>
    <t xml:space="preserve">184587-72-2; 96608-83-2; 2607-56-9</t>
  </si>
  <si>
    <t xml:space="preserve">COC1=C(O)C=C2OC3=C(C(O)=C4CC(O)C(C)(C)OC4=C3)C(=O)C2=C1CC=C(C)C; CC(C)=CC(=O)OC1C(OC2=C1C1=C(C=C2)C=CC(=O)O1)C(C)(C)OC(=O)C=C(C)C; C\C=C(\C)C(=O)OC1C(OC2=C1C1=C(C=C2)C=CC(=O)O1)C(C)(C)OC(=O)C(\C)=C/C</t>
  </si>
  <si>
    <t xml:space="preserve">KCMPFWGUVNEDHW-UHFFFAOYSA-N; QMDNUCYGVSWWRO-UHFFFAOYSA-N; RVGGCRQPGKFZDS-PVRNWPCDSA-N</t>
  </si>
  <si>
    <t xml:space="preserve">Organoheterocyclic compounds; Phenylpropanoids and polyketides; Phenylpropanoids and polyketides</t>
  </si>
  <si>
    <t xml:space="preserve">Benzopyrans; Coumarins and derivatives; Coumarins and derivatives</t>
  </si>
  <si>
    <t xml:space="preserve">1-benzopyrans; Furanocoumarins; Furanocoumarins</t>
  </si>
  <si>
    <t xml:space="preserve">462.12065</t>
  </si>
  <si>
    <t xml:space="preserve">C20H21N5O6</t>
  </si>
  <si>
    <t xml:space="preserve">[3H]Pemetrexed; Pemetrexed</t>
  </si>
  <si>
    <t xml:space="preserve">199300; 52959</t>
  </si>
  <si>
    <t xml:space="preserve">HMDB0243759; HMDB0014780</t>
  </si>
  <si>
    <t xml:space="preserve">; 775209</t>
  </si>
  <si>
    <t xml:space="preserve">394493; 60843</t>
  </si>
  <si>
    <t xml:space="preserve">; 150399-23-8</t>
  </si>
  <si>
    <t xml:space="preserve">NC1=NC(=O)C2=C(NC=C2CCC2=CC=C(C=C2)C(=O)NC(CCC(O)=O)C(O)=O)N1; NC1=NC(=O)C2=C(NC=C2CCC2=CC=C(C=C2)C(=O)N[C@H](CCC(O)=O)C(O)=O)N1</t>
  </si>
  <si>
    <t xml:space="preserve">WBXPDJSOTKVWSJ-UHFFFAOYSA-N; WBXPDJSOTKVWSJ-CYBMUJFWSA-N</t>
  </si>
  <si>
    <t xml:space="preserve">463.03866</t>
  </si>
  <si>
    <t xml:space="preserve">C12H20O12P2</t>
  </si>
  <si>
    <t xml:space="preserve">Alginic acid</t>
  </si>
  <si>
    <t xml:space="preserve">54807</t>
  </si>
  <si>
    <t xml:space="preserve">HMDB0029940</t>
  </si>
  <si>
    <t xml:space="preserve">C01768</t>
  </si>
  <si>
    <t xml:space="preserve">17548</t>
  </si>
  <si>
    <t xml:space="preserve">131704328</t>
  </si>
  <si>
    <t xml:space="preserve">9005-32-7</t>
  </si>
  <si>
    <t xml:space="preserve">OC1C(O)C(OC2C(O)C(O)C(OP)OC2C(O)=O)OC(C1P)C(O)=O</t>
  </si>
  <si>
    <t xml:space="preserve">FHVDTGUDJYJELY-UHFFFAOYSA-N</t>
  </si>
  <si>
    <t xml:space="preserve">465.10234</t>
  </si>
  <si>
    <t xml:space="preserve">C21H22O12</t>
  </si>
  <si>
    <t xml:space="preserve">Glucodistylin; hesperetin-7-O-glucuronide</t>
  </si>
  <si>
    <t xml:space="preserve">64673; 54193</t>
  </si>
  <si>
    <t xml:space="preserve">HMDB0041597; HMDB0029203</t>
  </si>
  <si>
    <t xml:space="preserve">95974; 86086</t>
  </si>
  <si>
    <t xml:space="preserve">14187088; 131750809</t>
  </si>
  <si>
    <t xml:space="preserve">27297-45-6; </t>
  </si>
  <si>
    <t xml:space="preserve">OCC1OC(OC2C(OC3=CC(O)=CC(O)=C3C2=O)C2=CC(O)=C(O)C=C2)C(O)C(O)C1O; COC1=CC=C(C=C1O)C1COC2=C(O)C=C(OC3OC(C(O)C(O)C3O)C(O)=O)C=C2O1</t>
  </si>
  <si>
    <t xml:space="preserve">FVQOMEDMFUMIMO-UHFFFAOYSA-N; PLNORHFXCFFTRD-UHFFFAOYSA-N</t>
  </si>
  <si>
    <t xml:space="preserve">Phenylpropanoids and polyketides; Organoheterocyclic compounds</t>
  </si>
  <si>
    <t xml:space="preserve">Flavonoids; Benzodioxanes</t>
  </si>
  <si>
    <t xml:space="preserve">Flavonoid glycosides; Phenylbenzodioxanes</t>
  </si>
  <si>
    <t xml:space="preserve">465.21555</t>
  </si>
  <si>
    <t xml:space="preserve">C24H34N2O5</t>
  </si>
  <si>
    <t xml:space="preserve">Trandolapril</t>
  </si>
  <si>
    <t xml:space="preserve">52860</t>
  </si>
  <si>
    <t xml:space="preserve">HMDB0014660</t>
  </si>
  <si>
    <t xml:space="preserve">2887</t>
  </si>
  <si>
    <t xml:space="preserve">C07154</t>
  </si>
  <si>
    <t xml:space="preserve">521317</t>
  </si>
  <si>
    <t xml:space="preserve">5484727</t>
  </si>
  <si>
    <t xml:space="preserve">87679-37-6</t>
  </si>
  <si>
    <t xml:space="preserve">[H][C@@]12C[C@H](N(C(=O)[C@H](C)N[C@@H](CCC3=CC=CC=C3)C(=O)OCC)[C@@]1([H])CCCC2)C(O)=O</t>
  </si>
  <si>
    <t xml:space="preserve">VXFJYXUZANRPDJ-WTNASJBWSA-N</t>
  </si>
  <si>
    <t xml:space="preserve">465.30076</t>
  </si>
  <si>
    <t xml:space="preserve">C30H44O5</t>
  </si>
  <si>
    <t xml:space="preserve">Liquoric acid; 24-Hydroxyglabrolide; Ganolucidic acid E</t>
  </si>
  <si>
    <t xml:space="preserve">58512; 59140; 61139</t>
  </si>
  <si>
    <t xml:space="preserve">HMDB0034512; HMDB0035256; HMDB0037607</t>
  </si>
  <si>
    <t xml:space="preserve">89984; 90564; </t>
  </si>
  <si>
    <t xml:space="preserve">131751571; 131751691; 131752214</t>
  </si>
  <si>
    <t xml:space="preserve">; 98063-18-4; 114567-50-9</t>
  </si>
  <si>
    <t xml:space="preserve">[H][C@@]12C[C@](C)([C@H]3C[C@]1(C)[C@@H](C[C@]1(C)C2=CC(=O)C2[C@@]4(C)CC[C@H](O)C(C)(C)C4CC[C@@]12C)O3)C(O)=O; CC12CC(OC1=O)C1(C)CCC3(C)C(=CC(=O)C4C5(C)CCC(O)C(C)(CO)C5CCC34C)C1C2; CC(CC\C=C(\C)C(O)=O)C1CC(O)C2(C)C3=C(C(=O)CC12C)C1(C)CCC(=O)C(C)(C)C1CC3</t>
  </si>
  <si>
    <t xml:space="preserve">NGWKGSCSHDHHAJ-YPFQVHCOSA-N; NZAZEJAWWUVNNZ-UHFFFAOYSA-N; XRBLVCACUHPHDE-ZDLGFXPLSA-N</t>
  </si>
  <si>
    <t xml:space="preserve">Triterpenoids; Triterpenoids; Triterpenoids</t>
  </si>
  <si>
    <t xml:space="preserve">466.00542</t>
  </si>
  <si>
    <t xml:space="preserve">C18H21FINO2</t>
  </si>
  <si>
    <t xml:space="preserve">Altropane</t>
  </si>
  <si>
    <t xml:space="preserve">203376</t>
  </si>
  <si>
    <t xml:space="preserve">HMDB0248262</t>
  </si>
  <si>
    <t xml:space="preserve">74822960</t>
  </si>
  <si>
    <t xml:space="preserve">COC(=O)C1C2CCC(CC1C1=CC=C(F)C=C1)N2CC=CI</t>
  </si>
  <si>
    <t xml:space="preserve">GTQLIPQFXVKRKJ-UHFFFAOYSA-N</t>
  </si>
  <si>
    <t xml:space="preserve">Tropane alkaloids</t>
  </si>
  <si>
    <t xml:space="preserve">Phenyltropanes</t>
  </si>
  <si>
    <t xml:space="preserve">466.09560</t>
  </si>
  <si>
    <t xml:space="preserve">C17H24N3O9P</t>
  </si>
  <si>
    <t xml:space="preserve">Dibutyryl cyclic 3',5'-cytidine monophosphate</t>
  </si>
  <si>
    <t xml:space="preserve">204349</t>
  </si>
  <si>
    <t xml:space="preserve">HMDB0249394</t>
  </si>
  <si>
    <t xml:space="preserve">4649133</t>
  </si>
  <si>
    <t xml:space="preserve">CCCC(=O)NC1=NC(=O)N(C=C1)C1OC2COP(O)(=O)OC2C1OC(=O)CCC</t>
  </si>
  <si>
    <t xml:space="preserve">IPICHPMWYGQEKH-UHFFFAOYSA-N</t>
  </si>
  <si>
    <t xml:space="preserve">468.00617</t>
  </si>
  <si>
    <t xml:space="preserve">C17H12Cl3N5O2</t>
  </si>
  <si>
    <t xml:space="preserve">Carboxyamidotriazole</t>
  </si>
  <si>
    <t xml:space="preserve">204563</t>
  </si>
  <si>
    <t xml:space="preserve">HMDB0249653</t>
  </si>
  <si>
    <t xml:space="preserve">108144</t>
  </si>
  <si>
    <t xml:space="preserve">NC(=O)C1=C(N)N(CC2=CC(Cl)=C(C(=O)C3=CC=C(Cl)C=C3)C(Cl)=C2)N=N1</t>
  </si>
  <si>
    <t xml:space="preserve">WNRZHQBJSXRYJK-UHFFFAOYSA-N</t>
  </si>
  <si>
    <t xml:space="preserve">Benzophenones</t>
  </si>
  <si>
    <t xml:space="preserve">468.06854</t>
  </si>
  <si>
    <t xml:space="preserve">C20H20ClNO10</t>
  </si>
  <si>
    <t xml:space="preserve">(beta-1-O-[N-(2-hydroxymethyl-3-chlorophenyl)anthraniloyl]-D-glucupyranuronic acid)</t>
  </si>
  <si>
    <t xml:space="preserve">82048</t>
  </si>
  <si>
    <t xml:space="preserve">HMDB0060034</t>
  </si>
  <si>
    <t xml:space="preserve">131769799</t>
  </si>
  <si>
    <t xml:space="preserve">OCC1=C(NC2=CC=CC=C2C(=O)O[C@@H]2O[C@@H]([C@@H](O)[C@H](O)[C@H]2O)C(O)=O)C=CC(O)=C1Cl</t>
  </si>
  <si>
    <t xml:space="preserve">NZWGBGFWNQHXDI-GHHWKCCRSA-N</t>
  </si>
  <si>
    <t xml:space="preserve">470.06670</t>
  </si>
  <si>
    <t xml:space="preserve">C18H14F3N3O4S</t>
  </si>
  <si>
    <t xml:space="preserve">2-Sulfamoyl-5-(5-(p-tolyl)-3-(trifluoromethyl)-1H-pyrazol-1-yl)benzoic acid</t>
  </si>
  <si>
    <t xml:space="preserve">203237</t>
  </si>
  <si>
    <t xml:space="preserve">HMDB0248087</t>
  </si>
  <si>
    <t xml:space="preserve">91418560</t>
  </si>
  <si>
    <t xml:space="preserve">CC1=CC=C(C=C1)C1=CC(=NN1C1=CC(C(O)=O)=C(C=C1)S(N)(=O)=O)C(F)(F)F</t>
  </si>
  <si>
    <t xml:space="preserve">UMOINECDMVSRLQ-UHFFFAOYSA-N</t>
  </si>
  <si>
    <t xml:space="preserve">472.07480</t>
  </si>
  <si>
    <t xml:space="preserve">C16H19N5O10S</t>
  </si>
  <si>
    <t xml:space="preserve">1-(s-glutathionyl)-2,4-dinitrobenzene</t>
  </si>
  <si>
    <t xml:space="preserve">83640</t>
  </si>
  <si>
    <t xml:space="preserve">HMDB0062528</t>
  </si>
  <si>
    <t xml:space="preserve">68892</t>
  </si>
  <si>
    <t xml:space="preserve">C11175</t>
  </si>
  <si>
    <t xml:space="preserve">8927</t>
  </si>
  <si>
    <t xml:space="preserve">97535</t>
  </si>
  <si>
    <t xml:space="preserve">26289-39-4</t>
  </si>
  <si>
    <t xml:space="preserve">[H][C@](N)(CCC(=O)N[C@@]([H])(CSC1=C(C=C(C=C1)N(=O)=O)N(=O)=O)C(=O)NCC(O)=O)C(O)=O</t>
  </si>
  <si>
    <t xml:space="preserve">FXEUKVKGTKDDIQ-UWVGGRQHSA-N</t>
  </si>
  <si>
    <t xml:space="preserve">472.20399</t>
  </si>
  <si>
    <t xml:space="preserve">C25H31N3O4</t>
  </si>
  <si>
    <t xml:space="preserve">N1,N10-Dicoumaroylspermidine</t>
  </si>
  <si>
    <t xml:space="preserve">57699</t>
  </si>
  <si>
    <t xml:space="preserve">HMDB0033469</t>
  </si>
  <si>
    <t xml:space="preserve">89296</t>
  </si>
  <si>
    <t xml:space="preserve">85530</t>
  </si>
  <si>
    <t xml:space="preserve">15270795</t>
  </si>
  <si>
    <t xml:space="preserve">65715-79-9</t>
  </si>
  <si>
    <t xml:space="preserve">OC1=CC=C(\C=C\C(=O)NCCCCNCCCNC(=O)\C=C\C2=CC=C(O)C=C2)C=C1</t>
  </si>
  <si>
    <t xml:space="preserve">QYBCBMVQSCJMSA-VOMDNODZSA-N</t>
  </si>
  <si>
    <t xml:space="preserve">473.16026</t>
  </si>
  <si>
    <t xml:space="preserve">C22H30O9</t>
  </si>
  <si>
    <t xml:space="preserve">8-Propanoylneosolaniol</t>
  </si>
  <si>
    <t xml:space="preserve">61933</t>
  </si>
  <si>
    <t xml:space="preserve">HMDB0038562</t>
  </si>
  <si>
    <t xml:space="preserve">167736</t>
  </si>
  <si>
    <t xml:space="preserve">111112-47-1</t>
  </si>
  <si>
    <t xml:space="preserve">CCC(=O)O[C@H]1C[C@@]2(COC(C)=O)[C@H](O[C@@H]3[C@H](O)[C@@H](OC(C)=O)[C@@]2(C)[C@]32CO2)C=C1C</t>
  </si>
  <si>
    <t xml:space="preserve">ZSGWJLBSFZRJAT-MLXHEQMXSA-N</t>
  </si>
  <si>
    <t xml:space="preserve">Sesquiterpenoids</t>
  </si>
  <si>
    <t xml:space="preserve">473.28293</t>
  </si>
  <si>
    <t xml:space="preserve">C30H44O2</t>
  </si>
  <si>
    <t xml:space="preserve">Demethylphylloquinone</t>
  </si>
  <si>
    <t xml:space="preserve">48302</t>
  </si>
  <si>
    <t xml:space="preserve">HMDB0004649</t>
  </si>
  <si>
    <t xml:space="preserve">58249</t>
  </si>
  <si>
    <t xml:space="preserve">C13309</t>
  </si>
  <si>
    <t xml:space="preserve">31087</t>
  </si>
  <si>
    <t xml:space="preserve">56927684</t>
  </si>
  <si>
    <t xml:space="preserve">34625-86-0</t>
  </si>
  <si>
    <t xml:space="preserve">CC(C)CCC[C@@H](C)CCC[C@@H](C)CCC\C(C)=C\CC1=CC(=O)C2=CC=CC=C2C1=O</t>
  </si>
  <si>
    <t xml:space="preserve">UDYIPZFWVJJQJF-KQPZCCJBSA-N</t>
  </si>
  <si>
    <t xml:space="preserve">Quinone and hydroquinone lipids</t>
  </si>
  <si>
    <t xml:space="preserve">474.14680</t>
  </si>
  <si>
    <t xml:space="preserve">C23H25N3O6</t>
  </si>
  <si>
    <t xml:space="preserve">Lefradafibanum</t>
  </si>
  <si>
    <t xml:space="preserve">208224</t>
  </si>
  <si>
    <t xml:space="preserve">HMDB0254003</t>
  </si>
  <si>
    <t xml:space="preserve">146157313</t>
  </si>
  <si>
    <t xml:space="preserve">COC(=O)CC1CC(COC2=CC=C(C=C2)C2=CC=C(C=C2)C(N)=NC(=O)OC)NC1=O</t>
  </si>
  <si>
    <t xml:space="preserve">PGCFXITVMNNKON-UHFFFAOYSA-N</t>
  </si>
  <si>
    <t xml:space="preserve">476.03729</t>
  </si>
  <si>
    <t xml:space="preserve">C18H16F3N5O3S</t>
  </si>
  <si>
    <t xml:space="preserve">Convergence</t>
  </si>
  <si>
    <t xml:space="preserve">205223</t>
  </si>
  <si>
    <t xml:space="preserve">HMDB0250444</t>
  </si>
  <si>
    <t xml:space="preserve">59152103</t>
  </si>
  <si>
    <t xml:space="preserve">FC(F)(F)C1=CC=C(C=C1)S(=O)(=O)N1CCN(CC1)C(=O)C1=C2N=CC=CN2N=C1</t>
  </si>
  <si>
    <t xml:space="preserve">ZIZJYTFTAKMQAI-UHFFFAOYSA-N</t>
  </si>
  <si>
    <t xml:space="preserve">476.13497</t>
  </si>
  <si>
    <t xml:space="preserve">C20H27NO10</t>
  </si>
  <si>
    <t xml:space="preserve">Mandelonitrile rutinoside</t>
  </si>
  <si>
    <t xml:space="preserve">57073</t>
  </si>
  <si>
    <t xml:space="preserve">HMDB0032803</t>
  </si>
  <si>
    <t xml:space="preserve">88725</t>
  </si>
  <si>
    <t xml:space="preserve">131751315</t>
  </si>
  <si>
    <t xml:space="preserve">184002-37-7</t>
  </si>
  <si>
    <t xml:space="preserve">CC1OC(OCC2OC(OC(C#N)C3=CC=CC=C3)C(O)C(O)C2O)C(O)C(O)C1O</t>
  </si>
  <si>
    <t xml:space="preserve">QSPJUYWAUZTHLP-UHFFFAOYSA-N</t>
  </si>
  <si>
    <t xml:space="preserve">476.27574</t>
  </si>
  <si>
    <t xml:space="preserve">C23H44NO7P</t>
  </si>
  <si>
    <t xml:space="preserve">LPE(18:2)</t>
  </si>
  <si>
    <t xml:space="preserve">21202</t>
  </si>
  <si>
    <t xml:space="preserve">HMDB0011477</t>
  </si>
  <si>
    <t xml:space="preserve">62265</t>
  </si>
  <si>
    <t xml:space="preserve">LMGP02050041</t>
  </si>
  <si>
    <t xml:space="preserve">76090</t>
  </si>
  <si>
    <t xml:space="preserve">53480926</t>
  </si>
  <si>
    <t xml:space="preserve">C(OP(OCCN)(O)=O)[C@]([H])(OC(=O)CCCCCCC/C=C\C/C=C\CCCCC)CO</t>
  </si>
  <si>
    <t xml:space="preserve">SVRBKLJIDJHADS-USWSLJGRSA-N</t>
  </si>
  <si>
    <t xml:space="preserve">477.03158</t>
  </si>
  <si>
    <t xml:space="preserve">C20H16O15</t>
  </si>
  <si>
    <t xml:space="preserve">3,5-Di-O-galloyl-1,4-galactarolactone</t>
  </si>
  <si>
    <t xml:space="preserve">60825</t>
  </si>
  <si>
    <t xml:space="preserve">HMDB0037204</t>
  </si>
  <si>
    <t xml:space="preserve">92171</t>
  </si>
  <si>
    <t xml:space="preserve">85201166</t>
  </si>
  <si>
    <t xml:space="preserve">OC1C(OC(=O)C2=CC(O)=C(O)C(O)=C2)C(OC1=O)C(OC(=O)C1=CC(O)=C(O)C(O)=C1)C(O)=O</t>
  </si>
  <si>
    <t xml:space="preserve">DRESSPOLWVWPPB-UHFFFAOYSA-N</t>
  </si>
  <si>
    <t xml:space="preserve">477.26974</t>
  </si>
  <si>
    <t xml:space="preserve">C18H36N6O6</t>
  </si>
  <si>
    <t xml:space="preserve">Dactimicin</t>
  </si>
  <si>
    <t xml:space="preserve">205522</t>
  </si>
  <si>
    <t xml:space="preserve">HMDB0250824</t>
  </si>
  <si>
    <t xml:space="preserve">107800</t>
  </si>
  <si>
    <t xml:space="preserve">COC1C(O)C(N)C(OC2OC(CCC2N)C(C)N)C(O)C1N(C)C(=O)CNC=N</t>
  </si>
  <si>
    <t xml:space="preserve">VFBPKQSATYZKRX-UHFFFAOYSA-N</t>
  </si>
  <si>
    <t xml:space="preserve">479.11761</t>
  </si>
  <si>
    <t xml:space="preserve">C17H30O13</t>
  </si>
  <si>
    <t xml:space="preserve">beta-D-Xylopyranosyl-(1-&gt;4)-alpha-L-rhamnopyranosyl-(1-&gt;2)-D-fucose</t>
  </si>
  <si>
    <t xml:space="preserve">64326</t>
  </si>
  <si>
    <t xml:space="preserve">HMDB0041225</t>
  </si>
  <si>
    <t xml:space="preserve">91859160</t>
  </si>
  <si>
    <t xml:space="preserve">[H][C@]1(O[C@@H]2OC[C@@H](O)[C@H](O)[C@H]2O)[C@H](C)O[C@@H](O[C@@]2([H])C(O)O[C@H](C)[C@H](O)[C@@H]2O)[C@H](O)[C@@H]1O</t>
  </si>
  <si>
    <t xml:space="preserve">UQYIWBRIELHTMI-MHHRBAHSSA-N</t>
  </si>
  <si>
    <t xml:space="preserve">480.03454</t>
  </si>
  <si>
    <t xml:space="preserve">C17H12F9NO3S</t>
  </si>
  <si>
    <t xml:space="preserve">N-(2,2,2-Trifluoroethyl)-N-{4-[2,2,2-trifluoro-1-hydroxy-1-(trifluoromethyl)ethyl]phenyl}benzenesulfonamide</t>
  </si>
  <si>
    <t xml:space="preserve">212134</t>
  </si>
  <si>
    <t xml:space="preserve">HMDB0258663</t>
  </si>
  <si>
    <t xml:space="preserve">63084</t>
  </si>
  <si>
    <t xml:space="preserve">C15630</t>
  </si>
  <si>
    <t xml:space="preserve">447912</t>
  </si>
  <si>
    <t xml:space="preserve">293754-55-9</t>
  </si>
  <si>
    <t xml:space="preserve">OC(C1=CC=C(C=C1)N(CC(F)(F)F)S(=O)(=O)C1=CC=CC=C1)(C(F)(F)F)C(F)(F)F</t>
  </si>
  <si>
    <t xml:space="preserve">SGIWFELWJPNFDH-UHFFFAOYSA-N</t>
  </si>
  <si>
    <t xml:space="preserve">Sulfanilides</t>
  </si>
  <si>
    <t xml:space="preserve">480.30860</t>
  </si>
  <si>
    <t xml:space="preserve">C25H43N3O6</t>
  </si>
  <si>
    <t xml:space="preserve">Palmitoyl Ara-C</t>
  </si>
  <si>
    <t xml:space="preserve">209975</t>
  </si>
  <si>
    <t xml:space="preserve">HMDB0256087</t>
  </si>
  <si>
    <t xml:space="preserve">317641</t>
  </si>
  <si>
    <t xml:space="preserve">CCCCCCCCCCCCCCCC(=O)NC1=NC(=O)N(C=C1)C1OC(CO)C(O)C1O</t>
  </si>
  <si>
    <t xml:space="preserve">XEFNBUBDJCJOGM-UHFFFAOYSA-N</t>
  </si>
  <si>
    <t xml:space="preserve">482.06560</t>
  </si>
  <si>
    <t xml:space="preserve">C21H22ClNO8S</t>
  </si>
  <si>
    <t xml:space="preserve">Clopidogrel acyl glucuronide</t>
  </si>
  <si>
    <t xml:space="preserve">212899</t>
  </si>
  <si>
    <t xml:space="preserve">HMDB0259598</t>
  </si>
  <si>
    <t xml:space="preserve">74600215</t>
  </si>
  <si>
    <t xml:space="preserve">OC1C(OC(=O)C(N2CCC3=C(C2)C=CS3)C2=CC=CC=C2Cl)OC(C(O)C1O)C(O)=O</t>
  </si>
  <si>
    <t xml:space="preserve">TUBQAJBXTWIXFX-UHFFFAOYSA-N</t>
  </si>
  <si>
    <t xml:space="preserve">483.27339</t>
  </si>
  <si>
    <t xml:space="preserve">C21H43O7P</t>
  </si>
  <si>
    <t xml:space="preserve">LPA(18:0)</t>
  </si>
  <si>
    <t xml:space="preserve">49557</t>
  </si>
  <si>
    <t xml:space="preserve">HMDB0007850</t>
  </si>
  <si>
    <t xml:space="preserve">76041074</t>
  </si>
  <si>
    <t xml:space="preserve">CCCCCCCCCCCCCCCCCC(=O)OC(CO)COP(O)(O)=O</t>
  </si>
  <si>
    <t xml:space="preserve">RPAOEHFOGLEBTJ-UHFFFAOYSA-N</t>
  </si>
  <si>
    <t xml:space="preserve">484.07837</t>
  </si>
  <si>
    <t xml:space="preserve">C20H26ClN3O6S2</t>
  </si>
  <si>
    <t xml:space="preserve">Sporidesmin D</t>
  </si>
  <si>
    <t xml:space="preserve">211953</t>
  </si>
  <si>
    <t xml:space="preserve">HMDB0258440</t>
  </si>
  <si>
    <t xml:space="preserve">3084286</t>
  </si>
  <si>
    <t xml:space="preserve">COC1=C2N(C)C3N4C(=O)C(C)(SC)N(C)C(=O)C4(SC)C(O)C3(O)C2=CC(Cl)=C1OC</t>
  </si>
  <si>
    <t xml:space="preserve">CKKYQBFKVBEKFR-UHFFFAOYSA-N</t>
  </si>
  <si>
    <t xml:space="preserve">485.22835</t>
  </si>
  <si>
    <t xml:space="preserve">C25H32N2O5</t>
  </si>
  <si>
    <t xml:space="preserve">3-[2-[[(1S,2R,3S)-3-[4-(Pentylcarbamoyl)-1,3-oxazol-2-yl]-7-oxabicyclo[2.2.1]heptan-2-yl]methyl]phenyl]propanoic acid</t>
  </si>
  <si>
    <t xml:space="preserve">203066</t>
  </si>
  <si>
    <t xml:space="preserve">HMDB0247885</t>
  </si>
  <si>
    <t xml:space="preserve">21865528</t>
  </si>
  <si>
    <t xml:space="preserve">CCCCCNC(=O)C1=COC(=N1)C1C2CCC(O2)C1CC1=CC=CC=C1CCC(O)=O</t>
  </si>
  <si>
    <t xml:space="preserve">BBPRUNPUJIUXSE-UHFFFAOYSA-N</t>
  </si>
  <si>
    <t xml:space="preserve">Phenylpropanoic acids</t>
  </si>
  <si>
    <t xml:space="preserve">486.06499</t>
  </si>
  <si>
    <t xml:space="preserve">C22H18F3N5O2S2</t>
  </si>
  <si>
    <t xml:space="preserve">Desmethyl dabrafenib</t>
  </si>
  <si>
    <t xml:space="preserve">205718</t>
  </si>
  <si>
    <t xml:space="preserve">HMDB0251052</t>
  </si>
  <si>
    <t xml:space="preserve">58345847</t>
  </si>
  <si>
    <t xml:space="preserve">CC(C)C1=NC(=C(S1)C1=NC(N)=NC=C1)C1=C(F)C(NS(=O)(=O)C2=C(F)C=CC=C2F)=CC=C1</t>
  </si>
  <si>
    <t xml:space="preserve">MQEHPCURISZMGR-UHFFFAOYSA-N</t>
  </si>
  <si>
    <t xml:space="preserve">487.17938</t>
  </si>
  <si>
    <t xml:space="preserve">C21H30O10</t>
  </si>
  <si>
    <t xml:space="preserve">Lusitanicoside</t>
  </si>
  <si>
    <t xml:space="preserve">58219</t>
  </si>
  <si>
    <t xml:space="preserve">HMDB0034120</t>
  </si>
  <si>
    <t xml:space="preserve">C10474</t>
  </si>
  <si>
    <t xml:space="preserve">4484591</t>
  </si>
  <si>
    <t xml:space="preserve">CC1OC(OCC2OC(OC3=CC=C(CC=C)C=C3)C(O)C(O)C2O)C(O)C(O)C1O</t>
  </si>
  <si>
    <t xml:space="preserve">DAELTTGCCPRYTP-UHFFFAOYSA-N</t>
  </si>
  <si>
    <t xml:space="preserve">488.16693</t>
  </si>
  <si>
    <t xml:space="preserve">C16H26N7O6P</t>
  </si>
  <si>
    <t xml:space="preserve">8-AHA-cAMP</t>
  </si>
  <si>
    <t xml:space="preserve">202649</t>
  </si>
  <si>
    <t xml:space="preserve">HMDB0247415</t>
  </si>
  <si>
    <t xml:space="preserve">1906</t>
  </si>
  <si>
    <t xml:space="preserve">NCCCCCCNC1=NC2=C(N=CN=C2N)N1C1OC2COP(O)(=O)OC2C1O</t>
  </si>
  <si>
    <t xml:space="preserve">WCWLOZYNRVLFOG-UHFFFAOYSA-N</t>
  </si>
  <si>
    <t xml:space="preserve">Purine nucleotides</t>
  </si>
  <si>
    <t xml:space="preserve">Cyclic purine nucleotides</t>
  </si>
  <si>
    <t xml:space="preserve">489.16718</t>
  </si>
  <si>
    <t xml:space="preserve">C28H28N4O2</t>
  </si>
  <si>
    <t xml:space="preserve">(S)-3-(8-(Dimethylaminomethyl)-6,7,8,9-tetrahydropyrido(1,2-a)indol-10-yl)-4-(1-methyl-3-indolyl)-1H-pyrrole-2,5-dione hydrochloride</t>
  </si>
  <si>
    <t xml:space="preserve">210995</t>
  </si>
  <si>
    <t xml:space="preserve">HMDB0257275</t>
  </si>
  <si>
    <t xml:space="preserve">5084</t>
  </si>
  <si>
    <t xml:space="preserve">CN(C)CC1CCN2C(C1)=C(C1=CC=CC=C21)C1=C(C(=O)NC1=O)C1=CN(C)C2=CC=CC=C12</t>
  </si>
  <si>
    <t xml:space="preserve">FXGHOAZJQNLNFD-UHFFFAOYSA-N</t>
  </si>
  <si>
    <t xml:space="preserve">N-alkylindoles</t>
  </si>
  <si>
    <t xml:space="preserve">490.01616</t>
  </si>
  <si>
    <t xml:space="preserve">C21H18F3NO3S2</t>
  </si>
  <si>
    <t xml:space="preserve">Endurobol</t>
  </si>
  <si>
    <t xml:space="preserve">201511</t>
  </si>
  <si>
    <t xml:space="preserve">HMDB0246147</t>
  </si>
  <si>
    <t xml:space="preserve">73726</t>
  </si>
  <si>
    <t xml:space="preserve">9803963</t>
  </si>
  <si>
    <t xml:space="preserve">CC1=C(CSC2=CC(C)=C(OCC(O)=O)C=C2)SC(=N1)C1=CC=C(C=C1)C(F)(F)F</t>
  </si>
  <si>
    <t xml:space="preserve">YDBLKRPLXZNVNB-UHFFFAOYSA-N</t>
  </si>
  <si>
    <t xml:space="preserve">490.11285</t>
  </si>
  <si>
    <t xml:space="preserve">C21H27NO10</t>
  </si>
  <si>
    <t xml:space="preserve">O-Methyl-4-[(2',3',4'-tri-O-acetyl-alpha-L-rhamnosyloxy)benzyl]carbamate</t>
  </si>
  <si>
    <t xml:space="preserve">56410</t>
  </si>
  <si>
    <t xml:space="preserve">HMDB0031948</t>
  </si>
  <si>
    <t xml:space="preserve">101919834</t>
  </si>
  <si>
    <t xml:space="preserve">163812-18-8</t>
  </si>
  <si>
    <t xml:space="preserve">COC(=O)NCC1=CC=C(O[C@@H]2O[C@@H](C)[C@H](OC(C)=O)[C@@H](OC(C)=O)[C@H]2OC(C)=O)C=C1</t>
  </si>
  <si>
    <t xml:space="preserve">LCQPFOZNYVLABG-FXCHBBSNSA-N</t>
  </si>
  <si>
    <t xml:space="preserve">492.02894</t>
  </si>
  <si>
    <t xml:space="preserve">C16H17N9O5S3</t>
  </si>
  <si>
    <t xml:space="preserve">Cefmenoxime</t>
  </si>
  <si>
    <t xml:space="preserve">52660</t>
  </si>
  <si>
    <t xml:space="preserve">HMDB0014412</t>
  </si>
  <si>
    <t xml:space="preserve">3992</t>
  </si>
  <si>
    <t xml:space="preserve">55490</t>
  </si>
  <si>
    <t xml:space="preserve">9570757</t>
  </si>
  <si>
    <t xml:space="preserve">65085-01-0</t>
  </si>
  <si>
    <t xml:space="preserve">[H][C@]12SCC(CSC3=NN=NN3C)=C(N1C(=O)[C@H]2NC(=O)C(=N/OC)\C1=CSC(N)=N1)C(O)=O</t>
  </si>
  <si>
    <t xml:space="preserve">HJJDBAOLQAWBMH-YCRCPZNHSA-N</t>
  </si>
  <si>
    <t xml:space="preserve">492.13713</t>
  </si>
  <si>
    <t xml:space="preserve">C23H28ClN3O5S</t>
  </si>
  <si>
    <t xml:space="preserve">Glyburide</t>
  </si>
  <si>
    <t xml:space="preserve">53259</t>
  </si>
  <si>
    <t xml:space="preserve">HMDB0015151</t>
  </si>
  <si>
    <t xml:space="preserve">3129</t>
  </si>
  <si>
    <t xml:space="preserve">C07022</t>
  </si>
  <si>
    <t xml:space="preserve">5441</t>
  </si>
  <si>
    <t xml:space="preserve">3488</t>
  </si>
  <si>
    <t xml:space="preserve">10238-21-8</t>
  </si>
  <si>
    <t xml:space="preserve">COC1=C(C=C(Cl)C=C1)C(=O)NCCC1=CC=C(C=C1)S(=O)(=O)NC(=O)NC1CCCCC1</t>
  </si>
  <si>
    <t xml:space="preserve">ZNNLBTZKUZBEKO-UHFFFAOYSA-N</t>
  </si>
  <si>
    <t xml:space="preserve">494.03568</t>
  </si>
  <si>
    <t xml:space="preserve">C20H13F6N3O2S</t>
  </si>
  <si>
    <t xml:space="preserve">Monepantel</t>
  </si>
  <si>
    <t xml:space="preserve">208908</t>
  </si>
  <si>
    <t xml:space="preserve">HMDB0254843</t>
  </si>
  <si>
    <t xml:space="preserve">11454275</t>
  </si>
  <si>
    <t xml:space="preserve">CC(COC1=C(C=CC(=C1)C#N)C(F)(F)F)(NC(=O)C1=CC=C(SC(F)(F)F)C=C1)C#N</t>
  </si>
  <si>
    <t xml:space="preserve">WTERNLDOAPYGJD-UHFFFAOYSA-N</t>
  </si>
  <si>
    <t xml:space="preserve">495.19772</t>
  </si>
  <si>
    <t xml:space="preserve">C28H32O8</t>
  </si>
  <si>
    <t xml:space="preserve">7alpha-1(10-&gt;19)-Abeo-7-acetoxyobacun-9(11)-ene</t>
  </si>
  <si>
    <t xml:space="preserve">59837</t>
  </si>
  <si>
    <t xml:space="preserve">HMDB0036033</t>
  </si>
  <si>
    <t xml:space="preserve">91211</t>
  </si>
  <si>
    <t xml:space="preserve">131751902</t>
  </si>
  <si>
    <t xml:space="preserve">85643-97-6</t>
  </si>
  <si>
    <t xml:space="preserve">CC(=O)OC1CC2C(C\C=C/C(=O)OC2(C)C)C2=CCC3(C)C(OC(=O)C4OC34C12C)C1=COC=C1</t>
  </si>
  <si>
    <t xml:space="preserve">VIZDPIMTQWFZEF-VURMDHGXSA-N</t>
  </si>
  <si>
    <t xml:space="preserve">Naphthopyrans</t>
  </si>
  <si>
    <t xml:space="preserve">497.10265</t>
  </si>
  <si>
    <t xml:space="preserve">C16H26N4O10S2</t>
  </si>
  <si>
    <t xml:space="preserve">N,N'-Bis(gamma-glutamyl)cystine</t>
  </si>
  <si>
    <t xml:space="preserve">61842</t>
  </si>
  <si>
    <t xml:space="preserve">HMDB0038458</t>
  </si>
  <si>
    <t xml:space="preserve">93146</t>
  </si>
  <si>
    <t xml:space="preserve">17257</t>
  </si>
  <si>
    <t xml:space="preserve">440072</t>
  </si>
  <si>
    <t xml:space="preserve">23052-19-9</t>
  </si>
  <si>
    <t xml:space="preserve">NC(CCC(=O)NC(CSSCC(NC(=O)CCC(N)C(O)=O)C(O)=O)C(O)=O)C(O)=O</t>
  </si>
  <si>
    <t xml:space="preserve">GOZJYXJJQVGDOJ-UHFFFAOYSA-N</t>
  </si>
  <si>
    <t xml:space="preserve">499.10048</t>
  </si>
  <si>
    <t xml:space="preserve">C22H24O11</t>
  </si>
  <si>
    <t xml:space="preserve">Hesperetin 7-glucoside; Caffeoylcalleryanin; Hesperetin 5-O-glucoside</t>
  </si>
  <si>
    <t xml:space="preserve">34554; 256647; 34553</t>
  </si>
  <si>
    <t xml:space="preserve">HMDB0030747; HMDB0303796; HMDB0037535</t>
  </si>
  <si>
    <t xml:space="preserve">; ; 52861</t>
  </si>
  <si>
    <t xml:space="preserve">LMPK12140378; ; LMPK12140377</t>
  </si>
  <si>
    <t xml:space="preserve">20111686; ; 18625123</t>
  </si>
  <si>
    <t xml:space="preserve">2500-68-7; ; 69651-80-5</t>
  </si>
  <si>
    <t xml:space="preserve">C1(OC2OC(CO)C(O)C(O)C2O)=CC2OC(C3C=C(O)C(OC)=CC=3)CC(=O)C=2C(O)=C1; OCC1OC(OC2=CC=C(COC(=O)\C=C\C3=CC(O)=C(O)C=C3)C=C2O)C(O)C(O)C1O; C1(O)=CC2OC(C3C=C(O)C(OC)=CC=3)CC(=O)C=2C(OC2OC(CO)C(O)C(O)C2O)=C1</t>
  </si>
  <si>
    <t xml:space="preserve">ADSYMQORONDIDD-UHFFFAOYSA-N; VTHLSAOVZTYBRV-ZZXKWVIFSA-N; QSLBWGKNSBMTJL-UHFFFAOYSA-N</t>
  </si>
  <si>
    <t xml:space="preserve">Phenylpropanoids and polyketides; Organic oxygen compounds; Phenylpropanoids and polyketides</t>
  </si>
  <si>
    <t xml:space="preserve">Flavonoids; Organooxygen compounds; Flavonoids</t>
  </si>
  <si>
    <t xml:space="preserve">Flavonoid glycosides; Carbohydrates and carbohydrate conjugates; Flavonoid glycosides</t>
  </si>
  <si>
    <t xml:space="preserve">500.07224</t>
  </si>
  <si>
    <t xml:space="preserve">C15H21N5O12</t>
  </si>
  <si>
    <t xml:space="preserve">Glutamate nitrogen</t>
  </si>
  <si>
    <t xml:space="preserve">207238</t>
  </si>
  <si>
    <t xml:space="preserve">HMDB0252805</t>
  </si>
  <si>
    <t xml:space="preserve">NC(CCC(=O)ON1OC(=O)CCC(N)C(=O)O1)C(=O)ON1OC(=O)CCC(N)C(=O)O1</t>
  </si>
  <si>
    <t xml:space="preserve">YCMXICSCNVMWSY-UHFFFAOYSA-N</t>
  </si>
  <si>
    <t xml:space="preserve">Hexacarboxylic acids and derivatives</t>
  </si>
  <si>
    <t xml:space="preserve">502.15613</t>
  </si>
  <si>
    <t xml:space="preserve">C25H26FN3O5</t>
  </si>
  <si>
    <t xml:space="preserve">Firuglipel</t>
  </si>
  <si>
    <t xml:space="preserve">206771</t>
  </si>
  <si>
    <t xml:space="preserve">HMDB0252269</t>
  </si>
  <si>
    <t xml:space="preserve">76449169</t>
  </si>
  <si>
    <t xml:space="preserve">CCC(OC1=CC=C(C=C1)C(=O)C1CC1)C1=NC(=NO1)C1=CC(F)=C(C=C1)C(=O)NC(C)CO</t>
  </si>
  <si>
    <t xml:space="preserve">LRXRIKVDAVVQCP-UHFFFAOYSA-N</t>
  </si>
  <si>
    <t xml:space="preserve">503.16996</t>
  </si>
  <si>
    <t xml:space="preserve">C24H28N4O6</t>
  </si>
  <si>
    <t xml:space="preserve">2-[1-[2-[(4-Carbamimidoylbenzoyl)amino]-3-(4-hydroxyphenyl)propanoyl]piperidin-4-yl]oxyacetic acid</t>
  </si>
  <si>
    <t xml:space="preserve">204451</t>
  </si>
  <si>
    <t xml:space="preserve">HMDB0249516</t>
  </si>
  <si>
    <t xml:space="preserve">71453</t>
  </si>
  <si>
    <t xml:space="preserve">NC(=N)C1=CC=C(C=C1)C(=O)NC(CC1=CC=C(O)C=C1)C(=O)N1CCC(CC1)OCC(O)=O</t>
  </si>
  <si>
    <t xml:space="preserve">FPKOGTAFKSLZLD-UHFFFAOYSA-N</t>
  </si>
  <si>
    <t xml:space="preserve">504.13688</t>
  </si>
  <si>
    <t xml:space="preserve">C24H25ClFN5O2</t>
  </si>
  <si>
    <t xml:space="preserve">Dacomitinib</t>
  </si>
  <si>
    <t xml:space="preserve">205521</t>
  </si>
  <si>
    <t xml:space="preserve">HMDB0250823</t>
  </si>
  <si>
    <t xml:space="preserve">91466</t>
  </si>
  <si>
    <t xml:space="preserve">57519532</t>
  </si>
  <si>
    <t xml:space="preserve">COC1=C(NC(=O)C=CCN2CCCCC2)C=C2C(NC3=CC(Cl)=C(F)C=C3)=NC=NC2=C1</t>
  </si>
  <si>
    <t xml:space="preserve">LVXJQMNHJWSHET-UHFFFAOYSA-N</t>
  </si>
  <si>
    <t xml:space="preserve">504.31016</t>
  </si>
  <si>
    <t xml:space="preserve">C25H48NO7P</t>
  </si>
  <si>
    <t xml:space="preserve">LPE(20:2); PC(17:2)</t>
  </si>
  <si>
    <t xml:space="preserve">21208; 210037</t>
  </si>
  <si>
    <t xml:space="preserve">HMDB0011483; HMDB0256157</t>
  </si>
  <si>
    <t xml:space="preserve">62271; </t>
  </si>
  <si>
    <t xml:space="preserve">LMGP02050047; </t>
  </si>
  <si>
    <t xml:space="preserve">131692; </t>
  </si>
  <si>
    <t xml:space="preserve">53480932; </t>
  </si>
  <si>
    <t xml:space="preserve">C(OP(OCCN)(O)=O)[C@]([H])(OC(=O)CCCCCCCCC/C=C\C/C=C\CCCCC)CO; CCCCC=CCC=CCCCCCCCC(=O)OCC(O)COP([O-])(=O)OCC[N+](C)(C)C</t>
  </si>
  <si>
    <t xml:space="preserve">NHBRVTKHMMOYTG-XBJNFHHOSA-N; GYPQKMKDLBCBMB-UHFFFAOYSA-N</t>
  </si>
  <si>
    <t xml:space="preserve">Glycerophospholipids; Glycerophospholipids</t>
  </si>
  <si>
    <t xml:space="preserve">Glycerophosphoethanolamines; Glycerophosphocholines</t>
  </si>
  <si>
    <t xml:space="preserve">505.13693</t>
  </si>
  <si>
    <t xml:space="preserve">C20H22N8O6</t>
  </si>
  <si>
    <t xml:space="preserve">7-hydroxymethotrexate</t>
  </si>
  <si>
    <t xml:space="preserve">82929</t>
  </si>
  <si>
    <t xml:space="preserve">HMDB0061104</t>
  </si>
  <si>
    <t xml:space="preserve">739</t>
  </si>
  <si>
    <t xml:space="preserve">5484402</t>
  </si>
  <si>
    <t xml:space="preserve">5939-37-7</t>
  </si>
  <si>
    <t xml:space="preserve">CN(CC1=NC2=C(N)NC(=N)NC2=NC1=O)C1=CC=C(C=C1)C(=O)N[C@@H](CCC(O)=O)C(O)=O</t>
  </si>
  <si>
    <t xml:space="preserve">HODZDDDNGRLGSI-NSHDSACASA-N</t>
  </si>
  <si>
    <t xml:space="preserve">505.26148</t>
  </si>
  <si>
    <t xml:space="preserve">C27H32F2N8</t>
  </si>
  <si>
    <t xml:space="preserve">Abemaciclib</t>
  </si>
  <si>
    <t xml:space="preserve">202945</t>
  </si>
  <si>
    <t xml:space="preserve">HMDB0247749</t>
  </si>
  <si>
    <t xml:space="preserve">821961</t>
  </si>
  <si>
    <t xml:space="preserve">46220502</t>
  </si>
  <si>
    <t xml:space="preserve">CCN1CCN(CC2=CC=C(NC3=NC=C(F)C(=N3)C3=CC(F)=C4N=C(C)N(C(C)C)C4=C3)N=C2)CC1</t>
  </si>
  <si>
    <t xml:space="preserve">UZWDCWONPYILKI-UHFFFAOYSA-N</t>
  </si>
  <si>
    <t xml:space="preserve">507.27380</t>
  </si>
  <si>
    <t xml:space="preserve">C16H18N2O</t>
  </si>
  <si>
    <t xml:space="preserve">(+)-Setoclavine; 4-(8-Amino-1,2,3,4-tetrahydro-2-methyl-4-isoquinolinyl)phenol; Elymoclavine</t>
  </si>
  <si>
    <t xml:space="preserve">57658; 201644; 206352</t>
  </si>
  <si>
    <t xml:space="preserve">HMDB0033428; HMDB0246297; HMDB0251762</t>
  </si>
  <si>
    <t xml:space="preserve">89263; ; </t>
  </si>
  <si>
    <t xml:space="preserve">10060886; 162784; 11051</t>
  </si>
  <si>
    <t xml:space="preserve">519-12-0; ; </t>
  </si>
  <si>
    <t xml:space="preserve">CN1CC(C)(O)C=C2C1CC1=CNC3=CC=CC2=C13; CN1CC(C2=CC=C(O)C=C2)C2=C(C1)C(N)=CC=C2; CN1CC(CO)=CC2C1CC1=CNC3=CC=CC2=C13</t>
  </si>
  <si>
    <t xml:space="preserve">BGVUWLLRNRBDAY-UHFFFAOYSA-N; IDYRXWOMWZHWEO-UHFFFAOYSA-N; DAVNRFCJMIONPO-UHFFFAOYSA-N</t>
  </si>
  <si>
    <t xml:space="preserve">Alkaloids and derivatives; Organoheterocyclic compounds; Alkaloids and derivatives</t>
  </si>
  <si>
    <t xml:space="preserve">Ergoline and derivatives; Tetrahydroisoquinolines; Ergoline and derivatives</t>
  </si>
  <si>
    <t xml:space="preserve">Clavines and derivatives; 4-phenyltetrahydroisoquinolines; Clavines and derivatives</t>
  </si>
  <si>
    <t xml:space="preserve">508.02013</t>
  </si>
  <si>
    <t xml:space="preserve">C19H22ClN3O5S2</t>
  </si>
  <si>
    <t xml:space="preserve">Clamikalant</t>
  </si>
  <si>
    <t xml:space="preserve">205111</t>
  </si>
  <si>
    <t xml:space="preserve">HMDB0250313</t>
  </si>
  <si>
    <t xml:space="preserve">435421</t>
  </si>
  <si>
    <t xml:space="preserve">3037766</t>
  </si>
  <si>
    <t xml:space="preserve">CNC(=S)NS(=O)(=O)C1=C(OC)C=CC(CCNC(=O)C2=C(OC)C=CC(Cl)=C2)=C1</t>
  </si>
  <si>
    <t xml:space="preserve">VXTKXGKPBOLHRY-UHFFFAOYSA-N</t>
  </si>
  <si>
    <t xml:space="preserve">508.14089</t>
  </si>
  <si>
    <t xml:space="preserve">C30H32Cl3NO</t>
  </si>
  <si>
    <t xml:space="preserve">Lumefantrine; 2-(Dibutylamino)-1-[(9Z)-2,7-dichloro-9-[(4-chlorophenyl)methylidene]fluoren-4-yl]ethanol</t>
  </si>
  <si>
    <t xml:space="preserve">53680; 201003</t>
  </si>
  <si>
    <t xml:space="preserve">HMDB0015653; HMDB0245584</t>
  </si>
  <si>
    <t xml:space="preserve">85572; </t>
  </si>
  <si>
    <t xml:space="preserve">156095; </t>
  </si>
  <si>
    <t xml:space="preserve">6437380; 108031</t>
  </si>
  <si>
    <t xml:space="preserve">82186-77-4; </t>
  </si>
  <si>
    <t xml:space="preserve">CCCCN(CCCC)CC(O)C1=C2C(=CC(Cl)=C1)\C(=C/C1=CC=C(Cl)C=C1)C1=C2C=CC(Cl)=C1; CCCCN(CCCC)CC(O)C1=C2C(=CC(Cl)=C1)C(=CC1=CC=C(Cl)C=C1)C1=C2C=CC(Cl)=C1</t>
  </si>
  <si>
    <t xml:space="preserve">DYLGFOYVTXJFJP-MYYYXRDXSA-N; DYLGFOYVTXJFJP-UHFFFAOYSA-N</t>
  </si>
  <si>
    <t xml:space="preserve">Fluorenes; Fluorenes</t>
  </si>
  <si>
    <t xml:space="preserve">510.13107</t>
  </si>
  <si>
    <t xml:space="preserve">C24H23N7O4</t>
  </si>
  <si>
    <t xml:space="preserve">Temsavir</t>
  </si>
  <si>
    <t xml:space="preserve">204289</t>
  </si>
  <si>
    <t xml:space="preserve">HMDB0249319</t>
  </si>
  <si>
    <t xml:space="preserve">11317439</t>
  </si>
  <si>
    <t xml:space="preserve">COC1=CN=C(N2C=NC(C)=N2)C2=C1C(=CN2)C(=O)C(=O)N1CCN(CC1)C(=O)C1=CC=CC=C1</t>
  </si>
  <si>
    <t xml:space="preserve">QRPZBKAMSFHVRW-UHFFFAOYSA-N</t>
  </si>
  <si>
    <t xml:space="preserve">Pyridyltriazoles</t>
  </si>
  <si>
    <t xml:space="preserve">512.09381</t>
  </si>
  <si>
    <t xml:space="preserve">C25H22ClN5O2S</t>
  </si>
  <si>
    <t xml:space="preserve">Birabresib</t>
  </si>
  <si>
    <t xml:space="preserve">201000</t>
  </si>
  <si>
    <t xml:space="preserve">HMDB0245579</t>
  </si>
  <si>
    <t xml:space="preserve">19704956</t>
  </si>
  <si>
    <t xml:space="preserve">CC1=C(C)C2=C(S1)N1C(C)=NN=C1C(CC(=O)NC1=CC=C(O)C=C1)N=C2C1=CC=C(Cl)C=C1</t>
  </si>
  <si>
    <t xml:space="preserve">GNMUEVRJHCWKTO-UHFFFAOYSA-N</t>
  </si>
  <si>
    <t xml:space="preserve">Thienodiazepines</t>
  </si>
  <si>
    <t xml:space="preserve">513.00602</t>
  </si>
  <si>
    <t xml:space="preserve">C18H18N4O6S4</t>
  </si>
  <si>
    <t xml:space="preserve">3-Ethyl-2-[(3-ethyl-6-sulfo-1,3-benzothiazol-2-ylidene)hydrazinylidene]-1,3-benzothiazole-6-sulfonic acid</t>
  </si>
  <si>
    <t xml:space="preserve">201135</t>
  </si>
  <si>
    <t xml:space="preserve">HMDB0245738</t>
  </si>
  <si>
    <t xml:space="preserve">35688</t>
  </si>
  <si>
    <t xml:space="preserve">CCN1C(SC2=C1C=CC(=C2)S(O)(=O)=O)=NN=C1SC2=C(C=CC(=C2)S(O)(=O)=O)N1CC</t>
  </si>
  <si>
    <t xml:space="preserve">ZTOJFFHGPLIVKC-UHFFFAOYSA-N</t>
  </si>
  <si>
    <t xml:space="preserve">513.25074</t>
  </si>
  <si>
    <t xml:space="preserve">C29H38O8</t>
  </si>
  <si>
    <t xml:space="preserve">Lucidenic acid D2; Glycinoeclepin C</t>
  </si>
  <si>
    <t xml:space="preserve">60189; 60685</t>
  </si>
  <si>
    <t xml:space="preserve">HMDB0036435; HMDB0037036</t>
  </si>
  <si>
    <t xml:space="preserve">14258974; 131752131</t>
  </si>
  <si>
    <t xml:space="preserve">98665-16-8; </t>
  </si>
  <si>
    <t xml:space="preserve">CC(CCC(O)=O)C1CC(=O)C2(C)C3=C(C(=O)C(OC(C)=O)C12C)C1(C)CCC(=O)C(C)(C)C1CC3=O; C[C@@H]1C[C@H](OC2C=C3C(C(O)=O)=C(C[C@]45CC[C@H](O4)C(C)(C)C5=O)C[C@@H](O)[C@@]3(C)[C@]12C)\C=C(/C)C(O)=O</t>
  </si>
  <si>
    <t xml:space="preserve">LTJSBYAKDOGXLX-UHFFFAOYSA-N; QEICCHKVLICFMW-ZTXCTZRESA-N</t>
  </si>
  <si>
    <t xml:space="preserve">Prenol lipids; Prenol lipids</t>
  </si>
  <si>
    <t xml:space="preserve">Triterpenoids; Sesquiterpenoids</t>
  </si>
  <si>
    <t xml:space="preserve">514.09508</t>
  </si>
  <si>
    <t xml:space="preserve">C23H21N5O5S</t>
  </si>
  <si>
    <t xml:space="preserve">Avosentan</t>
  </si>
  <si>
    <t xml:space="preserve">203790</t>
  </si>
  <si>
    <t xml:space="preserve">HMDB0248748</t>
  </si>
  <si>
    <t xml:space="preserve">9912992</t>
  </si>
  <si>
    <t xml:space="preserve">COC1=CC=CC=C1OC1=C(NS(=O)(=O)C2=NC=C(C)C=C2)N=C(N=C1OC)C1=CC=NC=C1</t>
  </si>
  <si>
    <t xml:space="preserve">YBWLTKFZAOSWSM-UHFFFAOYSA-N</t>
  </si>
  <si>
    <t xml:space="preserve">514.25181</t>
  </si>
  <si>
    <t xml:space="preserve">C26H35N3O5</t>
  </si>
  <si>
    <t xml:space="preserve">Tert-Butyl 3-((3S,6S,12aS)-6-isobutyl-9-methoxy-1,4-dioxo-1,2,3,4,6,7,12,12a-octahydropyrazino[1',2':1,6]pyrido[3,4-b]indol-3-yl)propanoate</t>
  </si>
  <si>
    <t xml:space="preserve">208099</t>
  </si>
  <si>
    <t xml:space="preserve">HMDB0253814</t>
  </si>
  <si>
    <t xml:space="preserve">69534441</t>
  </si>
  <si>
    <t xml:space="preserve">COC1=CC2=C(C=C1)C1=C(N2)C(CC(C)C)N2C(C1)C(=O)NC(CCC(=O)OC(C)(C)C)C2=O</t>
  </si>
  <si>
    <t xml:space="preserve">NXNRAECHCJZNRF-UHFFFAOYSA-N</t>
  </si>
  <si>
    <t xml:space="preserve">Pyridoindoles</t>
  </si>
  <si>
    <t xml:space="preserve">515.25265</t>
  </si>
  <si>
    <t xml:space="preserve">C29H35F3N2O3</t>
  </si>
  <si>
    <t xml:space="preserve">Mayzent</t>
  </si>
  <si>
    <t xml:space="preserve">203882</t>
  </si>
  <si>
    <t xml:space="preserve">HMDB0248844</t>
  </si>
  <si>
    <t xml:space="preserve">72959169</t>
  </si>
  <si>
    <t xml:space="preserve">CCC1=C(CN2CC(C2)C(O)=O)C=CC(=C1)C(C)=NOCC1=CC(=C(C=C1)C1CCCCC1)C(F)(F)F</t>
  </si>
  <si>
    <t xml:space="preserve">KIHYPELVXPAIDH-UHFFFAOYSA-N</t>
  </si>
  <si>
    <t xml:space="preserve">516.21045</t>
  </si>
  <si>
    <t xml:space="preserve">C30H31N3O3</t>
  </si>
  <si>
    <t xml:space="preserve">Dofequidar</t>
  </si>
  <si>
    <t xml:space="preserve">206188</t>
  </si>
  <si>
    <t xml:space="preserve">HMDB0251575</t>
  </si>
  <si>
    <t xml:space="preserve">OC(COC1=CC=CC2=C1C=CC=N2)CN1CCN(CC1)C(=O)C(C1=CC=CC=C1)C1=CC=CC=C1</t>
  </si>
  <si>
    <t xml:space="preserve">KLWUUPVJTLHYIM-UHFFFAOYSA-N</t>
  </si>
  <si>
    <t xml:space="preserve">518.16338</t>
  </si>
  <si>
    <t xml:space="preserve">C32H28ClN3O3</t>
  </si>
  <si>
    <t xml:space="preserve">N-[4-[(4As)-1,2,4,4a,5,11-hexahydro-[1,4]oxazino[3,4-c][1,4]benzodiazepine-6-carbonyl]-3-chlorophenyl]-2-phenylbenzamide</t>
  </si>
  <si>
    <t xml:space="preserve">204881</t>
  </si>
  <si>
    <t xml:space="preserve">HMDB0250036</t>
  </si>
  <si>
    <t xml:space="preserve">44208974</t>
  </si>
  <si>
    <t xml:space="preserve">ClC1=C(C=CC(NC(=O)C2=CC=CC=C2C2=CC=CC=C2)=C1)C(=O)N1CC2COCCN2CC2=CC=CC=C12</t>
  </si>
  <si>
    <t xml:space="preserve">TYWBAYRNYLDJBB-UHFFFAOYSA-N</t>
  </si>
  <si>
    <t xml:space="preserve">519.15769</t>
  </si>
  <si>
    <t xml:space="preserve">C30H28O6</t>
  </si>
  <si>
    <t xml:space="preserve">Thamnosin</t>
  </si>
  <si>
    <t xml:space="preserve">55344</t>
  </si>
  <si>
    <t xml:space="preserve">HMDB0030550</t>
  </si>
  <si>
    <t xml:space="preserve">87055</t>
  </si>
  <si>
    <t xml:space="preserve">5377043</t>
  </si>
  <si>
    <t xml:space="preserve">18458-66-7</t>
  </si>
  <si>
    <t xml:space="preserve">COC1=CC2=C(C=CC(=O)O2)C=C1\C=C\C1(C)CCC(C)=CC1C1=C(OC)C=C2OC(=O)C=CC2=C1</t>
  </si>
  <si>
    <t xml:space="preserve">SWGAQLQAABDHGT-ZRDIBKRKSA-N</t>
  </si>
  <si>
    <t xml:space="preserve">520.05479</t>
  </si>
  <si>
    <t xml:space="preserve">C24H19F2N3O4S</t>
  </si>
  <si>
    <t xml:space="preserve">Baloxavir</t>
  </si>
  <si>
    <t xml:space="preserve">203887</t>
  </si>
  <si>
    <t xml:space="preserve">HMDB0248854</t>
  </si>
  <si>
    <t xml:space="preserve">138567123</t>
  </si>
  <si>
    <t xml:space="preserve">OC1=C2N(C=CC1=O)N(C1COCCN1C2=O)C1C2=CC=CC=C2SCC2=C1C=CC(F)=C2F</t>
  </si>
  <si>
    <t xml:space="preserve">FIDLLEYNNRGVFR-UHFFFAOYSA-N</t>
  </si>
  <si>
    <t xml:space="preserve">Benzothiepins</t>
  </si>
  <si>
    <t xml:space="preserve">Dibenzothiepins</t>
  </si>
  <si>
    <t xml:space="preserve">520.13174</t>
  </si>
  <si>
    <t xml:space="preserve">C25H23N5O6S</t>
  </si>
  <si>
    <t xml:space="preserve">Apalcillin</t>
  </si>
  <si>
    <t xml:space="preserve">203585</t>
  </si>
  <si>
    <t xml:space="preserve">HMDB0248504</t>
  </si>
  <si>
    <t xml:space="preserve">13051277</t>
  </si>
  <si>
    <t xml:space="preserve">CC1(C)SC2C(NC(=O)C(NC(=O)C3=CNC4=C(N=CC=C4)C3=O)C3=CC=CC=C3)C(=O)N2C1C(O)=O</t>
  </si>
  <si>
    <t xml:space="preserve">XMQVYNAURODYCQ-UHFFFAOYSA-N</t>
  </si>
  <si>
    <t xml:space="preserve">520.26178</t>
  </si>
  <si>
    <t xml:space="preserve">C21H41N5O11</t>
  </si>
  <si>
    <t xml:space="preserve">Apramycin</t>
  </si>
  <si>
    <t xml:space="preserve">203609</t>
  </si>
  <si>
    <t xml:space="preserve">HMDB0248529</t>
  </si>
  <si>
    <t xml:space="preserve">439519</t>
  </si>
  <si>
    <t xml:space="preserve">CNC1C(O)C2OC(OC3C(N)CC(N)C(O)C3O)C(N)CC2OC1OC1OC(CO)C(N)C(O)C1O</t>
  </si>
  <si>
    <t xml:space="preserve">XZNUGFQTQHRASN-UHFFFAOYSA-N</t>
  </si>
  <si>
    <t xml:space="preserve">521.09711</t>
  </si>
  <si>
    <t xml:space="preserve">C22H21ClN2O8</t>
  </si>
  <si>
    <t xml:space="preserve">meclocycline; Temazepam glucuronide</t>
  </si>
  <si>
    <t xml:space="preserve">208519; 212244</t>
  </si>
  <si>
    <t xml:space="preserve">HMDB0254395; HMDB0258799</t>
  </si>
  <si>
    <t xml:space="preserve">54684337; 14324835</t>
  </si>
  <si>
    <t xml:space="preserve">CN(C)C1C2C(O)C3C(=C)C4=C(Cl)C=CC(O)=C4C(O)=C3C(=O)C2(O)C(O)=C(C(N)=O)C1=O; CN1C2=C(C=C(Cl)C=C2)C(=NC(OC2OC(C(O)C(O)C2O)C(O)=O)C1=O)C1=CC=CC=C1</t>
  </si>
  <si>
    <t xml:space="preserve">RNIADBXQDMCFEN-UHFFFAOYSA-N; KFYGTOURBGCWNQ-UHFFFAOYSA-N</t>
  </si>
  <si>
    <t xml:space="preserve">Phenylpropanoids and polyketides; Organic oxygen compounds</t>
  </si>
  <si>
    <t xml:space="preserve">Tetracyclines; Organooxygen compounds</t>
  </si>
  <si>
    <t xml:space="preserve">Unclassified; Carbohydrates and carbohydrate conjugates</t>
  </si>
  <si>
    <t xml:space="preserve">521.16721</t>
  </si>
  <si>
    <t xml:space="preserve">C25H32O13</t>
  </si>
  <si>
    <t xml:space="preserve">Oleuropein</t>
  </si>
  <si>
    <t xml:space="preserve">59696</t>
  </si>
  <si>
    <t xml:space="preserve">HMDB0035872</t>
  </si>
  <si>
    <t xml:space="preserve">67938</t>
  </si>
  <si>
    <t xml:space="preserve">C09794</t>
  </si>
  <si>
    <t xml:space="preserve">7747</t>
  </si>
  <si>
    <t xml:space="preserve">5281544</t>
  </si>
  <si>
    <t xml:space="preserve">32619-42-4</t>
  </si>
  <si>
    <t xml:space="preserve">[H][C@]1(CC(=O)OCCC2=CC(O)=C(O)C=C2)\C(=C/C)[C@H](O[C@@H]2O[C@H](CO)[C@@H](O)[C@H](O)[C@H]2O)OC=C1C(=O)OC</t>
  </si>
  <si>
    <t xml:space="preserve">RFWGABANNQMHMZ-ZCHJGGQASA-N</t>
  </si>
  <si>
    <t xml:space="preserve">522.04141</t>
  </si>
  <si>
    <t xml:space="preserve">C15H21N5O13P2</t>
  </si>
  <si>
    <t xml:space="preserve">Cyclic ADP-ribose</t>
  </si>
  <si>
    <t xml:space="preserve">204464</t>
  </si>
  <si>
    <t xml:space="preserve">HMDB0249529</t>
  </si>
  <si>
    <t xml:space="preserve">22062770</t>
  </si>
  <si>
    <t xml:space="preserve">OC1C2COP(O)(=O)OP(O)(=O)OCC3OC(C(O)C3O)N3C=NC4=C(N=CN4C(O2)C1O)C3=N</t>
  </si>
  <si>
    <t xml:space="preserve">BQOHYSXSASDCEA-UHFFFAOYSA-N</t>
  </si>
  <si>
    <t xml:space="preserve">522.16675</t>
  </si>
  <si>
    <t xml:space="preserve">C27H25F2N3OS</t>
  </si>
  <si>
    <t xml:space="preserve">ritanserin</t>
  </si>
  <si>
    <t xml:space="preserve">210967</t>
  </si>
  <si>
    <t xml:space="preserve">HMDB0257243</t>
  </si>
  <si>
    <t xml:space="preserve">44353</t>
  </si>
  <si>
    <t xml:space="preserve">64195</t>
  </si>
  <si>
    <t xml:space="preserve">5074</t>
  </si>
  <si>
    <t xml:space="preserve">87051-43-2</t>
  </si>
  <si>
    <t xml:space="preserve">CC1=C(CCN2CCC(CC2)=C(C2=CC=C(F)C=C2)C2=CC=C(F)C=C2)C(=O)N2C=CSC2=N1</t>
  </si>
  <si>
    <t xml:space="preserve">JUQLTPCYUFPYKE-UHFFFAOYSA-N</t>
  </si>
  <si>
    <t xml:space="preserve">523.03643</t>
  </si>
  <si>
    <t xml:space="preserve">C12H10N2OS2</t>
  </si>
  <si>
    <t xml:space="preserve">Dehydro-4-methoxycyclobrassinin</t>
  </si>
  <si>
    <t xml:space="preserve">64170</t>
  </si>
  <si>
    <t xml:space="preserve">HMDB0041060</t>
  </si>
  <si>
    <t xml:space="preserve">95493</t>
  </si>
  <si>
    <t xml:space="preserve">169362</t>
  </si>
  <si>
    <t xml:space="preserve">10332932</t>
  </si>
  <si>
    <t xml:space="preserve">154933-74-1</t>
  </si>
  <si>
    <t xml:space="preserve">COC1=CC=CC2=C1C1=CN=C(SC)SC1=N2</t>
  </si>
  <si>
    <t xml:space="preserve">JDYSKRAQSOYTDY-UHFFFAOYSA-N</t>
  </si>
  <si>
    <t xml:space="preserve">524.03223</t>
  </si>
  <si>
    <t xml:space="preserve">C16H22BrN3O7S</t>
  </si>
  <si>
    <t xml:space="preserve">2,3-Dihydro-2-S-glutathionyl-3-hydroxy bromobenzene; 3,4-Dihydro-3-hydroxy-4-S-glutathionyl bromobenzene</t>
  </si>
  <si>
    <t xml:space="preserve">82268; 82287</t>
  </si>
  <si>
    <t xml:space="preserve">HMDB0060358; HMDB0060381</t>
  </si>
  <si>
    <t xml:space="preserve">70353; 70352</t>
  </si>
  <si>
    <t xml:space="preserve">C14848; C14847</t>
  </si>
  <si>
    <t xml:space="preserve">34228; 34324</t>
  </si>
  <si>
    <t xml:space="preserve">11954067; 11954066</t>
  </si>
  <si>
    <t xml:space="preserve">[H][C@](N)(CCC(O)=N[C@@]([H])(CSC1([H])C(Br)=CC=CC1([H])O)C(O)=NCC(O)=O)C(O)=O; [H][C@](N)(CCC(O)=N[C@@]([H])(CSC1([H])C=CC(Br)=CC1([H])O)C(O)=NCC(O)=O)C(O)=O</t>
  </si>
  <si>
    <t xml:space="preserve">BYHFLDCNLZPMDY-PXAOEZFJSA-N; WIPMNDWTVDZAHE-JYBOHDQNSA-N</t>
  </si>
  <si>
    <t xml:space="preserve">526.10968</t>
  </si>
  <si>
    <t xml:space="preserve">C21H27N3O4S3</t>
  </si>
  <si>
    <t xml:space="preserve">Yersiniabactin</t>
  </si>
  <si>
    <t xml:space="preserve">213164</t>
  </si>
  <si>
    <t xml:space="preserve">HMDB0259950</t>
  </si>
  <si>
    <t xml:space="preserve">136771248</t>
  </si>
  <si>
    <t xml:space="preserve">CC(C)(C(O)C1CSC(N1)C1CSC(=N1)C1=CC=CC=C1O)C1=NC(C)(CS1)C(O)=O</t>
  </si>
  <si>
    <t xml:space="preserve">JHYVWAMMAMCUIR-UHFFFAOYSA-N</t>
  </si>
  <si>
    <t xml:space="preserve">529.09224</t>
  </si>
  <si>
    <t xml:space="preserve">C27H24O9</t>
  </si>
  <si>
    <t xml:space="preserve">Americanin B</t>
  </si>
  <si>
    <t xml:space="preserve">60918</t>
  </si>
  <si>
    <t xml:space="preserve">HMDB0037338</t>
  </si>
  <si>
    <t xml:space="preserve">92272</t>
  </si>
  <si>
    <t xml:space="preserve">73352644</t>
  </si>
  <si>
    <t xml:space="preserve">77053-44-2</t>
  </si>
  <si>
    <t xml:space="preserve">OCC1OC2=C(OC1C1=CC3=C(OC(C(CO)O3)C3=CC(O)=C(O)C=C3)C=C1)C=C(\C=C\C=O)C=C2</t>
  </si>
  <si>
    <t xml:space="preserve">VDIFGESBHJLSFS-OWOJBTEDSA-N</t>
  </si>
  <si>
    <t xml:space="preserve">Benzodioxanes</t>
  </si>
  <si>
    <t xml:space="preserve">Phenylbenzodioxanes</t>
  </si>
  <si>
    <t xml:space="preserve">529.29849</t>
  </si>
  <si>
    <t xml:space="preserve">C27H46O10</t>
  </si>
  <si>
    <t xml:space="preserve">(S)-Nerolidol 3-O-[a-L-rhamnopyranosyl-(1-&gt;2)-b-D-glucopyranoside]</t>
  </si>
  <si>
    <t xml:space="preserve">63969</t>
  </si>
  <si>
    <t xml:space="preserve">HMDB0040844</t>
  </si>
  <si>
    <t xml:space="preserve">95302</t>
  </si>
  <si>
    <t xml:space="preserve">173300</t>
  </si>
  <si>
    <t xml:space="preserve">14060449</t>
  </si>
  <si>
    <t xml:space="preserve">130466-30-7</t>
  </si>
  <si>
    <t xml:space="preserve">CC1OC(OC2C(O)C(O)C(CO)OC2OC(C)(CC\C=C(/C)CCC=C(C)C)C=C)C(O)C(O)C1O</t>
  </si>
  <si>
    <t xml:space="preserve">ATWXTQLIHDYQCP-FOWTUZBSSA-N</t>
  </si>
  <si>
    <t xml:space="preserve">Fatty acyl glycosides</t>
  </si>
  <si>
    <t xml:space="preserve">530.08180</t>
  </si>
  <si>
    <t xml:space="preserve">C22H17F6N3O7</t>
  </si>
  <si>
    <t xml:space="preserve">N-(2,6-Difluorophenyl)-2-oxoglycyl-N-((1S)-1-(carboxymethyl)-2-oxo-3-(2,3,5,6-tetrafluorophenoxy)propyl)-L-alaninamide</t>
  </si>
  <si>
    <t xml:space="preserve">212951</t>
  </si>
  <si>
    <t xml:space="preserve">HMDB0259684</t>
  </si>
  <si>
    <t xml:space="preserve">75073471</t>
  </si>
  <si>
    <t xml:space="preserve">CC(NC(=O)C(=O)NC1=C(F)C=CC=C1F)C(=O)NC(CC(O)=O)C(=O)COC1=C(F)C(F)=CC(F)=C1F</t>
  </si>
  <si>
    <t xml:space="preserve">VMPUKWSLCRUGSR-UHFFFAOYSA-N</t>
  </si>
  <si>
    <t xml:space="preserve">Peptidomimetics</t>
  </si>
  <si>
    <t xml:space="preserve">Hybrid peptides</t>
  </si>
  <si>
    <t xml:space="preserve">530.22016</t>
  </si>
  <si>
    <t xml:space="preserve">C25H32ClN5O3</t>
  </si>
  <si>
    <t xml:space="preserve">p-Hydroxynefazodone; 2-[3-[4-(3-Chlorophenyl)piperazin-1-yl]-1-hydroxypropyl]-5-ethyl-4-(2-phenoxyethyl)-1,2,4-triazol-3-one; hydroxynefazodone</t>
  </si>
  <si>
    <t xml:space="preserve">209940; 211409; 82875</t>
  </si>
  <si>
    <t xml:space="preserve">HMDB0256044; HMDB0257774; HMDB0061040</t>
  </si>
  <si>
    <t xml:space="preserve">1472; ; 1471</t>
  </si>
  <si>
    <t xml:space="preserve">10435492; 18507190; 11755137</t>
  </si>
  <si>
    <t xml:space="preserve">137339-28-7; ; 98159-82-1</t>
  </si>
  <si>
    <t xml:space="preserve">CCC1=NN(CCCN2CCN(CC2)C2=CC(Cl)=C(O)C=C2)C(=O)N1CCOC1=CC=CC=C1; CCC1=NN(C(O)CCN2CCN(CC2)C2=CC(Cl)=CC=C2)C(=O)N1CCOC1=CC=CC=C1; CC(O)C1=NN(CCCN2CCN(CC2)C2=CC=CC(Cl)=C2)C(=O)N1CCOC1=CC=CC=C1</t>
  </si>
  <si>
    <t xml:space="preserve">XGIODORTBODPTQ-UHFFFAOYSA-N; KJDNAPBNOFEPDX-UHFFFAOYSA-N; VKGQYGXMUUBRBD-UHFFFAOYSA-N</t>
  </si>
  <si>
    <t xml:space="preserve">Diazinanes; Diazinanes; Diazinanes</t>
  </si>
  <si>
    <t xml:space="preserve">Piperazines; Piperazines; Piperazines</t>
  </si>
  <si>
    <t xml:space="preserve">531.08089</t>
  </si>
  <si>
    <t xml:space="preserve">C25H18F2N2O7</t>
  </si>
  <si>
    <t xml:space="preserve">Daf-FM DA</t>
  </si>
  <si>
    <t xml:space="preserve">205526</t>
  </si>
  <si>
    <t xml:space="preserve">HMDB0250829</t>
  </si>
  <si>
    <t xml:space="preserve">451837</t>
  </si>
  <si>
    <t xml:space="preserve">2762646</t>
  </si>
  <si>
    <t xml:space="preserve">CNC1=C(N)C2=C(C=C1)C1(OC2=O)C2=CC(F)=C(OC(C)=O)C=C2OC2=CC(OC(C)=O)=C(F)C=C12</t>
  </si>
  <si>
    <t xml:space="preserve">BEVHTVRRVVEMEF-UHFFFAOYSA-N</t>
  </si>
  <si>
    <t xml:space="preserve">531.13345</t>
  </si>
  <si>
    <t xml:space="preserve">C22H28Cl2N2O6</t>
  </si>
  <si>
    <t xml:space="preserve">Olradipine</t>
  </si>
  <si>
    <t xml:space="preserve">209864</t>
  </si>
  <si>
    <t xml:space="preserve">HMDB0255960</t>
  </si>
  <si>
    <t xml:space="preserve">131532</t>
  </si>
  <si>
    <t xml:space="preserve">CCOC(=O)C1=C(COCCOCCN)NC(C)=C(C1C1=C(Cl)C(Cl)=CC=C1)C(=O)OC</t>
  </si>
  <si>
    <t xml:space="preserve">VLTBMBOHGZAWIT-UHFFFAOYSA-N</t>
  </si>
  <si>
    <t xml:space="preserve">531.22943</t>
  </si>
  <si>
    <t xml:space="preserve">C25H40N2O6S</t>
  </si>
  <si>
    <t xml:space="preserve">Leukotriene D4</t>
  </si>
  <si>
    <t xml:space="preserve">3844</t>
  </si>
  <si>
    <t xml:space="preserve">HMDB0003080</t>
  </si>
  <si>
    <t xml:space="preserve">3583</t>
  </si>
  <si>
    <t xml:space="preserve">LMFA03020006</t>
  </si>
  <si>
    <t xml:space="preserve">C05951</t>
  </si>
  <si>
    <t xml:space="preserve">28666</t>
  </si>
  <si>
    <t xml:space="preserve">5280878</t>
  </si>
  <si>
    <t xml:space="preserve">73836-78-9</t>
  </si>
  <si>
    <t xml:space="preserve">C(/C/C=C\CCCCC)=C/C=C/C=C/[C@@H](SC[C@H](N)C(=O)NCC(O)=O)[C@@H](O)CCCC(O)=O</t>
  </si>
  <si>
    <t xml:space="preserve">YEESKJGWJFYOOK-IJHYULJSSA-N</t>
  </si>
  <si>
    <t xml:space="preserve">Eicosanoids</t>
  </si>
  <si>
    <t xml:space="preserve">532.17732</t>
  </si>
  <si>
    <t xml:space="preserve">C20H35NO13</t>
  </si>
  <si>
    <t xml:space="preserve">Validamycin A</t>
  </si>
  <si>
    <t xml:space="preserve">60284</t>
  </si>
  <si>
    <t xml:space="preserve">HMDB0036592</t>
  </si>
  <si>
    <t xml:space="preserve">C12112</t>
  </si>
  <si>
    <t xml:space="preserve">131752015</t>
  </si>
  <si>
    <t xml:space="preserve">37248-47-8</t>
  </si>
  <si>
    <t xml:space="preserve">CC1C(O)C(NC2C=C(CO)C(O)C(O)C2O)C(O)C(O)C1OC1OC(CO)C(O)C(O)C1O</t>
  </si>
  <si>
    <t xml:space="preserve">PJASXVPPJJZEIB-UHFFFAOYSA-N</t>
  </si>
  <si>
    <t xml:space="preserve">533.16770</t>
  </si>
  <si>
    <t xml:space="preserve">C25H28O10</t>
  </si>
  <si>
    <t xml:space="preserve">Egonol glucoside</t>
  </si>
  <si>
    <t xml:space="preserve">58336</t>
  </si>
  <si>
    <t xml:space="preserve">HMDB0034280</t>
  </si>
  <si>
    <t xml:space="preserve">14018771</t>
  </si>
  <si>
    <t xml:space="preserve">77690-83-6</t>
  </si>
  <si>
    <t xml:space="preserve">COC1=CC(CCCOC2OC(CO)C(O)C(O)C2O)=CC2=C1OC(=C2)C1=CC2=C(OCO2)C=C1</t>
  </si>
  <si>
    <t xml:space="preserve">RAMYDZNQLYKTGB-UHFFFAOYSA-N</t>
  </si>
  <si>
    <t xml:space="preserve">2-arylbenzofuran flavonoids</t>
  </si>
  <si>
    <t xml:space="preserve">534.15196</t>
  </si>
  <si>
    <t xml:space="preserve">C26H29NO9</t>
  </si>
  <si>
    <t xml:space="preserve">Idarubicinol</t>
  </si>
  <si>
    <t xml:space="preserve">207712</t>
  </si>
  <si>
    <t xml:space="preserve">HMDB0253372</t>
  </si>
  <si>
    <t xml:space="preserve">13229550</t>
  </si>
  <si>
    <t xml:space="preserve">CC(O)C1(O)CC(OC2CC(N)C(O)C(C)O2)C2=C(O)C3=C(C(O)=C2C1)C(=O)C1=CC=CC=C1C3=O</t>
  </si>
  <si>
    <t xml:space="preserve">KMIBSUUWQWSRQV-UHFFFAOYSA-N</t>
  </si>
  <si>
    <t xml:space="preserve">Anthracyclines</t>
  </si>
  <si>
    <t xml:space="preserve">535.15236</t>
  </si>
  <si>
    <t xml:space="preserve">C30H28O7</t>
  </si>
  <si>
    <t xml:space="preserve">Artonol C</t>
  </si>
  <si>
    <t xml:space="preserve">31621</t>
  </si>
  <si>
    <t xml:space="preserve">HMDB0030489</t>
  </si>
  <si>
    <t xml:space="preserve">49954</t>
  </si>
  <si>
    <t xml:space="preserve">LMPK12111532</t>
  </si>
  <si>
    <t xml:space="preserve">10839101</t>
  </si>
  <si>
    <t xml:space="preserve">186824-59-9</t>
  </si>
  <si>
    <t xml:space="preserve">C12CC(C(=C)C)C3C(O)=C4OC(C)(C)C=CC4=C(O)C=3C=1OC1=C3C=CC(C)(C)OC3=CC(O)=C1C2=O</t>
  </si>
  <si>
    <t xml:space="preserve">JVLAUHJNDLMVDW-UHFFFAOYSA-N</t>
  </si>
  <si>
    <t xml:space="preserve">537.09289</t>
  </si>
  <si>
    <t xml:space="preserve">C26H22ClF3N2O3</t>
  </si>
  <si>
    <t xml:space="preserve">Fluvalinate</t>
  </si>
  <si>
    <t xml:space="preserve">206910</t>
  </si>
  <si>
    <t xml:space="preserve">HMDB0252422</t>
  </si>
  <si>
    <t xml:space="preserve">68751</t>
  </si>
  <si>
    <t xml:space="preserve">C10989</t>
  </si>
  <si>
    <t xml:space="preserve">5135</t>
  </si>
  <si>
    <t xml:space="preserve">50516</t>
  </si>
  <si>
    <t xml:space="preserve">69409-94-5</t>
  </si>
  <si>
    <t xml:space="preserve">CC(C)C(NC1=CC=C(C=C1Cl)C(F)(F)F)C(=O)OC(C#N)C1=CC=CC(OC2=CC=CC=C2)=C1</t>
  </si>
  <si>
    <t xml:space="preserve">INISTDXBRIBGOC-UHFFFAOYSA-N</t>
  </si>
  <si>
    <t xml:space="preserve">538.03466</t>
  </si>
  <si>
    <t xml:space="preserve">C20H26INO4S</t>
  </si>
  <si>
    <t xml:space="preserve">7-(3-((4-Iodophenylsulfonyl)amino)bicyclo(2.2.1)hep-2-yl)-5-heptenoic acid</t>
  </si>
  <si>
    <t xml:space="preserve">207913</t>
  </si>
  <si>
    <t xml:space="preserve">HMDB0253589</t>
  </si>
  <si>
    <t xml:space="preserve">OC(=O)CCCC=CCC1C2CCC(C2)C1NS(=O)(=O)C1=CC=C(I)C=C1</t>
  </si>
  <si>
    <t xml:space="preserve">YZLZWIBMWPZHMO-UHFFFAOYSA-N</t>
  </si>
  <si>
    <t xml:space="preserve">Monoterpenoids</t>
  </si>
  <si>
    <t xml:space="preserve">541.11613</t>
  </si>
  <si>
    <t xml:space="preserve">C23H19F5N6O2</t>
  </si>
  <si>
    <t xml:space="preserve">2-Propyl-4-pentafluoroethyl-1-((2'-(1H-tetrazol-5-yl)biphenyl-4-yl)methyl)imidazole-5-carboxylic acid</t>
  </si>
  <si>
    <t xml:space="preserve">206244</t>
  </si>
  <si>
    <t xml:space="preserve">HMDB0251640</t>
  </si>
  <si>
    <t xml:space="preserve">413112</t>
  </si>
  <si>
    <t xml:space="preserve">60770</t>
  </si>
  <si>
    <t xml:space="preserve">CCCC1=NC(=C(N1CC1=CC=C(C=C1)C1=CC=CC=C1C1=NNN=N1)C(O)=O)C(F)(F)C(F)(F)F</t>
  </si>
  <si>
    <t xml:space="preserve">RQGDXPDTZWGCQI-UHFFFAOYSA-N</t>
  </si>
  <si>
    <t xml:space="preserve">542.10595</t>
  </si>
  <si>
    <t xml:space="preserve">C21H24FN7O5S</t>
  </si>
  <si>
    <t xml:space="preserve">N-(2-Fluoro-4-(methylsulfonyl)phenyl)-6-(4-(3-isopropyl-1,2,4-oxadiazol-5-yl)piperidin-1-yl)-5-nitropyrimidin-4-amine</t>
  </si>
  <si>
    <t xml:space="preserve">202586</t>
  </si>
  <si>
    <t xml:space="preserve">HMDB0247338</t>
  </si>
  <si>
    <t xml:space="preserve">24939268</t>
  </si>
  <si>
    <t xml:space="preserve">CC(C)C1=NOC(=N1)C1CCN(CC1)C1=C(C(NC2=C(F)C=C(C=C2)S(C)(=O)=O)=NC=N1)[N+]([O-])=O</t>
  </si>
  <si>
    <t xml:space="preserve">DGBKNTVAKIFYNU-UHFFFAOYSA-N</t>
  </si>
  <si>
    <t xml:space="preserve">543.10089</t>
  </si>
  <si>
    <t xml:space="preserve">C21H22O14</t>
  </si>
  <si>
    <t xml:space="preserve">Methyl 4,6-di-O-galloyl-beta-D-glucopyranoside</t>
  </si>
  <si>
    <t xml:space="preserve">62479</t>
  </si>
  <si>
    <t xml:space="preserve">HMDB0039180</t>
  </si>
  <si>
    <t xml:space="preserve">93774</t>
  </si>
  <si>
    <t xml:space="preserve">172716</t>
  </si>
  <si>
    <t xml:space="preserve">73157785</t>
  </si>
  <si>
    <t xml:space="preserve">88847-08-9</t>
  </si>
  <si>
    <t xml:space="preserve">COC1OC(COC(=O)C2=CC(O)=C(O)C(O)=C2)C(OC(=O)C2=CC(O)=C(O)C(O)=C2)C(O)C1O</t>
  </si>
  <si>
    <t xml:space="preserve">BTSUIPCMGZHMNV-UHFFFAOYSA-N</t>
  </si>
  <si>
    <t xml:space="preserve">543.28237</t>
  </si>
  <si>
    <t xml:space="preserve">C25H49O8P</t>
  </si>
  <si>
    <t xml:space="preserve">PA(22:0)</t>
  </si>
  <si>
    <t xml:space="preserve">135242</t>
  </si>
  <si>
    <t xml:space="preserve">HMDB0115485</t>
  </si>
  <si>
    <t xml:space="preserve">131822221</t>
  </si>
  <si>
    <t xml:space="preserve">[H][C@@](COC(=O)CCCCCCC)(COP(O)(O)=O)OC(=O)CCCCCCCCCCCCC</t>
  </si>
  <si>
    <t xml:space="preserve">FXSMFGRXJAZPDW-HSZRJFAPSA-N</t>
  </si>
  <si>
    <t xml:space="preserve">544.07008</t>
  </si>
  <si>
    <t xml:space="preserve">C28H22Cl2FNO3</t>
  </si>
  <si>
    <t xml:space="preserve">Flumethrin</t>
  </si>
  <si>
    <t xml:space="preserve">206830</t>
  </si>
  <si>
    <t xml:space="preserve">HMDB0252337</t>
  </si>
  <si>
    <t xml:space="preserve">39361</t>
  </si>
  <si>
    <t xml:space="preserve">91702</t>
  </si>
  <si>
    <t xml:space="preserve">CC1(C)C(C=C(Cl)C2=CC=C(Cl)C=C2)C1C(=O)OC(C#N)C1=CC=C(F)C(OC2=CC=CC=C2)=C1</t>
  </si>
  <si>
    <t xml:space="preserve">YXWCBRDRVXHABN-UHFFFAOYSA-N</t>
  </si>
  <si>
    <t xml:space="preserve">544.24061</t>
  </si>
  <si>
    <t xml:space="preserve">C25H39N3O8</t>
  </si>
  <si>
    <t xml:space="preserve">Landiolol</t>
  </si>
  <si>
    <t xml:space="preserve">208193</t>
  </si>
  <si>
    <t xml:space="preserve">HMDB0253969</t>
  </si>
  <si>
    <t xml:space="preserve">9914270</t>
  </si>
  <si>
    <t xml:space="preserve">CC1(C)OCC(COC(=O)CCC2=CC=C(OCC(O)CNCCNC(=O)N3CCOCC3)C=C2)O1</t>
  </si>
  <si>
    <t xml:space="preserve">WMDSZGFJQKSLLH-UHFFFAOYSA-N</t>
  </si>
  <si>
    <t xml:space="preserve">Oxazinanes</t>
  </si>
  <si>
    <t xml:space="preserve">Morpholines</t>
  </si>
  <si>
    <t xml:space="preserve">545.22790</t>
  </si>
  <si>
    <t xml:space="preserve">C25H33ClN6O3</t>
  </si>
  <si>
    <t xml:space="preserve">Phenylalanyl-phenylalanyl-arginine chloromethyl ketone; D-Phenylalanyl-N-[(3s)-6-Carbamimidamido-1-Chloro-2-Oxohexan-3-Yl]-L-Phenylalaninamide</t>
  </si>
  <si>
    <t xml:space="preserve">206749; 202597</t>
  </si>
  <si>
    <t xml:space="preserve">HMDB0252243; HMDB0247354</t>
  </si>
  <si>
    <t xml:space="preserve">; 73744048</t>
  </si>
  <si>
    <t xml:space="preserve">NC(CC1=CC=CC=C1)C(=O)NC(=O)C(CC1=CC=CC=C1)NC(CCCN=C(N)N)C(=O)CCl; NC(CC1=CC=CC=C1)C(=O)NC(CC1=CC=CC=C1)C(=O)NC(CCCN=C(N)N)C(=O)CCl</t>
  </si>
  <si>
    <t xml:space="preserve">UFXAQJOOAQICNE-UHFFFAOYSA-N; PJFSUJMJVYGASC-UHFFFAOYSA-N</t>
  </si>
  <si>
    <t xml:space="preserve">546.21024</t>
  </si>
  <si>
    <t xml:space="preserve">C26H35N3O11</t>
  </si>
  <si>
    <t xml:space="preserve">Lac Dye</t>
  </si>
  <si>
    <t xml:space="preserve">208171</t>
  </si>
  <si>
    <t xml:space="preserve">HMDB0253936</t>
  </si>
  <si>
    <t xml:space="preserve">78171889</t>
  </si>
  <si>
    <t xml:space="preserve">CN(C)C1=CC=C(C=C1)N=NC1=CC=C(OC2OC(CO)C(OC3OC(CO)C(O)C(O)C3O)C(O)C2O)C=C1</t>
  </si>
  <si>
    <t xml:space="preserve">PKTBUSPVTXIOCN-UHFFFAOYSA-N</t>
  </si>
  <si>
    <t xml:space="preserve">547.21314</t>
  </si>
  <si>
    <t xml:space="preserve">C29H36O8</t>
  </si>
  <si>
    <t xml:space="preserve">Silux</t>
  </si>
  <si>
    <t xml:space="preserve">204218</t>
  </si>
  <si>
    <t xml:space="preserve">HMDB0249239</t>
  </si>
  <si>
    <t xml:space="preserve">70115</t>
  </si>
  <si>
    <t xml:space="preserve">C14511</t>
  </si>
  <si>
    <t xml:space="preserve">15284</t>
  </si>
  <si>
    <t xml:space="preserve">1565-94-2</t>
  </si>
  <si>
    <t xml:space="preserve">CC(=C)C(=O)OCC(O)COC1=CC=C(C=C1)C(C)(C)C1=CC=C(OCC(O)COC(=O)C(C)=C)C=C1</t>
  </si>
  <si>
    <t xml:space="preserve">AMFGWXWBFGVCKG-UHFFFAOYSA-N</t>
  </si>
  <si>
    <t xml:space="preserve">547.43553</t>
  </si>
  <si>
    <t xml:space="preserve">C32H62O5</t>
  </si>
  <si>
    <t xml:space="preserve">DG(29:0)</t>
  </si>
  <si>
    <t xml:space="preserve">48981</t>
  </si>
  <si>
    <t xml:space="preserve">HMDB0007010</t>
  </si>
  <si>
    <t xml:space="preserve">58645</t>
  </si>
  <si>
    <t xml:space="preserve">53477949</t>
  </si>
  <si>
    <t xml:space="preserve">[H][C@](CO)(COC(=O)CCCCCCCCCCCCC)OC(=O)CCCCCCCCCCCCCC</t>
  </si>
  <si>
    <t xml:space="preserve">UWIIGCBFEBKNOZ-PMERELPUSA-N</t>
  </si>
  <si>
    <t xml:space="preserve">Glycerolipids</t>
  </si>
  <si>
    <t xml:space="preserve">Diradylglycerols</t>
  </si>
  <si>
    <t xml:space="preserve">548.16735</t>
  </si>
  <si>
    <t xml:space="preserve">C22H31N3O11</t>
  </si>
  <si>
    <t xml:space="preserve">Bopta</t>
  </si>
  <si>
    <t xml:space="preserve">204309</t>
  </si>
  <si>
    <t xml:space="preserve">HMDB0249345</t>
  </si>
  <si>
    <t xml:space="preserve">105125</t>
  </si>
  <si>
    <t xml:space="preserve">OC(=O)CN(CCN(CC(O)=O)CC(O)=O)CCN(CC(O)=O)C(COCC1=CC=CC=C1)C(O)=O</t>
  </si>
  <si>
    <t xml:space="preserve">OEIYJWYTUDFZBH-UHFFFAOYSA-N</t>
  </si>
  <si>
    <t xml:space="preserve">549.16019</t>
  </si>
  <si>
    <t xml:space="preserve">C21H31ClN4O11</t>
  </si>
  <si>
    <t xml:space="preserve">Caspase-3 Inhibitor III</t>
  </si>
  <si>
    <t xml:space="preserve">204599</t>
  </si>
  <si>
    <t xml:space="preserve">HMDB0249698</t>
  </si>
  <si>
    <t xml:space="preserve">57369261</t>
  </si>
  <si>
    <t xml:space="preserve">CC(C)C(NC(=O)C(CCC(O)=O)NC(=O)C(CC(O)=O)NC(C)=O)C(=O)NC(CC(O)=O)C(=O)CCl</t>
  </si>
  <si>
    <t xml:space="preserve">ATNOUPFYBMVFLD-UHFFFAOYSA-N</t>
  </si>
  <si>
    <t xml:space="preserve">549.44860</t>
  </si>
  <si>
    <t xml:space="preserve">C34H64O6</t>
  </si>
  <si>
    <t xml:space="preserve">TG(31:0)</t>
  </si>
  <si>
    <t xml:space="preserve">91989</t>
  </si>
  <si>
    <t xml:space="preserve">HMDB0071165</t>
  </si>
  <si>
    <t xml:space="preserve">131777972</t>
  </si>
  <si>
    <t xml:space="preserve">[H][C@@](COC(=O)CCCCCCC)(COC(=O)CCCCCCCCC)OC(=O)CCCCCCCCCCCC</t>
  </si>
  <si>
    <t xml:space="preserve">BHOBAXXVADYYDE-WJOKGBTCSA-N</t>
  </si>
  <si>
    <t xml:space="preserve">Triradylcglycerols</t>
  </si>
  <si>
    <t xml:space="preserve">551.20380</t>
  </si>
  <si>
    <t xml:space="preserve">C28H36O9</t>
  </si>
  <si>
    <t xml:space="preserve">Austalide A</t>
  </si>
  <si>
    <t xml:space="preserve">54864</t>
  </si>
  <si>
    <t xml:space="preserve">HMDB0030005</t>
  </si>
  <si>
    <t xml:space="preserve">86657</t>
  </si>
  <si>
    <t xml:space="preserve">5250519</t>
  </si>
  <si>
    <t xml:space="preserve">81543-01-3</t>
  </si>
  <si>
    <t xml:space="preserve">COC1=C2C(=O)OCC2=C(C)C2=C1CC1C(C)(CC(OC(C)=O)C34OC(CCC13C)(OC)OC4(C)C)O2</t>
  </si>
  <si>
    <t xml:space="preserve">JVCNHGXAVMINTN-UHFFFAOYSA-N</t>
  </si>
  <si>
    <t xml:space="preserve">552.07885</t>
  </si>
  <si>
    <t xml:space="preserve">C24H21ClFN3O7</t>
  </si>
  <si>
    <t xml:space="preserve">Mdz-glucuronide</t>
  </si>
  <si>
    <t xml:space="preserve">202709</t>
  </si>
  <si>
    <t xml:space="preserve">HMDB0247486</t>
  </si>
  <si>
    <t xml:space="preserve">14324841</t>
  </si>
  <si>
    <t xml:space="preserve">OC1C(O)C(OCC2=NC=C3CN=C(C4=CC=CC=C4F)C4=C(C=CC(Cl)=C4)N23)OC(C1O)C(O)=O</t>
  </si>
  <si>
    <t xml:space="preserve">ICIUMXQTLQXWGL-UHFFFAOYSA-N</t>
  </si>
  <si>
    <t xml:space="preserve">552.15741</t>
  </si>
  <si>
    <t xml:space="preserve">C26H27N5O7S</t>
  </si>
  <si>
    <t xml:space="preserve">Hydroxy Desmethyl Bosentan</t>
  </si>
  <si>
    <t xml:space="preserve">207616</t>
  </si>
  <si>
    <t xml:space="preserve">HMDB0253253</t>
  </si>
  <si>
    <t xml:space="preserve">6426757</t>
  </si>
  <si>
    <t xml:space="preserve">CC(C)(CO)C1=CC=C(C=C1)S(=O)(=O)NC1=C(OC2=CC=CC=C2O)C(OCCO)=NC(=N1)C1=NC=CC=N1</t>
  </si>
  <si>
    <t xml:space="preserve">JXXCMZWROOURSZ-UHFFFAOYSA-N</t>
  </si>
  <si>
    <t xml:space="preserve">552.24148</t>
  </si>
  <si>
    <t xml:space="preserve">C26H45NO7S</t>
  </si>
  <si>
    <t xml:space="preserve">Taurohyocholate; Taurocholic acid</t>
  </si>
  <si>
    <t xml:space="preserve">51430; 46743</t>
  </si>
  <si>
    <t xml:space="preserve">HMDB0011637; HMDB0000036</t>
  </si>
  <si>
    <t xml:space="preserve">; 34542</t>
  </si>
  <si>
    <t xml:space="preserve">; LMST05040001</t>
  </si>
  <si>
    <t xml:space="preserve">C15516; C05122</t>
  </si>
  <si>
    <t xml:space="preserve">; 28865</t>
  </si>
  <si>
    <t xml:space="preserve">131750644; 6675</t>
  </si>
  <si>
    <t xml:space="preserve">117997-17-8; 81-24-3</t>
  </si>
  <si>
    <t xml:space="preserve">[H][C@@]12C[C@H](O)CC[C@]1(C)C1CC[C@]3(C)C(CCC3C1[C@H](O)[C@@H]2O)[C@H](C)CCC(=O)NCCS(O)(=O)=O; [C@]12([C@H](O)C[C@]3([H])C[C@H](O)CC[C@]3(C)[C@@]1([H])C[C@H](O)[C@]1(C)[C@@]([H])([C@@](C)([H])CCC(NCCS(O)(=O)=O)=O)CC[C@@]21[H])[H]</t>
  </si>
  <si>
    <t xml:space="preserve">XSOLDPYUICCHJX-RBPXSRGGSA-N; WBWWGRHZICKQGZ-HZAMXZRMSA-N</t>
  </si>
  <si>
    <t xml:space="preserve">Steroids and steroid derivatives; Steroids and steroid derivatives</t>
  </si>
  <si>
    <t xml:space="preserve">Bile acids, alcohols and derivatives; Bile acids, alcohols and derivatives</t>
  </si>
  <si>
    <t xml:space="preserve">553.07873</t>
  </si>
  <si>
    <t xml:space="preserve">C28H20O11</t>
  </si>
  <si>
    <t xml:space="preserve">Cfda-AM</t>
  </si>
  <si>
    <t xml:space="preserve">204722</t>
  </si>
  <si>
    <t xml:space="preserve">HMDB0249841</t>
  </si>
  <si>
    <t xml:space="preserve">412828</t>
  </si>
  <si>
    <t xml:space="preserve">180237</t>
  </si>
  <si>
    <t xml:space="preserve">CC(=O)OCOC(=O)C1=CC2=C(C=C1)C1(OC2=O)C2=C(OC3=C1C=CC(OC(C)=O)=C3)C=C(OC(C)=O)C=C2</t>
  </si>
  <si>
    <t xml:space="preserve">YDBUJZYYYBVSEF-UHFFFAOYSA-N</t>
  </si>
  <si>
    <t xml:space="preserve">553.16423</t>
  </si>
  <si>
    <t xml:space="preserve">C32H28N4O3</t>
  </si>
  <si>
    <t xml:space="preserve">1-(3-Methylphenyl)-3-[(3R)-1-[2-(2-methylphenyl)-2-oxoethyl]-2-oxo-5-phenyl-3H-1,4-benzodiazepin-3-yl]urea</t>
  </si>
  <si>
    <t xml:space="preserve">200120</t>
  </si>
  <si>
    <t xml:space="preserve">HMDB0244634</t>
  </si>
  <si>
    <t xml:space="preserve">3452843</t>
  </si>
  <si>
    <t xml:space="preserve">CC1=CC(NC(=O)NC2N=C(C3=CC=CC=C3)C3=CC=CC=C3N(CC(=O)C3=CC=CC=C3C)C2=O)=CC=C1</t>
  </si>
  <si>
    <t xml:space="preserve">YCXFHPUBGMMWJQ-UHFFFAOYSA-N</t>
  </si>
  <si>
    <t xml:space="preserve">553.24798</t>
  </si>
  <si>
    <t xml:space="preserve">C28H36N4O3S</t>
  </si>
  <si>
    <t xml:space="preserve">ID14326</t>
  </si>
  <si>
    <t xml:space="preserve">82686</t>
  </si>
  <si>
    <t xml:space="preserve">HMDB0060828</t>
  </si>
  <si>
    <t xml:space="preserve">131769970</t>
  </si>
  <si>
    <t xml:space="preserve">OC1C2CCC1C1C2C(=O)N(C[C@@H]2CCCC[C@H]2CN2CCN(CC2)C2=NSC3=C2C=CC=C3)C1=O</t>
  </si>
  <si>
    <t xml:space="preserve">VKVBDORNIIAKBR-UJKUZCFGSA-N</t>
  </si>
  <si>
    <t xml:space="preserve">555.02481</t>
  </si>
  <si>
    <t xml:space="preserve">C16H16N2O20</t>
  </si>
  <si>
    <t xml:space="preserve">5-Amino-1-[carboxy(methyl)amino]pentane-1,1,2,2,3,3,4,4,5-nonacarboxylic acid</t>
  </si>
  <si>
    <t xml:space="preserve">213500</t>
  </si>
  <si>
    <t xml:space="preserve">HMDB0260380</t>
  </si>
  <si>
    <t xml:space="preserve">54001566</t>
  </si>
  <si>
    <t xml:space="preserve">CN(C(O)=O)C(C(O)=O)(C(O)=O)C(C(O)=O)(C(O)=O)C(C(O)=O)(C(O)=O)C(C(N)C(O)=O)(C(O)=O)C(O)=O</t>
  </si>
  <si>
    <t xml:space="preserve">KLZLEXIXVMJJSP-UHFFFAOYSA-N</t>
  </si>
  <si>
    <t xml:space="preserve">555.09932</t>
  </si>
  <si>
    <t xml:space="preserve">C20H22N4O10S</t>
  </si>
  <si>
    <t xml:space="preserve">cefuroxime axetil</t>
  </si>
  <si>
    <t xml:space="preserve">204676</t>
  </si>
  <si>
    <t xml:space="preserve">HMDB0249787</t>
  </si>
  <si>
    <t xml:space="preserve">3379942</t>
  </si>
  <si>
    <t xml:space="preserve">CON=C(C(=O)NC1C2SCC(COC(N)=O)=C(N2C1=O)C(=O)OC(C)OC(C)=O)C1=CC=CO1</t>
  </si>
  <si>
    <t xml:space="preserve">KEJCWVGMRLCZQQ-UHFFFAOYSA-N</t>
  </si>
  <si>
    <t xml:space="preserve">557.10533</t>
  </si>
  <si>
    <t xml:space="preserve">C30H22O11</t>
  </si>
  <si>
    <t xml:space="preserve">Deoxyrubroskyrin; Dihydromorelloflavone</t>
  </si>
  <si>
    <t xml:space="preserve">55587; 61784</t>
  </si>
  <si>
    <t xml:space="preserve">HMDB0030866; HMDB0038392</t>
  </si>
  <si>
    <t xml:space="preserve">; 93099</t>
  </si>
  <si>
    <t xml:space="preserve">; 176047</t>
  </si>
  <si>
    <t xml:space="preserve">; 11467081</t>
  </si>
  <si>
    <t xml:space="preserve">52680-04-3; </t>
  </si>
  <si>
    <t xml:space="preserve">CC1=CC(O)=C2C(=O)C3=C(O)CC(O)C4C5C(O)C(C(=O)C6=C5C(O)=C5C(=O)C(C)=CC(=O)C5=C6O)C34C(=O)C2=C1; OC1=CC=C(C=C1)C1OC2=C(C(O)=CC(O)=C2)C(=O)C1C1=C(O)C=C(O)C2=C1OC(CC2=O)C1=CC=C(O)C(O)=C1</t>
  </si>
  <si>
    <t xml:space="preserve">ZXFJPTIAJDFMNM-UHFFFAOYSA-N; IMIXFUXOSFSXPC-UHFFFAOYSA-N</t>
  </si>
  <si>
    <t xml:space="preserve">Benzenoids; Phenylpropanoids and polyketides</t>
  </si>
  <si>
    <t xml:space="preserve">Anthracenes; Flavonoids</t>
  </si>
  <si>
    <t xml:space="preserve">Anthraquinones; Biflavonoids and polyflavonoids</t>
  </si>
  <si>
    <t xml:space="preserve">559.09890</t>
  </si>
  <si>
    <t xml:space="preserve">C12H12N2O4S</t>
  </si>
  <si>
    <t xml:space="preserve">Supidimide</t>
  </si>
  <si>
    <t xml:space="preserve">212113</t>
  </si>
  <si>
    <t xml:space="preserve">HMDB0258631</t>
  </si>
  <si>
    <t xml:space="preserve">39528</t>
  </si>
  <si>
    <t xml:space="preserve">O=C1N(C2CCCNC2=O)S(=O)(=O)C2=CC=CC=C12</t>
  </si>
  <si>
    <t xml:space="preserve">QQWLXNMPPFCVCD-UHFFFAOYSA-N</t>
  </si>
  <si>
    <t xml:space="preserve">560.10564</t>
  </si>
  <si>
    <t xml:space="preserve">C24H23N5O7S</t>
  </si>
  <si>
    <t xml:space="preserve">O-Demethyl apixaban sulfate</t>
  </si>
  <si>
    <t xml:space="preserve">212850</t>
  </si>
  <si>
    <t xml:space="preserve">HMDB0259525</t>
  </si>
  <si>
    <t xml:space="preserve">91667715</t>
  </si>
  <si>
    <t xml:space="preserve">NC(=O)C1=NN(C2=C1CCN(C1=CC=C(C=C1)N1CCCCC1=O)C2=O)C1=CC=C(OS(O)(=O)=O)C=C1</t>
  </si>
  <si>
    <t xml:space="preserve">HRIFVOGTDGFZKP-UHFFFAOYSA-N</t>
  </si>
  <si>
    <t xml:space="preserve">560.22657</t>
  </si>
  <si>
    <t xml:space="preserve">C31H35N3O5S</t>
  </si>
  <si>
    <t xml:space="preserve">N-[(2S)-1-[[(E,3S)-1-(Benzenesulfonyl)-5-phenylpent-1-en-3-yl]amino]-1-oxo-3-phenylpropan-2-yl]morpholine-4-carboxamide</t>
  </si>
  <si>
    <t xml:space="preserve">204833</t>
  </si>
  <si>
    <t xml:space="preserve">HMDB0249976</t>
  </si>
  <si>
    <t xml:space="preserve">O=C(NC(CCC1=CC=CC=C1)C=CS(=O)(=O)C1=CC=CC=C1)C(CC1=CC=CC=C1)NC(=O)N1CCOCC1</t>
  </si>
  <si>
    <t xml:space="preserve">HSZIWISHLSFWJO-UHFFFAOYSA-N</t>
  </si>
  <si>
    <t xml:space="preserve">561.10999</t>
  </si>
  <si>
    <t xml:space="preserve">C25H25ClN6O4S</t>
  </si>
  <si>
    <t xml:space="preserve">Pilaralisib</t>
  </si>
  <si>
    <t xml:space="preserve">210384</t>
  </si>
  <si>
    <t xml:space="preserve">HMDB0256547</t>
  </si>
  <si>
    <t xml:space="preserve">COC1=CC=C(Cl)C(NC2=C(NS(=O)(=O)C3=CC(NC(=O)C(C)(C)N)=CC=C3)N=C3C=CC=CC3=N2)=C1</t>
  </si>
  <si>
    <t xml:space="preserve">QINPEPAQOBZPOF-UHFFFAOYSA-N</t>
  </si>
  <si>
    <t xml:space="preserve">563.33456</t>
  </si>
  <si>
    <t xml:space="preserve">C18H22N2O</t>
  </si>
  <si>
    <t xml:space="preserve">Malonoben</t>
  </si>
  <si>
    <t xml:space="preserve">56269</t>
  </si>
  <si>
    <t xml:space="preserve">HMDB0031799</t>
  </si>
  <si>
    <t xml:space="preserve">C19039</t>
  </si>
  <si>
    <t xml:space="preserve">5614</t>
  </si>
  <si>
    <t xml:space="preserve">10537-47-0</t>
  </si>
  <si>
    <t xml:space="preserve">CC(C)(C)C1=CC(C=C(C#N)C#N)=CC(=C1O)C(C)(C)C</t>
  </si>
  <si>
    <t xml:space="preserve">MZOPWQKISXCCTP-UHFFFAOYSA-N</t>
  </si>
  <si>
    <t xml:space="preserve">564.15072</t>
  </si>
  <si>
    <t xml:space="preserve">C24H27N5O9</t>
  </si>
  <si>
    <t xml:space="preserve">Gluten exorphin B4</t>
  </si>
  <si>
    <t xml:space="preserve">81834</t>
  </si>
  <si>
    <t xml:space="preserve">HMDB0059794</t>
  </si>
  <si>
    <t xml:space="preserve">131769782</t>
  </si>
  <si>
    <t xml:space="preserve">[H][C@](N)(CC1=CC=C(O)C=C1)C(=O)ONCC(=O)ONCC(=O)ON[C@@]([H])(CC1=CNC2=CC=CC=C12)C(O)=O</t>
  </si>
  <si>
    <t xml:space="preserve">WHGKXKRERBUEES-ICSRJNTNSA-N</t>
  </si>
  <si>
    <t xml:space="preserve">565.04773</t>
  </si>
  <si>
    <t xml:space="preserve">C15H24N2O17P2</t>
  </si>
  <si>
    <t xml:space="preserve">Uridine diphosphate glucose; Uridine diphosphategalactose</t>
  </si>
  <si>
    <t xml:space="preserve">46974; 46986</t>
  </si>
  <si>
    <t xml:space="preserve">HMDB0000286; HMDB0000302</t>
  </si>
  <si>
    <t xml:space="preserve">3598; 5291</t>
  </si>
  <si>
    <t xml:space="preserve">C00029; C00052</t>
  </si>
  <si>
    <t xml:space="preserve">46229; 67119</t>
  </si>
  <si>
    <t xml:space="preserve">8629; 18068</t>
  </si>
  <si>
    <t xml:space="preserve">133-89-1; 2956-16-3</t>
  </si>
  <si>
    <t xml:space="preserve">OC[C@H]1O[C@H](OP(O)(=O)OP(O)(=O)OC[C@H]2O[C@H]([C@H](O)[C@@H]2O)N2C=CC(=O)NC2=O)[C@H](O)[C@@H](O)[C@@H]1O; OC[C@H]1O[C@H](OP(O)(=O)OP(O)(=O)OC[C@H]2O[C@H]([C@H](O)[C@@H]2O)N2C=CC(=O)NC2=O)[C@H](O)[C@@H](O)[C@H]1O</t>
  </si>
  <si>
    <t xml:space="preserve">HSCJRCZFDFQWRP-JZMIEXBBSA-N; HSCJRCZFDFQWRP-ABVWGUQPSA-N</t>
  </si>
  <si>
    <t xml:space="preserve">Pyrimidine nucleotides; Pyrimidine nucleotides</t>
  </si>
  <si>
    <t xml:space="preserve">Pyrimidine nucleotide sugars; Pyrimidine nucleotide sugars</t>
  </si>
  <si>
    <t xml:space="preserve">565.44140</t>
  </si>
  <si>
    <t xml:space="preserve">C35H62O3</t>
  </si>
  <si>
    <t xml:space="preserve">Epoxymurin A</t>
  </si>
  <si>
    <t xml:space="preserve">64037</t>
  </si>
  <si>
    <t xml:space="preserve">HMDB0040920</t>
  </si>
  <si>
    <t xml:space="preserve">67012</t>
  </si>
  <si>
    <t xml:space="preserve">C08484</t>
  </si>
  <si>
    <t xml:space="preserve">5281161</t>
  </si>
  <si>
    <t xml:space="preserve">151484-64-9</t>
  </si>
  <si>
    <t xml:space="preserve">CCCCCCCCCCCC\C=C/CCC1OC1CCCCCCCCCCCCC1=CC(C)OC1=O</t>
  </si>
  <si>
    <t xml:space="preserve">BUQYQSMGNYBXDM-QOCHGBHMSA-N</t>
  </si>
  <si>
    <t xml:space="preserve">Fatty alcohols</t>
  </si>
  <si>
    <t xml:space="preserve">566.17030</t>
  </si>
  <si>
    <t xml:space="preserve">C29H29N3O7</t>
  </si>
  <si>
    <t xml:space="preserve">3-[[2-(2-Benzoyl-N-[2-[(2-methylpropan-2-yl)oxy]-2-oxoethyl]anilino)-2-oxoethyl]carbamoylamino]benzoic acid</t>
  </si>
  <si>
    <t xml:space="preserve">211115</t>
  </si>
  <si>
    <t xml:space="preserve">HMDB0257429</t>
  </si>
  <si>
    <t xml:space="preserve">9893240</t>
  </si>
  <si>
    <t xml:space="preserve">CC(C)(C)OC(=O)CN(C(=O)CNC(=O)NC1=CC=CC(=C1)C(O)=O)C1=CC=CC=C1C(=O)C1=CC=CC=C1</t>
  </si>
  <si>
    <t xml:space="preserve">LROWLFSPDIVWSD-UHFFFAOYSA-N</t>
  </si>
  <si>
    <t xml:space="preserve">567.15176</t>
  </si>
  <si>
    <t xml:space="preserve">C30H24N4O8</t>
  </si>
  <si>
    <t xml:space="preserve">Azilsartan medoxomil</t>
  </si>
  <si>
    <t xml:space="preserve">203841</t>
  </si>
  <si>
    <t xml:space="preserve">HMDB0248803</t>
  </si>
  <si>
    <t xml:space="preserve">68845</t>
  </si>
  <si>
    <t xml:space="preserve">11238823</t>
  </si>
  <si>
    <t xml:space="preserve">CCOC1=NC2=C(N1CC1=CC=C(C=C1)C1=CC=CC=C1C1=NOC(=O)N1)C(=CC=C2)C(=O)OCC1=C(C)OC(=O)O1</t>
  </si>
  <si>
    <t xml:space="preserve">QJFSABGVXDWMIW-UHFFFAOYSA-N</t>
  </si>
  <si>
    <t xml:space="preserve">570.08140</t>
  </si>
  <si>
    <t xml:space="preserve">C23H25Cl2N7O4</t>
  </si>
  <si>
    <t xml:space="preserve">N-(3,4-Dichlorophenyl)-2-{[5-(2,6-dioxo-1,3-dipropyl-2,3,6,9-tetrahydro-1H-purin-8-yl)-1-methyl-1H-pyrazol-3-yl]oxy}acetamide</t>
  </si>
  <si>
    <t xml:space="preserve">203695</t>
  </si>
  <si>
    <t xml:space="preserve">HMDB0248635</t>
  </si>
  <si>
    <t xml:space="preserve">135489238</t>
  </si>
  <si>
    <t xml:space="preserve">CCCN1C2=C(NC(=N2)C2=CC(OCC(=O)NC3=CC(Cl)=C(Cl)C=C3)=NN2C)C(=O)N(CCC)C1=O</t>
  </si>
  <si>
    <t xml:space="preserve">OESRCCUPNGDTIR-UHFFFAOYSA-N</t>
  </si>
  <si>
    <t xml:space="preserve">571.08805</t>
  </si>
  <si>
    <t xml:space="preserve">C15H10O6</t>
  </si>
  <si>
    <t xml:space="preserve">3'-Hydroxygenistein; 2'-Hydroxygenistein; Kaempferol</t>
  </si>
  <si>
    <t xml:space="preserve">29389; 29465; 30096</t>
  </si>
  <si>
    <t xml:space="preserve">HMDB0041658; HMDB0034014; HMDB0005801</t>
  </si>
  <si>
    <t xml:space="preserve">47758; 47834; 3410</t>
  </si>
  <si>
    <t xml:space="preserve">LMPK12050251; LMPK12050327; LMPK12110003</t>
  </si>
  <si>
    <t xml:space="preserve">C10510; C12134; C05903</t>
  </si>
  <si>
    <t xml:space="preserve">69437; 70031; 28499</t>
  </si>
  <si>
    <t xml:space="preserve">5281801; 5282074; 5280863</t>
  </si>
  <si>
    <t xml:space="preserve">; 1156-78-1; 520-18-3</t>
  </si>
  <si>
    <t xml:space="preserve">C1(O)=CC2OC=C(C3=CC(O)=C(O)C=C3)C(=O)C=2C(O)=C1; C1(O)=CC2OC=C(C3C=CC(O)=CC=3O)C(=O)C=2C(O)=C1; C1(O)C=C2OC(C3=CC=C(O)C=C3)=C(O)C(=O)C2=C(O)C=1</t>
  </si>
  <si>
    <t xml:space="preserve">IOYHCQBYQJQBSK-UHFFFAOYSA-N; GSSOWCUOWLMMRJ-UHFFFAOYSA-N; IYRMWMYZSQPJKC-UHFFFAOYSA-N</t>
  </si>
  <si>
    <t xml:space="preserve">Isoflavonoids; Isoflavonoids; Flavonoids</t>
  </si>
  <si>
    <t xml:space="preserve">Isoflav-2-enes; Isoflav-2-enes; Flavones</t>
  </si>
  <si>
    <t xml:space="preserve">571.28244</t>
  </si>
  <si>
    <t xml:space="preserve">C28H38N4O6</t>
  </si>
  <si>
    <t xml:space="preserve">Iganidipine; Val-Phe-Val-Tyr</t>
  </si>
  <si>
    <t xml:space="preserve">207725; 257562</t>
  </si>
  <si>
    <t xml:space="preserve">HMDB0253387; HMDB0304812</t>
  </si>
  <si>
    <t xml:space="preserve">; 20052426</t>
  </si>
  <si>
    <t xml:space="preserve">COC(=O)C1=C(C)NC(C)=C(C1C1=CC(=CC=C1)[N+]([O-])=O)C(=O)OCC(C)(C)CN1CCN(CC=C)CC1; CC(C)C(N)C(O)=NC(CC1=CC=CC=C1)C(O)=NC(C(C)C)C(O)=NC(CC1=CC=C(O)C=C1)C(O)=O</t>
  </si>
  <si>
    <t xml:space="preserve">QBTSPDQKRVMTRU-UHFFFAOYSA-N; HRJFPLCYTCOZOV-UHFFFAOYSA-N</t>
  </si>
  <si>
    <t xml:space="preserve">Pyridines and derivatives; Carboxylic acids and derivatives</t>
  </si>
  <si>
    <t xml:space="preserve">Hydropyridines; Amino acids, peptides, and analogues</t>
  </si>
  <si>
    <t xml:space="preserve">572.28479</t>
  </si>
  <si>
    <t xml:space="preserve">C31H43NO9</t>
  </si>
  <si>
    <t xml:space="preserve">Benzoylhypaconine</t>
  </si>
  <si>
    <t xml:space="preserve">204077</t>
  </si>
  <si>
    <t xml:space="preserve">HMDB0249052</t>
  </si>
  <si>
    <t xml:space="preserve">13343336</t>
  </si>
  <si>
    <t xml:space="preserve">COCC12CCC(OC)C34C5CC6(O)C(OC(=O)C7=CC=CC=C7)C5C(O)(C(C(OC)C13)C4N(C)C2)C(O)C6OC</t>
  </si>
  <si>
    <t xml:space="preserve">MDFCJNFOINXVSU-UHFFFAOYSA-N</t>
  </si>
  <si>
    <t xml:space="preserve">Diterpenoids</t>
  </si>
  <si>
    <t xml:space="preserve">573.44295</t>
  </si>
  <si>
    <t xml:space="preserve">C19H29NO</t>
  </si>
  <si>
    <t xml:space="preserve">Procyclidine</t>
  </si>
  <si>
    <t xml:space="preserve">52753</t>
  </si>
  <si>
    <t xml:space="preserve">HMDB0014531</t>
  </si>
  <si>
    <t xml:space="preserve">2119</t>
  </si>
  <si>
    <t xml:space="preserve">C07378</t>
  </si>
  <si>
    <t xml:space="preserve">8448</t>
  </si>
  <si>
    <t xml:space="preserve">4919</t>
  </si>
  <si>
    <t xml:space="preserve">77-37-2</t>
  </si>
  <si>
    <t xml:space="preserve">OC(CCN1CCCC1)(C1CCCCC1)C1=CC=CC=C1</t>
  </si>
  <si>
    <t xml:space="preserve">WYDUSKDSKCASEF-UHFFFAOYSA-N</t>
  </si>
  <si>
    <t xml:space="preserve">575.01413</t>
  </si>
  <si>
    <t xml:space="preserve">C14H8O5S</t>
  </si>
  <si>
    <t xml:space="preserve">2-Anthraquinonesulfonic acid</t>
  </si>
  <si>
    <t xml:space="preserve">200481</t>
  </si>
  <si>
    <t xml:space="preserve">HMDB0245031</t>
  </si>
  <si>
    <t xml:space="preserve">OS(=O)(=O)C1=CC2=C(C=C1)C(=O)C1=CC=CC=C1C2=O</t>
  </si>
  <si>
    <t xml:space="preserve">MMNWSHJJPDXKCH-UHFFFAOYSA-N</t>
  </si>
  <si>
    <t xml:space="preserve">Anthraquinones</t>
  </si>
  <si>
    <t xml:space="preserve">575.46673</t>
  </si>
  <si>
    <t xml:space="preserve">C34H66O5</t>
  </si>
  <si>
    <t xml:space="preserve">DG(31:0)</t>
  </si>
  <si>
    <t xml:space="preserve">10939</t>
  </si>
  <si>
    <t xml:space="preserve">HMDB0007069</t>
  </si>
  <si>
    <t xml:space="preserve">58704</t>
  </si>
  <si>
    <t xml:space="preserve">LMGL02010426</t>
  </si>
  <si>
    <t xml:space="preserve">14275229</t>
  </si>
  <si>
    <t xml:space="preserve">OC[C@]([H])(OC(CCCCCCCCCCCCCCC)=O)COC(CCCCCCCCCCCCCC)=O</t>
  </si>
  <si>
    <t xml:space="preserve">PENDWALPEZESAS-YTTGMZPUSA-N</t>
  </si>
  <si>
    <t xml:space="preserve">577.08698</t>
  </si>
  <si>
    <t xml:space="preserve">C32H24N2O6S2</t>
  </si>
  <si>
    <t xml:space="preserve">8-Anilino-5-(4-anilino-5-sulfonaphthalen-1-yl)naphthalene-1-sulfonic acid</t>
  </si>
  <si>
    <t xml:space="preserve">202428</t>
  </si>
  <si>
    <t xml:space="preserve">HMDB0247160</t>
  </si>
  <si>
    <t xml:space="preserve">123808</t>
  </si>
  <si>
    <t xml:space="preserve">OS(=O)(=O)C1=CC=CC2=C(C=CC(NC3=CC=CC=C3)=C12)C1=C2C=CC=C(C2=C(NC2=CC=CC=C2)C=C1)S(O)(=O)=O</t>
  </si>
  <si>
    <t xml:space="preserve">SBYQPEKNMQWJQO-UHFFFAOYSA-N</t>
  </si>
  <si>
    <t xml:space="preserve">Sulfonated stilbenes</t>
  </si>
  <si>
    <t xml:space="preserve">578.17391</t>
  </si>
  <si>
    <t xml:space="preserve">C32H31NO8</t>
  </si>
  <si>
    <t xml:space="preserve">Acrimarine N</t>
  </si>
  <si>
    <t xml:space="preserve">63922</t>
  </si>
  <si>
    <t xml:space="preserve">HMDB0040791</t>
  </si>
  <si>
    <t xml:space="preserve">95256</t>
  </si>
  <si>
    <t xml:space="preserve">171887</t>
  </si>
  <si>
    <t xml:space="preserve">131752938</t>
  </si>
  <si>
    <t xml:space="preserve">COC1=C(OC)C2=C(C=C1)C(=O)C1=C(O)C(C(C=C(C)C)C3=C(OC)C=C4OC(=O)C=CC4=C3)=C(OC)C=C1N2C</t>
  </si>
  <si>
    <t xml:space="preserve">DRQKNTLMXYUGTO-UHFFFAOYSA-N</t>
  </si>
  <si>
    <t xml:space="preserve">579.27610</t>
  </si>
  <si>
    <t xml:space="preserve">C31H38N2O6</t>
  </si>
  <si>
    <t xml:space="preserve">Daglutril</t>
  </si>
  <si>
    <t xml:space="preserve">205527</t>
  </si>
  <si>
    <t xml:space="preserve">HMDB0250830</t>
  </si>
  <si>
    <t xml:space="preserve">11541088</t>
  </si>
  <si>
    <t xml:space="preserve">CCOC(=O)C(CCC1=CC=CC=C1)CC1(CCCC1)C(=O)NC1CCC2=CC=CC=C2N(CC(O)=O)C1=O</t>
  </si>
  <si>
    <t xml:space="preserve">XMQODGUTLZXUGZ-UHFFFAOYSA-N</t>
  </si>
  <si>
    <t xml:space="preserve">579.33336</t>
  </si>
  <si>
    <t xml:space="preserve">C33H50O7</t>
  </si>
  <si>
    <t xml:space="preserve">Milbemycin beta2</t>
  </si>
  <si>
    <t xml:space="preserve">208806</t>
  </si>
  <si>
    <t xml:space="preserve">HMDB0254728</t>
  </si>
  <si>
    <t xml:space="preserve">CCC1OC2(CCC1C)CC1CC(CC=C(C)CC(C)C=CC=C(CO)C3(O)CC(OC)C(C)=CC3C(=O)O1)O2</t>
  </si>
  <si>
    <t xml:space="preserve">PGFGQERXTDRVHO-UHFFFAOYSA-N</t>
  </si>
  <si>
    <t xml:space="preserve">Macrolides and analogues</t>
  </si>
  <si>
    <t xml:space="preserve">Milbemycins</t>
  </si>
  <si>
    <t xml:space="preserve">581.31130</t>
  </si>
  <si>
    <t xml:space="preserve">C27H53O12P</t>
  </si>
  <si>
    <t xml:space="preserve">GPI(18:0)</t>
  </si>
  <si>
    <t xml:space="preserve">83283</t>
  </si>
  <si>
    <t xml:space="preserve">HMDB0061704</t>
  </si>
  <si>
    <t xml:space="preserve">1913287-87-2</t>
  </si>
  <si>
    <t xml:space="preserve">CCCCCCCCCCCCCCCCCC(=O)O[C@H](CO)COP(O)(=O)O[C@H]1[C@H](O)[C@@H](O)[C@H](O)[C@@H](O)[C@H]1O</t>
  </si>
  <si>
    <t xml:space="preserve">AGVRWBBFKKEVAX-CZDOQZASSA-N</t>
  </si>
  <si>
    <t xml:space="preserve">583.08634</t>
  </si>
  <si>
    <t xml:space="preserve">C30H18O10</t>
  </si>
  <si>
    <t xml:space="preserve">Hinokiflavone; Amentoflavone</t>
  </si>
  <si>
    <t xml:space="preserve">207547; 29135</t>
  </si>
  <si>
    <t xml:space="preserve">HMDB0253172; HMDB0030832</t>
  </si>
  <si>
    <t xml:space="preserve">47516; 47521</t>
  </si>
  <si>
    <t xml:space="preserve">; LMPK12040009</t>
  </si>
  <si>
    <t xml:space="preserve">C10057; C10018</t>
  </si>
  <si>
    <t xml:space="preserve">5721; 2631</t>
  </si>
  <si>
    <t xml:space="preserve">5281627; 5281600</t>
  </si>
  <si>
    <t xml:space="preserve">; 1617-53-4</t>
  </si>
  <si>
    <t xml:space="preserve">OC1=CC=C(C=C1)C1=CC(=O)C2=C(O)C(OC3=CC=C(C=C3)C3=CC(=O)C4=C(O)C=C(O)C=C4O3)=C(O)C=C2O1; C1(O)=CC2OC(C3C=CC(O)=C(C4=C(O)C=C(O)C5C(=O)C=C(C6=CC=C(O)C=C6)OC4=5)C=3)=CC(=O)C=2C(O)=C1</t>
  </si>
  <si>
    <t xml:space="preserve">WTDHMFBJQJSTMH-UHFFFAOYSA-N; YUSWMAULDXZHPY-UHFFFAOYSA-N</t>
  </si>
  <si>
    <t xml:space="preserve">Flavones; Biflavonoids and polyflavonoids</t>
  </si>
  <si>
    <t xml:space="preserve">585.06984</t>
  </si>
  <si>
    <t xml:space="preserve">C24H22O15</t>
  </si>
  <si>
    <t xml:space="preserve">Quercetin 3-(6''-malonyl-glucoside)</t>
  </si>
  <si>
    <t xml:space="preserve">60941</t>
  </si>
  <si>
    <t xml:space="preserve">HMDB0037368</t>
  </si>
  <si>
    <t xml:space="preserve">C12638</t>
  </si>
  <si>
    <t xml:space="preserve">14730813</t>
  </si>
  <si>
    <t xml:space="preserve">96862-01-0</t>
  </si>
  <si>
    <t xml:space="preserve">OC1C(O)C(COC(=O)CC(O)=O)OC(OC2=C(OC3=CC(O)=CC(O)=C3C2=O)C2=CC(O)=C(O)C=C2)C1O</t>
  </si>
  <si>
    <t xml:space="preserve">NBQPHANHNTWDML-UHFFFAOYSA-N</t>
  </si>
  <si>
    <t xml:space="preserve">585.16874</t>
  </si>
  <si>
    <t xml:space="preserve">C26H32N2O12</t>
  </si>
  <si>
    <t xml:space="preserve">SA-beta-Gal</t>
  </si>
  <si>
    <t xml:space="preserve">211118</t>
  </si>
  <si>
    <t xml:space="preserve">HMDB0257432</t>
  </si>
  <si>
    <t xml:space="preserve">OCC1OC(OC2=CC=CC=C2C=NN=CC2=CC=CC=C2OC2OC(CO)C(O)C(O)C2O)C(O)C(O)C1O</t>
  </si>
  <si>
    <t xml:space="preserve">ZGTFPSNGHZSMHL-UHFFFAOYSA-N</t>
  </si>
  <si>
    <t xml:space="preserve">585.41721</t>
  </si>
  <si>
    <t xml:space="preserve">C36H60O7</t>
  </si>
  <si>
    <t xml:space="preserve">Ginsenoside Rh3; Hebevinoside IV</t>
  </si>
  <si>
    <t xml:space="preserve">62904; 59864</t>
  </si>
  <si>
    <t xml:space="preserve">HMDB0039645; HMDB0036060</t>
  </si>
  <si>
    <t xml:space="preserve">; 91238</t>
  </si>
  <si>
    <t xml:space="preserve">131752700; 53463127</t>
  </si>
  <si>
    <t xml:space="preserve">105558-26-7; 101365-06-4</t>
  </si>
  <si>
    <t xml:space="preserve">CC(C)=CC\C=C(\C)C1CCC2(C)C1C(O)CC1C3(C)CCC(OC4OC(CO)C(O)C(O)C4O)C(C)(C)C3CCC21C; COC1C=C2C(CCC(OC3OCC(O)C(O)C3O)C2(C)C)C2(C)CCC3(C)C(C(C)CCC=C(C)C)C(O)CC3(C)C12</t>
  </si>
  <si>
    <t xml:space="preserve">PHLXREOMFNVWOH-NHDPSOOVSA-N; AKDNVAKNWZMAKY-UHFFFAOYSA-N</t>
  </si>
  <si>
    <t xml:space="preserve">Prenol lipids; Steroids and steroid derivatives</t>
  </si>
  <si>
    <t xml:space="preserve">Triterpenoids; Steroidal glycosides</t>
  </si>
  <si>
    <t xml:space="preserve">587.09133</t>
  </si>
  <si>
    <t xml:space="preserve">C13H14N2O2S2</t>
  </si>
  <si>
    <t xml:space="preserve">Wasalexin B; Wasalexin A; Methoxybrassenin B</t>
  </si>
  <si>
    <t xml:space="preserve">58742; 58739; 62003</t>
  </si>
  <si>
    <t xml:space="preserve">HMDB0034768; HMDB0034765; HMDB0038636</t>
  </si>
  <si>
    <t xml:space="preserve">90192; 90189; 93297</t>
  </si>
  <si>
    <t xml:space="preserve">174781; 174780; </t>
  </si>
  <si>
    <t xml:space="preserve">11380859; 44333108; 15145690</t>
  </si>
  <si>
    <t xml:space="preserve">; ; 142449-75-0</t>
  </si>
  <si>
    <t xml:space="preserve">CON1C(=O)\C(=C/N=C(SC)SC)C2=CC=CC=C12; CON1C(=O)\C(=C\N=C(SC)SC)C2=CC=CC=C12; CON1C=C(C(=O)N=C(SC)SC)C2=CC=CC=C12</t>
  </si>
  <si>
    <t xml:space="preserve">JJQPWCPYNJNWID-NTMALXAHSA-N; JJQPWCPYNJNWID-CSKARUKUSA-N; NFGCTENDKLNJTI-UHFFFAOYSA-N</t>
  </si>
  <si>
    <t xml:space="preserve">Indoles and derivatives; Indoles and derivatives; Indoles and derivatives</t>
  </si>
  <si>
    <t xml:space="preserve">Unclassified; Unclassified; Indolecarboxylic acids and derivatives</t>
  </si>
  <si>
    <t xml:space="preserve">587.33728</t>
  </si>
  <si>
    <t xml:space="preserve">C31H52O8</t>
  </si>
  <si>
    <t xml:space="preserve">Nonadecylresorcinol glucuronide; Cyclopassifloic acid E</t>
  </si>
  <si>
    <t xml:space="preserve">197077; 60062</t>
  </si>
  <si>
    <t xml:space="preserve">HMDB0240375; HMDB0036298</t>
  </si>
  <si>
    <t xml:space="preserve">; 91443</t>
  </si>
  <si>
    <t xml:space="preserve">; 73801614</t>
  </si>
  <si>
    <t xml:space="preserve">; 301540-74-9</t>
  </si>
  <si>
    <t xml:space="preserve">CCCCCCCCCCCCCCCCCCCC1=CC(O)=CC(O[C@@H]2O[C@@H]([C@@H](O)[C@H](O)[C@H]2O)C(O)=O)=C1; CC(C)C(O)(CO)CCC(C)(O)C1C(O)CC2(C)C3CCC4C5(CC35CCC12C)C(O)CC(O)C4(C)C(O)=O</t>
  </si>
  <si>
    <t xml:space="preserve">HNUCRFXAZFPYOT-SQQOACJHSA-N; DXAVXXNAJINCIJ-UHFFFAOYSA-N</t>
  </si>
  <si>
    <t xml:space="preserve">Organic oxygen compounds; Lipids and lipid-like molecules</t>
  </si>
  <si>
    <t xml:space="preserve">Organooxygen compounds; Steroids and steroid derivatives</t>
  </si>
  <si>
    <t xml:space="preserve">Carbohydrates and carbohydrate conjugates; Cycloartanols and derivatives</t>
  </si>
  <si>
    <t xml:space="preserve">589.10052</t>
  </si>
  <si>
    <t xml:space="preserve">C30H24O14</t>
  </si>
  <si>
    <t xml:space="preserve">Prodelphinidin A1</t>
  </si>
  <si>
    <t xml:space="preserve">60099</t>
  </si>
  <si>
    <t xml:space="preserve">HMDB0036336</t>
  </si>
  <si>
    <t xml:space="preserve">91480</t>
  </si>
  <si>
    <t xml:space="preserve">14521015</t>
  </si>
  <si>
    <t xml:space="preserve">OC1CC2=C(O)C=C3OC4(OC5=CC(O)=CC(O)=C5C(C4O)C3=C2OC1C1=CC(O)=C(O)C(O)=C1)C1=CC(O)=C(O)C(O)=C1</t>
  </si>
  <si>
    <t xml:space="preserve">SJDDGZBVGOKCKT-UHFFFAOYSA-N</t>
  </si>
  <si>
    <t xml:space="preserve">Biflavonoids and polyflavonoids</t>
  </si>
  <si>
    <t xml:space="preserve">591.03508</t>
  </si>
  <si>
    <t xml:space="preserve">C25H22BrF3N4O4S</t>
  </si>
  <si>
    <t xml:space="preserve">Saprisartan</t>
  </si>
  <si>
    <t xml:space="preserve">53507</t>
  </si>
  <si>
    <t xml:space="preserve">HMDB0015437</t>
  </si>
  <si>
    <t xml:space="preserve">85500</t>
  </si>
  <si>
    <t xml:space="preserve">198341</t>
  </si>
  <si>
    <t xml:space="preserve">60921</t>
  </si>
  <si>
    <t xml:space="preserve">146623-69-0</t>
  </si>
  <si>
    <t xml:space="preserve">CCC1=NC(C2CC2)=C(N1CC1=CC2=C(OC(=C2Br)C2=CC=CC=C2NS(=O)(=O)C(F)(F)F)C=C1)C(N)=O</t>
  </si>
  <si>
    <t xml:space="preserve">DUEWVPTZCSAMNB-UHFFFAOYSA-N</t>
  </si>
  <si>
    <t xml:space="preserve">591.45855</t>
  </si>
  <si>
    <t xml:space="preserve">C35H62O4</t>
  </si>
  <si>
    <t xml:space="preserve">Diepomuricanin A</t>
  </si>
  <si>
    <t xml:space="preserve">64038</t>
  </si>
  <si>
    <t xml:space="preserve">HMDB0040921</t>
  </si>
  <si>
    <t xml:space="preserve">95370</t>
  </si>
  <si>
    <t xml:space="preserve">73826292</t>
  </si>
  <si>
    <t xml:space="preserve">142733-57-1</t>
  </si>
  <si>
    <t xml:space="preserve">CCCCCCCCCCCCC1OC1CCC1OC1CCCCCCCCCCCCC1=CC(C)OC1=O</t>
  </si>
  <si>
    <t xml:space="preserve">MYTQYFDNFPLMAI-UHFFFAOYSA-N</t>
  </si>
  <si>
    <t xml:space="preserve">592.21619</t>
  </si>
  <si>
    <t xml:space="preserve">C27H35N5O8</t>
  </si>
  <si>
    <t xml:space="preserve">Dmg-mino</t>
  </si>
  <si>
    <t xml:space="preserve">206155</t>
  </si>
  <si>
    <t xml:space="preserve">HMDB0251539</t>
  </si>
  <si>
    <t xml:space="preserve">54716692</t>
  </si>
  <si>
    <t xml:space="preserve">CN(C)CC(=O)NC1=C(O)C2=C(CC3CC4C(N(C)C)C(=O)C(C(N)=O)=C(O)C4(O)C(=O)C3=C2O)C(=C1)N(C)C</t>
  </si>
  <si>
    <t xml:space="preserve">HZACOPMRVHUEFI-UHFFFAOYSA-N</t>
  </si>
  <si>
    <t xml:space="preserve">Tetracyclines</t>
  </si>
  <si>
    <t xml:space="preserve">593.06573</t>
  </si>
  <si>
    <t xml:space="preserve">C27H24O13</t>
  </si>
  <si>
    <t xml:space="preserve">Salvianolic acid K</t>
  </si>
  <si>
    <t xml:space="preserve">255846</t>
  </si>
  <si>
    <t xml:space="preserve">HMDB0302946</t>
  </si>
  <si>
    <t xml:space="preserve">OC(C(OC1=CC=C(\C=C\C(=O)OC(CC2=CC=C(O)C(O)=C2)C(O)=O)C=C1O)C(O)=O)C1=CC=C(O)C(O)=C1</t>
  </si>
  <si>
    <t xml:space="preserve">AZOCLKLJIKZOLF-FPYGCLRLSA-N</t>
  </si>
  <si>
    <t xml:space="preserve">Lignans, neolignans and related compounds</t>
  </si>
  <si>
    <t xml:space="preserve">595.07451</t>
  </si>
  <si>
    <t xml:space="preserve">C26H22O15</t>
  </si>
  <si>
    <t xml:space="preserve">Mangiferin 6'-gallate</t>
  </si>
  <si>
    <t xml:space="preserve">62591</t>
  </si>
  <si>
    <t xml:space="preserve">HMDB0039306</t>
  </si>
  <si>
    <t xml:space="preserve">93890</t>
  </si>
  <si>
    <t xml:space="preserve">131752602</t>
  </si>
  <si>
    <t xml:space="preserve">92631-82-8</t>
  </si>
  <si>
    <t xml:space="preserve">OC1C(O)C(COC(=O)C2=CC(O)=C(O)C(O)=C2)OC(C1O)C1=C(O)C2=C(OC3=C(C=C(O)C(O)=C3)C2=O)C=C1O</t>
  </si>
  <si>
    <t xml:space="preserve">PIAVWKNSDNBFSQ-UHFFFAOYSA-N</t>
  </si>
  <si>
    <t xml:space="preserve">595.28694</t>
  </si>
  <si>
    <t xml:space="preserve">C27H49O12P</t>
  </si>
  <si>
    <t xml:space="preserve">GPI(18:2)</t>
  </si>
  <si>
    <t xml:space="preserve">24877</t>
  </si>
  <si>
    <t xml:space="preserve">HMDB0240597</t>
  </si>
  <si>
    <t xml:space="preserve">LMGP06050010</t>
  </si>
  <si>
    <t xml:space="preserve">133077</t>
  </si>
  <si>
    <t xml:space="preserve">52928605</t>
  </si>
  <si>
    <t xml:space="preserve">1425501-10-5</t>
  </si>
  <si>
    <t xml:space="preserve">[C@]([H])(O)(COP(=O)(O)O[C@H]1[C@H](O)[C@@H](O)[C@H](O)[C@@H](O)[C@H]1O)COC(CCCCCCC/C=C\C/C=C\CCCCC)=O</t>
  </si>
  <si>
    <t xml:space="preserve">SAHCQBPGXQFTRA-MUTGBQBKSA-N</t>
  </si>
  <si>
    <t xml:space="preserve">596.27917</t>
  </si>
  <si>
    <t xml:space="preserve">C23H45N5O14</t>
  </si>
  <si>
    <t xml:space="preserve">Paromomycin</t>
  </si>
  <si>
    <t xml:space="preserve">53545</t>
  </si>
  <si>
    <t xml:space="preserve">HMDB0015490</t>
  </si>
  <si>
    <t xml:space="preserve">43301</t>
  </si>
  <si>
    <t xml:space="preserve">C00832</t>
  </si>
  <si>
    <t xml:space="preserve">7934</t>
  </si>
  <si>
    <t xml:space="preserve">165580</t>
  </si>
  <si>
    <t xml:space="preserve">1263-89-4</t>
  </si>
  <si>
    <t xml:space="preserve">NC[C@@H]1O[C@H](O[C@@H]2[C@@H](CO)O[C@@H](O[C@@H]3[C@@H](O)[C@H](N)C[C@H](N)[C@H]3O[C@H]3O[C@H](CO)[C@@H](O)[C@H](O)[C@H]3N)[C@@H]2O)[C@H](N)[C@@H](O)[C@@H]1O</t>
  </si>
  <si>
    <t xml:space="preserve">UOZODPSAJZTQNH-LSWIJEOBSA-N</t>
  </si>
  <si>
    <t xml:space="preserve">597.06395</t>
  </si>
  <si>
    <t xml:space="preserve">C23H28O14S</t>
  </si>
  <si>
    <t xml:space="preserve">Paeoniflorin sulfonate</t>
  </si>
  <si>
    <t xml:space="preserve">209967</t>
  </si>
  <si>
    <t xml:space="preserve">HMDB0256077</t>
  </si>
  <si>
    <t xml:space="preserve">CC12CC3(OS(O)(=O)=O)OC(O1)C1(COC(=O)C4=CC=CC=C4)C3CC21OC1OC(CO)C(O)C(O)C1O</t>
  </si>
  <si>
    <t xml:space="preserve">RJAGIUOUMHCXKT-UHFFFAOYSA-N</t>
  </si>
  <si>
    <t xml:space="preserve">597.29683</t>
  </si>
  <si>
    <t xml:space="preserve">C31H42N6O4</t>
  </si>
  <si>
    <t xml:space="preserve">Tandutinib</t>
  </si>
  <si>
    <t xml:space="preserve">212170</t>
  </si>
  <si>
    <t xml:space="preserve">HMDB0258709</t>
  </si>
  <si>
    <t xml:space="preserve">322740</t>
  </si>
  <si>
    <t xml:space="preserve">90237</t>
  </si>
  <si>
    <t xml:space="preserve">3038522</t>
  </si>
  <si>
    <t xml:space="preserve">COC1=C(OCCCN2CCCCC2)C=C2N=CN=C(N3CCN(CC3)C(=O)NC3=CC=C(OC(C)C)C=C3)C2=C1</t>
  </si>
  <si>
    <t xml:space="preserve">UXXQOJXBIDBUAC-UHFFFAOYSA-N</t>
  </si>
  <si>
    <t xml:space="preserve">597.35028</t>
  </si>
  <si>
    <t xml:space="preserve">C29H44N8O3</t>
  </si>
  <si>
    <t xml:space="preserve">Gilteritinib</t>
  </si>
  <si>
    <t xml:space="preserve">207161</t>
  </si>
  <si>
    <t xml:space="preserve">HMDB0252717</t>
  </si>
  <si>
    <t xml:space="preserve">145372</t>
  </si>
  <si>
    <t xml:space="preserve">CCC1=C(NC2CCOCC2)N=C(NC2=CC=C(N3CCC(CC3)N3CCN(C)CC3)C(OC)=C2)C(=N1)C(N)=O</t>
  </si>
  <si>
    <t xml:space="preserve">GYQYAJJFPNQOOW-UHFFFAOYSA-N</t>
  </si>
  <si>
    <t xml:space="preserve">597.39211</t>
  </si>
  <si>
    <t xml:space="preserve">C35H54N2O6</t>
  </si>
  <si>
    <t xml:space="preserve">3'-N-Acetyl-4'-O-(9-octadecenoyl)fusarochromanone</t>
  </si>
  <si>
    <t xml:space="preserve">61938</t>
  </si>
  <si>
    <t xml:space="preserve">HMDB0038567</t>
  </si>
  <si>
    <t xml:space="preserve">93238</t>
  </si>
  <si>
    <t xml:space="preserve">172767</t>
  </si>
  <si>
    <t xml:space="preserve">102146306</t>
  </si>
  <si>
    <t xml:space="preserve">136844-71-8</t>
  </si>
  <si>
    <t xml:space="preserve">CCCCCCCC\C=C\CCCCCCCC(=O)OCC(CC(=O)C1=CC=C2OC(C)(C)CC(=O)C2=C1N)NC(C)=O</t>
  </si>
  <si>
    <t xml:space="preserve">WJXUBXRBIJRVSJ-OUKQBFOZSA-N</t>
  </si>
  <si>
    <t xml:space="preserve">598.27878</t>
  </si>
  <si>
    <t xml:space="preserve">C31H41N5O5</t>
  </si>
  <si>
    <t xml:space="preserve">Dihydroergocornine</t>
  </si>
  <si>
    <t xml:space="preserve">205944</t>
  </si>
  <si>
    <t xml:space="preserve">HMDB0251308</t>
  </si>
  <si>
    <t xml:space="preserve">6421038</t>
  </si>
  <si>
    <t xml:space="preserve">CC(C)C1N2C(=O)C(NC(=O)C3CC4C(CC5=CNC6=CC=CC4=C56)N(C)C3)(OC2(O)C2CCCN2C1=O)C(C)C</t>
  </si>
  <si>
    <t xml:space="preserve">SEALOBQTUQIVGU-UHFFFAOYSA-N</t>
  </si>
  <si>
    <t xml:space="preserve">Ergoline and derivatives</t>
  </si>
  <si>
    <t xml:space="preserve">Lysergic acids and derivatives</t>
  </si>
  <si>
    <t xml:space="preserve">600.04980</t>
  </si>
  <si>
    <t xml:space="preserve">C22H17Cl2F6N3O3</t>
  </si>
  <si>
    <t xml:space="preserve">Fluralaner</t>
  </si>
  <si>
    <t xml:space="preserve">206896</t>
  </si>
  <si>
    <t xml:space="preserve">HMDB0252406</t>
  </si>
  <si>
    <t xml:space="preserve">25144319</t>
  </si>
  <si>
    <t xml:space="preserve">CC1=CC(=CC=C1C(=O)NCC(O)=NCC(F)(F)F)C1=NOC(C1)(C1=CC(Cl)=CC(Cl)=C1)C(F)(F)F</t>
  </si>
  <si>
    <t xml:space="preserve">MLBZKOGAMRTSKP-UHFFFAOYSA-N</t>
  </si>
  <si>
    <t xml:space="preserve">601.13331</t>
  </si>
  <si>
    <t xml:space="preserve">C27H32O13</t>
  </si>
  <si>
    <t xml:space="preserve">Cascaroside C</t>
  </si>
  <si>
    <t xml:space="preserve">59604</t>
  </si>
  <si>
    <t xml:space="preserve">HMDB0035757</t>
  </si>
  <si>
    <t xml:space="preserve">75144746</t>
  </si>
  <si>
    <t xml:space="preserve">53823-09-9</t>
  </si>
  <si>
    <t xml:space="preserve">CC1=CC2=C(C(O)=C1)C(=O)C1=C(C=CC=C1OC1OC(CO)C(O)C(O)C1O)C2C1OC(CO)C(O)C(O)C1O</t>
  </si>
  <si>
    <t xml:space="preserve">GQPFUOPPYJYZHE-UHFFFAOYSA-N</t>
  </si>
  <si>
    <t xml:space="preserve">601.41025</t>
  </si>
  <si>
    <t xml:space="preserve">C36H60O8</t>
  </si>
  <si>
    <t xml:space="preserve">Fasciculic acid A; (3b,7b,22x)-Cucurbita-5,24-diene-3,7,23-triol 7-glucoside; Soyasapogenol B 24-O-b-D-glucoside</t>
  </si>
  <si>
    <t xml:space="preserve">60193; 60683; 62794</t>
  </si>
  <si>
    <t xml:space="preserve">HMDB0036439; HMDB0037034; HMDB0039520</t>
  </si>
  <si>
    <t xml:space="preserve">; 92014; 94088</t>
  </si>
  <si>
    <t xml:space="preserve">; ; 176254</t>
  </si>
  <si>
    <t xml:space="preserve">14506480; 14807326; 14021514</t>
  </si>
  <si>
    <t xml:space="preserve">126906-00-1; ; 115334-08-2</t>
  </si>
  <si>
    <t xml:space="preserve">CC(CCC(O)C(C)(C)O)C1CCC2(C)C3=C(CCC12C)C1(C)CC(OC(=O)CC(C)(O)CC(O)=O)C(O)C(C)(C)C1CC3; CC(CC(O)C=C(C)C)C1CCC2(C)C3C(OC4OC(CO)C(O)C(O)C4O)C=C4C(CCC(O)C4(C)C)C3(C)CCC12C; CC1(C)CC(O)C2(C)CCC3(C)C(=CCC4C5(C)CCC(O)C(C)(COC6OC(CO)C(O)C(O)C6O)C5CCC34C)C2C1</t>
  </si>
  <si>
    <t xml:space="preserve">VOAJMYUEWCGJID-UHFFFAOYSA-N; POYBZOIHJHDZFP-UHFFFAOYSA-N; YTOCWWQIMKHRPX-UHFFFAOYSA-N</t>
  </si>
  <si>
    <t xml:space="preserve">Prenol lipids; Steroids and steroid derivatives; Prenol lipids</t>
  </si>
  <si>
    <t xml:space="preserve">Triterpenoids; Cucurbitacins; Terpene glycosides</t>
  </si>
  <si>
    <t xml:space="preserve">603.00152</t>
  </si>
  <si>
    <t xml:space="preserve">C8H15O6PS2</t>
  </si>
  <si>
    <t xml:space="preserve">Malathion monocarboxylic acid; O,O-Dimethyl malathion</t>
  </si>
  <si>
    <t xml:space="preserve">82505; 209793</t>
  </si>
  <si>
    <t xml:space="preserve">HMDB0060626; HMDB0255872</t>
  </si>
  <si>
    <t xml:space="preserve">3032927; </t>
  </si>
  <si>
    <t xml:space="preserve">CCOC(=O)C(CC(O)=O)SP(=S)(OC)OC; COC(=O)CC(SP(=S)(OC)OC)C(=O)OC</t>
  </si>
  <si>
    <t xml:space="preserve">FARGSBYVTRDSKX-UHFFFAOYSA-N; GADZSMZOQMSZDT-UHFFFAOYSA-N</t>
  </si>
  <si>
    <t xml:space="preserve">603.07328</t>
  </si>
  <si>
    <t xml:space="preserve">C25H26O15</t>
  </si>
  <si>
    <t xml:space="preserve">Apigenin 7-di-O-xyloside</t>
  </si>
  <si>
    <t xml:space="preserve">255713</t>
  </si>
  <si>
    <t xml:space="preserve">HMDB0302800</t>
  </si>
  <si>
    <t xml:space="preserve">O[C@H]1O[C@@H](O[C@H]2O[C@@H](OC3=CC4=C(C(O)=C3)C(=O)C=C(O4)C3=CC=C(O)C=C3)[C@H](O)[C@@H](O)[C@@H]2O)[C@H](O)[C@@H](O)[C@@H]1O</t>
  </si>
  <si>
    <t xml:space="preserve">AYWNPQYSGVEBBX-DXIOFANKSA-N</t>
  </si>
  <si>
    <t xml:space="preserve">603.36628</t>
  </si>
  <si>
    <t xml:space="preserve">C33H58O7</t>
  </si>
  <si>
    <t xml:space="preserve">Antibiotic X 14889D</t>
  </si>
  <si>
    <t xml:space="preserve">57578</t>
  </si>
  <si>
    <t xml:space="preserve">HMDB0033334</t>
  </si>
  <si>
    <t xml:space="preserve">89183</t>
  </si>
  <si>
    <t xml:space="preserve">169761</t>
  </si>
  <si>
    <t xml:space="preserve">13491361</t>
  </si>
  <si>
    <t xml:space="preserve">97671-94-8</t>
  </si>
  <si>
    <t xml:space="preserve">CCC(C1OC(C)(CC1C)C12OC(C)C(CC)(CC1C)O2)C(=O)C(C)C(O)C(C)C1OC(O)(CC)C(C)CC1C</t>
  </si>
  <si>
    <t xml:space="preserve">HTVYQCLJTJPTPF-UHFFFAOYSA-N</t>
  </si>
  <si>
    <t xml:space="preserve">Sesterterpenoids</t>
  </si>
  <si>
    <t xml:space="preserve">603.42592</t>
  </si>
  <si>
    <t xml:space="preserve">C35H58O5</t>
  </si>
  <si>
    <t xml:space="preserve">DG(32:5)</t>
  </si>
  <si>
    <t xml:space="preserve">48995</t>
  </si>
  <si>
    <t xml:space="preserve">HMDB0007048</t>
  </si>
  <si>
    <t xml:space="preserve">58683</t>
  </si>
  <si>
    <t xml:space="preserve">53477983</t>
  </si>
  <si>
    <t xml:space="preserve">[H][C@](CO)(COC(=O)CCCCCCC\C=C/CCCC)OC(=O)CCCC\C=C/C\C=C/C\C=C/C\C=C/CC</t>
  </si>
  <si>
    <t xml:space="preserve">XQJDPVVGWRYPNC-HWYSFVLZSA-N</t>
  </si>
  <si>
    <t xml:space="preserve">604.10985</t>
  </si>
  <si>
    <t xml:space="preserve">C25H25N3O8S2</t>
  </si>
  <si>
    <t xml:space="preserve">Acetic acid, 2-(4-((5-methoxy-2-(((4-methoxy-3,5-dimethyl-2-pyridinyl)methyl)sulfinyl)-1H-benzimidazol-1-yl)sulfonyl)phenoxy)-</t>
  </si>
  <si>
    <t xml:space="preserve">203219</t>
  </si>
  <si>
    <t xml:space="preserve">HMDB0248065</t>
  </si>
  <si>
    <t xml:space="preserve">9829253</t>
  </si>
  <si>
    <t xml:space="preserve">COC1=CC=C2N(C(=NC2=C1)[S+]([O-])CC1=NC=C(C)C(OC)=C1C)S(=O)(=O)C1=CC=C(OCC(O)=O)C=C1</t>
  </si>
  <si>
    <t xml:space="preserve">PPCGSVWOZKNPCX-UHFFFAOYSA-N</t>
  </si>
  <si>
    <t xml:space="preserve">Sulfinylbenzimidazoles</t>
  </si>
  <si>
    <t xml:space="preserve">605.43804</t>
  </si>
  <si>
    <t xml:space="preserve">C32H58N6O5</t>
  </si>
  <si>
    <t xml:space="preserve">Tasidotin</t>
  </si>
  <si>
    <t xml:space="preserve">212189</t>
  </si>
  <si>
    <t xml:space="preserve">HMDB0258732</t>
  </si>
  <si>
    <t xml:space="preserve">21912855</t>
  </si>
  <si>
    <t xml:space="preserve">CC(C)C(NC(=O)C(C(C)C)N(C)C)C(=O)N(C)C(C(C)C)C(=O)N1CCCC1C(=O)N1CCCC1C(=O)NC(C)(C)C</t>
  </si>
  <si>
    <t xml:space="preserve">QMCOCIWNMHBIIA-UHFFFAOYSA-N</t>
  </si>
  <si>
    <t xml:space="preserve">607.11918</t>
  </si>
  <si>
    <t xml:space="preserve">C28H28O13</t>
  </si>
  <si>
    <t xml:space="preserve">2'',4'',6''-Triacetylglycitin</t>
  </si>
  <si>
    <t xml:space="preserve">58684</t>
  </si>
  <si>
    <t xml:space="preserve">HMDB0034694</t>
  </si>
  <si>
    <t xml:space="preserve">90144</t>
  </si>
  <si>
    <t xml:space="preserve">131751611</t>
  </si>
  <si>
    <t xml:space="preserve">COC1=C(OC2OC(COC(C)=O)C(OC(C)=O)C(O)C2OC(C)=O)C=C2OC=C(C(=O)C2=C1)C1=CC=C(O)C=C1</t>
  </si>
  <si>
    <t xml:space="preserve">AAOWDCXVOOKARC-UHFFFAOYSA-N</t>
  </si>
  <si>
    <t xml:space="preserve">Isoflavonoid O-glycosides</t>
  </si>
  <si>
    <t xml:space="preserve">607.42339</t>
  </si>
  <si>
    <t xml:space="preserve">C34H58O6</t>
  </si>
  <si>
    <t xml:space="preserve">Campesterol glucoside</t>
  </si>
  <si>
    <t xml:space="preserve">256653</t>
  </si>
  <si>
    <t xml:space="preserve">HMDB0303802</t>
  </si>
  <si>
    <t xml:space="preserve">12895785</t>
  </si>
  <si>
    <t xml:space="preserve">CC(C)C(C)CCC(C)C1CCC2C3CC=C4CC(CCC4(C)C3CCC12C)OC1OC(CO)C(O)C(O)C1O</t>
  </si>
  <si>
    <t xml:space="preserve">FWNZEKQVBDXWKA-UHFFFAOYSA-N</t>
  </si>
  <si>
    <t xml:space="preserve">Steroidal glycosides</t>
  </si>
  <si>
    <t xml:space="preserve">608.10725</t>
  </si>
  <si>
    <t xml:space="preserve">C20H28N7O9PS</t>
  </si>
  <si>
    <t xml:space="preserve">Biotinyl-5'-AMP</t>
  </si>
  <si>
    <t xml:space="preserve">48260</t>
  </si>
  <si>
    <t xml:space="preserve">HMDB0004220</t>
  </si>
  <si>
    <t xml:space="preserve">C05921</t>
  </si>
  <si>
    <t xml:space="preserve">440839</t>
  </si>
  <si>
    <t xml:space="preserve">4130-20-5</t>
  </si>
  <si>
    <t xml:space="preserve">NC1=NC=NC2=C1N=CN2[C@@H]1O[C@H](COP(O)(=O)OC(=O)CCCC[C@@H]2SCC3NC(=O)NC23)[C@@H](O)[C@H]1O</t>
  </si>
  <si>
    <t xml:space="preserve">UTQCSTJVMLODHM-CFYKWCKVSA-N</t>
  </si>
  <si>
    <t xml:space="preserve">Purine ribonucleotides</t>
  </si>
  <si>
    <t xml:space="preserve">609.39337</t>
  </si>
  <si>
    <t xml:space="preserve">C37H50N6O2</t>
  </si>
  <si>
    <t xml:space="preserve">(8S,10S,13S,14S,17S)-17-[2-[4-(2,6-Dipyrrolidin-1-ylpyrimidin-4-yl)piperazin-1-yl]acetyl]-10,13-dimethyl-6,7,8,12,14,15,16,17-octahydrocyclopenta[a]phenanthren-3-one</t>
  </si>
  <si>
    <t xml:space="preserve">213258</t>
  </si>
  <si>
    <t xml:space="preserve">HMDB0260058</t>
  </si>
  <si>
    <t xml:space="preserve">5622</t>
  </si>
  <si>
    <t xml:space="preserve">CC12CC=C3C(CCC4=CC(=O)C=CC34C)C1CCC2C(=O)CN1CCN(CC1)C1=NC(=NC(=C1)N1CCCC1)N1CCCC1</t>
  </si>
  <si>
    <t xml:space="preserve">LBGLGTAQLROFTM-UHFFFAOYSA-N</t>
  </si>
  <si>
    <t xml:space="preserve">Pregnane steroids</t>
  </si>
  <si>
    <t xml:space="preserve">611.40604</t>
  </si>
  <si>
    <t xml:space="preserve">C34H63O8P</t>
  </si>
  <si>
    <t xml:space="preserve">PA(31:2)</t>
  </si>
  <si>
    <t xml:space="preserve">135374</t>
  </si>
  <si>
    <t xml:space="preserve">HMDB0115697</t>
  </si>
  <si>
    <t xml:space="preserve">131822353</t>
  </si>
  <si>
    <t xml:space="preserve">[H][C@@](COC(=O)CCCCCCCCC(C)CC)(COP(O)(O)=O)OC(=O)CCCCCCC\C=C/C=C\CCCCCC</t>
  </si>
  <si>
    <t xml:space="preserve">ADUGVOSJLDGDAQ-GPPWCDOASA-N</t>
  </si>
  <si>
    <t xml:space="preserve">616.16470</t>
  </si>
  <si>
    <t xml:space="preserve">C33H31ClF3NO3</t>
  </si>
  <si>
    <t xml:space="preserve">3-(3-(N-(2-Chloro-3-trifluoromethylbenzyl)(2,2-diphenylethyl)amino)propoxy)phenylacetic acid</t>
  </si>
  <si>
    <t xml:space="preserve">207397</t>
  </si>
  <si>
    <t xml:space="preserve">HMDB0252991</t>
  </si>
  <si>
    <t xml:space="preserve">70987</t>
  </si>
  <si>
    <t xml:space="preserve">C15631</t>
  </si>
  <si>
    <t xml:space="preserve">447905</t>
  </si>
  <si>
    <t xml:space="preserve">405911-09-3</t>
  </si>
  <si>
    <t xml:space="preserve">OC(=O)CC1=CC(OCCCN(CC(C2=CC=CC=C2)C2=CC=CC=C2)CC2=C(Cl)C(=CC=C2)C(F)(F)F)=CC=C1</t>
  </si>
  <si>
    <t xml:space="preserve">NAXSRXHZFIBFMI-UHFFFAOYSA-N</t>
  </si>
  <si>
    <t xml:space="preserve">616.28727</t>
  </si>
  <si>
    <t xml:space="preserve">C26H37N9O6</t>
  </si>
  <si>
    <t xml:space="preserve">Kinetensin 4-7</t>
  </si>
  <si>
    <t xml:space="preserve">52125</t>
  </si>
  <si>
    <t xml:space="preserve">HMDB0012986</t>
  </si>
  <si>
    <t xml:space="preserve">71351622</t>
  </si>
  <si>
    <t xml:space="preserve">138482-56-1</t>
  </si>
  <si>
    <t xml:space="preserve">N[C@@H](CCCNC(N)=N)C(=O)N[C@@H](CC1=CNC=N1)C(=O)N1CCC[C@H]1C(=O)N[C@@H](CC1=CC=C(O)C=C1)C(O)=O</t>
  </si>
  <si>
    <t xml:space="preserve">NKRLKOMBOSWILK-TUFLPTIASA-N</t>
  </si>
  <si>
    <t xml:space="preserve">617.10961</t>
  </si>
  <si>
    <t xml:space="preserve">C28H22ClF3N6O3</t>
  </si>
  <si>
    <t xml:space="preserve">Ivosidenib</t>
  </si>
  <si>
    <t xml:space="preserve">208028</t>
  </si>
  <si>
    <t xml:space="preserve">HMDB0253724</t>
  </si>
  <si>
    <t xml:space="preserve">78140854</t>
  </si>
  <si>
    <t xml:space="preserve">FC1=CN=CC(=C1)N(C(C(=O)NC1CC(F)(F)C1)C1=CC=CC=C1Cl)C(=O)C1CCC(=O)N1C1=NC=CC(=C1)C#N</t>
  </si>
  <si>
    <t xml:space="preserve">WIJZXSAJMHAVGX-UHFFFAOYSA-N</t>
  </si>
  <si>
    <t xml:space="preserve">619.35006</t>
  </si>
  <si>
    <t xml:space="preserve">C34H52O10</t>
  </si>
  <si>
    <t xml:space="preserve">Physagulin D; (1alpha,3beta,20S,22R,24S,25S)-Pubescenin</t>
  </si>
  <si>
    <t xml:space="preserve">64159; 54869</t>
  </si>
  <si>
    <t xml:space="preserve">HMDB0041049; HMDB0030011</t>
  </si>
  <si>
    <t xml:space="preserve">; 86662</t>
  </si>
  <si>
    <t xml:space="preserve">73093474; 5317377</t>
  </si>
  <si>
    <t xml:space="preserve">146713-92-0; 100217-93-4</t>
  </si>
  <si>
    <t xml:space="preserve">CC(C1CCC2C3CC=C4CC(CC(O)C4(C)C3CCC12C)OC1OC(CO)C(O)C(O)C1O)C1CC(C)=C(CO)C(=O)O1; CC(C1CCC2C3CC=C4CC(CC(O)C4(C)C3CCC12C)OC1OC(CO)C(O)C(O)C1O)C1CC2(C)OC2(C)C(=O)O1</t>
  </si>
  <si>
    <t xml:space="preserve">KRHHFPJGGBLAAH-UHFFFAOYSA-N; OVHWHMIFHTVFRU-UHFFFAOYSA-N</t>
  </si>
  <si>
    <t xml:space="preserve">Steroid lactones; Steroid lactones</t>
  </si>
  <si>
    <t xml:space="preserve">619.42011</t>
  </si>
  <si>
    <t xml:space="preserve">C35H58O6</t>
  </si>
  <si>
    <t xml:space="preserve">Stigmasteryl glucoside; Isofucosterol glucoside; alpha-Spinasterol 3-glucoside</t>
  </si>
  <si>
    <t xml:space="preserve">44306; 54659; 57959</t>
  </si>
  <si>
    <t xml:space="preserve">HMDB0034419; HMDB0029768; HMDB0033775</t>
  </si>
  <si>
    <t xml:space="preserve">; 86475; 89526</t>
  </si>
  <si>
    <t xml:space="preserve">LMST01040204; ; </t>
  </si>
  <si>
    <t xml:space="preserve">68383; ; </t>
  </si>
  <si>
    <t xml:space="preserve">6602508; 12895797; 12960498</t>
  </si>
  <si>
    <t xml:space="preserve">19716-26-8; 87678-84-0; 1745-36-4</t>
  </si>
  <si>
    <t xml:space="preserve">C1[C@H](O[C@H]2[C@H](O)[C@@H](O)[C@H](O)[C@@H](CO)O2)CC2=CC[C@@]3([H])[C@]4([H])CC[C@]([H])([C@@]([H])(/C=C/[C@@H](CC)C(C)C)C)[C@@]4(C)CC[C@]3([H])[C@@]2(C)C1; C\C=C(/CCC(C)C1CCC2C3CC=C4CC(CCC4(C)C3CCC12C)OC1OC(CO)C(O)C(O)C1O)C(C)C; CCC(\C=C\C(C)C1CCC2C3=CCC4CC(CCC4(C)C3CCC12C)OC1OC(CO)C(O)C(O)C1O)C(C)C</t>
  </si>
  <si>
    <t xml:space="preserve">VWDLOXMZIGUBKM-AUGXRQBFSA-N; FHEBKVQDISXEGI-QPJQQBGISA-N; ITYGLICZKGWOPA-CMDGGOBGSA-N</t>
  </si>
  <si>
    <t xml:space="preserve">Stigmastanes and derivatives; Stigmastanes and derivatives; Stigmastanes and derivatives</t>
  </si>
  <si>
    <t xml:space="preserve">621.34860</t>
  </si>
  <si>
    <t xml:space="preserve">C37H50O8</t>
  </si>
  <si>
    <t xml:space="preserve">3-O-Protocatechuoylceanothic acid</t>
  </si>
  <si>
    <t xml:space="preserve">54537</t>
  </si>
  <si>
    <t xml:space="preserve">HMDB0029625</t>
  </si>
  <si>
    <t xml:space="preserve">86385</t>
  </si>
  <si>
    <t xml:space="preserve">85245649</t>
  </si>
  <si>
    <t xml:space="preserve">CC(=C)C1CCC2(CCC3(C)C(CCC4C5(C)C(CCC34C)C(C)(C)C(OC(=O)C3=CC(O)=C(O)C=C3)C5C(O)=O)C12)C(O)=O</t>
  </si>
  <si>
    <t xml:space="preserve">FGJNOXMHWXEMHU-UHFFFAOYSA-N</t>
  </si>
  <si>
    <t xml:space="preserve">Triterpenoids</t>
  </si>
  <si>
    <t xml:space="preserve">621.43630</t>
  </si>
  <si>
    <t xml:space="preserve">C35H60O6</t>
  </si>
  <si>
    <t xml:space="preserve">Coriandrinol; Schottenol 3-glucoside; beta-Sitosterol 3-O-beta-D-galactopyranoside</t>
  </si>
  <si>
    <t xml:space="preserve">255513; 58258; 58096</t>
  </si>
  <si>
    <t xml:space="preserve">HMDB0302569; HMDB0034185; HMDB0033949</t>
  </si>
  <si>
    <t xml:space="preserve">; 89762; 89636</t>
  </si>
  <si>
    <t xml:space="preserve">71628; 12960489; 14135678</t>
  </si>
  <si>
    <t xml:space="preserve">; 61376-86-1; 55057-29-9</t>
  </si>
  <si>
    <t xml:space="preserve">[H][C@@](C)(CC[C@@]([H])(CC)C(C)C)C1([H])CC[C@@]2([H])[C@]3([H])CC=C4CC([H])(CC[C@]4(C)[C@@]3([H])CC[C@]12C)O[C@]1([H])O[C@]([H])(CO)[C@@]([H])(O)[C@]([H])(O)[C@@]1([H])O; CCC(CCC(C)C1CCC2C3=CCC4CC(CCC4(C)C3CCC12C)OC1OC(CO)C(O)C(O)C1O)C(C)C; CCC(CCC(C)C1CCC2C3CC=C4CC(CCC4(C)C3CCC12C)OC1OC(CO)C(O)C(O)C1O)C(C)C</t>
  </si>
  <si>
    <t xml:space="preserve">NPJICTMALKLTFW-QYDWNGEASA-N; XWPUVGRUJWXYTP-UHFFFAOYSA-N; NPJICTMALKLTFW-UHFFFAOYSA-N</t>
  </si>
  <si>
    <t xml:space="preserve">622.02117</t>
  </si>
  <si>
    <t xml:space="preserve">C14H26N3O17P3</t>
  </si>
  <si>
    <t xml:space="preserve">2-phospho-4-(cytidine 5'-diphospho)-2-C-methyl-D-erythritol</t>
  </si>
  <si>
    <t xml:space="preserve">256910</t>
  </si>
  <si>
    <t xml:space="preserve">HMDB0304084</t>
  </si>
  <si>
    <t xml:space="preserve">64015</t>
  </si>
  <si>
    <t xml:space="preserve">C11436</t>
  </si>
  <si>
    <t xml:space="preserve">16840</t>
  </si>
  <si>
    <t xml:space="preserve">443200</t>
  </si>
  <si>
    <t xml:space="preserve">[H][C@@](O)(COP(O)(=O)OP(O)(=O)OC[C@@]1([H])O[C@@]([H])(N2C=CC(=N)N=C2O)[C@]([H])(O)[C@]1([H])O)[C@](C)(CO)OP(O)(O)=O</t>
  </si>
  <si>
    <t xml:space="preserve">HTJXTKBIUVFUAR-XHIBXCGHSA-N</t>
  </si>
  <si>
    <t xml:space="preserve">Pyrimidine ribonucleotides</t>
  </si>
  <si>
    <t xml:space="preserve">623.10453</t>
  </si>
  <si>
    <t xml:space="preserve">C19H25N8O12P</t>
  </si>
  <si>
    <t xml:space="preserve">Cytidylyl-(3',5')-guanosine; [(2R,5R)-5-(2-Amino-6-oxo-1H-purin-9-yl)-3,4-dihydroxyoxolan-2-yl]methyl [(2R,5R)-5-(4-amino-2-oxopyrimidin-1-yl)-3,4-dihydroxyoxolan-2-yl]methyl hydrogen phosphate</t>
  </si>
  <si>
    <t xml:space="preserve">201059; 213364</t>
  </si>
  <si>
    <t xml:space="preserve">HMDB0245649; HMDB0260224</t>
  </si>
  <si>
    <t xml:space="preserve">135545086; </t>
  </si>
  <si>
    <t xml:space="preserve">NC1=NC2=C(N=CN2C2OC(COP(O)(=O)OC3C(CO)OC(C3O)N3C=CC(N)=NC3=O)C(O)C2O)C(=O)N1; NC1=NC2=C(N=CN2C2OC(COP(O)(=O)OCC3OC(C(O)C3O)N3C=CC(N)=NC3=O)C(O)C2O)C(=O)N1</t>
  </si>
  <si>
    <t xml:space="preserve">CTMZLDSMFCVUNX-UHFFFAOYSA-N; OEZOLYYGFFTXNK-UHFFFAOYSA-N</t>
  </si>
  <si>
    <t xml:space="preserve">(3'-&gt;5')-dinucleotides and analogues; (5'-&gt;5')-dinucleotides</t>
  </si>
  <si>
    <t xml:space="preserve">(3'-&gt;5')-dinucleotides; Unclassified</t>
  </si>
  <si>
    <t xml:space="preserve">624.06278</t>
  </si>
  <si>
    <t xml:space="preserve">C25H19F10NO4</t>
  </si>
  <si>
    <t xml:space="preserve">Benzenemethanol, 4-(1-(3,4-bis(difluoromethoxy)phenyl)-2-(3-methyl-1-oxido-4-pyridinyl)ethyl)-alpha,alpha-bis(trifluoromethyl)-</t>
  </si>
  <si>
    <t xml:space="preserve">208138</t>
  </si>
  <si>
    <t xml:space="preserve">HMDB0253861</t>
  </si>
  <si>
    <t xml:space="preserve">9916436</t>
  </si>
  <si>
    <t xml:space="preserve">CC1=C(CC(C2=CC=C(C=C2)C(O)(C(F)(F)F)C(F)(F)F)C2=CC(OC(F)F)=C(OC(F)F)C=C2)C=C[N+]([O-])=C1</t>
  </si>
  <si>
    <t xml:space="preserve">QJLFNDIEDQOREP-UHFFFAOYSA-N</t>
  </si>
  <si>
    <t xml:space="preserve">627.06206</t>
  </si>
  <si>
    <t xml:space="preserve">C27H28Cl2N4O5S</t>
  </si>
  <si>
    <t xml:space="preserve">(2R,4'R,8a'R)-1-(2-(4-(2-(2,4-Dichlorophenoxy)acetamido)phenyl)acetyl)-6'-oxotetrahydro-2'H,6'H-spiro[pyrrolidine-2,7'-pyrrolo[2,1-b][1,3]thiazine]-4'-carboxamide</t>
  </si>
  <si>
    <t xml:space="preserve">213287</t>
  </si>
  <si>
    <t xml:space="preserve">HMDB0260126</t>
  </si>
  <si>
    <t xml:space="preserve">73049151</t>
  </si>
  <si>
    <t xml:space="preserve">NC(=O)C1CCSC2CC3(CCCN3C(=O)CC3=CC=C(NC(=O)COC4=C(Cl)C=C(Cl)C=C4)C=C3)C(=O)N12</t>
  </si>
  <si>
    <t xml:space="preserve">HBLHLJXFIPCEMW-UHFFFAOYSA-N</t>
  </si>
  <si>
    <t xml:space="preserve">628.19652</t>
  </si>
  <si>
    <t xml:space="preserve">C27H37N5O10</t>
  </si>
  <si>
    <t xml:space="preserve">Mycobactins</t>
  </si>
  <si>
    <t xml:space="preserve">209016</t>
  </si>
  <si>
    <t xml:space="preserve">HMDB0254968</t>
  </si>
  <si>
    <t xml:space="preserve">3083702</t>
  </si>
  <si>
    <t xml:space="preserve">ON(CCCCCC(NC(=O)C1COC(=N1)C1=CC=CC=C1O)C(=O)OCCC(=O)NC1CCCCN(O)C1=O)C=O</t>
  </si>
  <si>
    <t xml:space="preserve">HQYXQBFMMYIDEA-UHFFFAOYSA-N</t>
  </si>
  <si>
    <t xml:space="preserve">Depsipeptides</t>
  </si>
  <si>
    <t xml:space="preserve">628.34385</t>
  </si>
  <si>
    <t xml:space="preserve">C36H49N5O6</t>
  </si>
  <si>
    <t xml:space="preserve">Nummularine A</t>
  </si>
  <si>
    <t xml:space="preserve">54305</t>
  </si>
  <si>
    <t xml:space="preserve">HMDB0029336</t>
  </si>
  <si>
    <t xml:space="preserve">C10011</t>
  </si>
  <si>
    <t xml:space="preserve">131750852</t>
  </si>
  <si>
    <t xml:space="preserve">53947-95-8</t>
  </si>
  <si>
    <t xml:space="preserve">CCC(C)C1\N=C(O)\C2C(CCN2C(=O)C(CC(C)C)\N=C(/O)C(CC2=CC=CC=C2)NC)OC2=CC=C(OC)C(=C2)\C=C\N=C1\O</t>
  </si>
  <si>
    <t xml:space="preserve">BZZQDUJJXJCFBF-BMRADRMJSA-N</t>
  </si>
  <si>
    <t xml:space="preserve">629.18680</t>
  </si>
  <si>
    <t xml:space="preserve">C30H32O12</t>
  </si>
  <si>
    <t xml:space="preserve">Benzoylpaeoniflorin</t>
  </si>
  <si>
    <t xml:space="preserve">204080</t>
  </si>
  <si>
    <t xml:space="preserve">HMDB0249055</t>
  </si>
  <si>
    <t xml:space="preserve">73157327</t>
  </si>
  <si>
    <t xml:space="preserve">CC12CC3(O)OC(O1)C1(COC(=O)C4=CC=CC=C4)C3CC21OC1OC(COC(=O)C2=CC=CC=C2)C(O)C(O)C1O</t>
  </si>
  <si>
    <t xml:space="preserve">LATYEZNGPQKAIK-UHFFFAOYSA-N</t>
  </si>
  <si>
    <t xml:space="preserve">629.47202</t>
  </si>
  <si>
    <t xml:space="preserve">C46H64O2</t>
  </si>
  <si>
    <t xml:space="preserve">Menaquinone-7</t>
  </si>
  <si>
    <t xml:space="preserve">208556</t>
  </si>
  <si>
    <t xml:space="preserve">HMDB0254436</t>
  </si>
  <si>
    <t xml:space="preserve">75038</t>
  </si>
  <si>
    <t xml:space="preserve">CC(C)=CCCC(C)=CCCC(C)=CCCC(C)=CCCC(C)=CCCC(C)=CCCC(C)=CCC1=C(C)C(=O)C2=CC=CC=C2C1=O</t>
  </si>
  <si>
    <t xml:space="preserve">RAKQPZMEYJZGPI-UHFFFAOYSA-N</t>
  </si>
  <si>
    <t xml:space="preserve">Sesquaterpenoids</t>
  </si>
  <si>
    <t xml:space="preserve">630.17833</t>
  </si>
  <si>
    <t xml:space="preserve">C30H29F2NO9</t>
  </si>
  <si>
    <t xml:space="preserve">Ezetimibe-glucuronide</t>
  </si>
  <si>
    <t xml:space="preserve">206664</t>
  </si>
  <si>
    <t xml:space="preserve">HMDB0252149</t>
  </si>
  <si>
    <t xml:space="preserve">21135140</t>
  </si>
  <si>
    <t xml:space="preserve">OC(CCC1C(N(C1=O)C1=CC=C(F)C=C1)C1=CC=C(OC2OC(C(O)C(O)C2O)C(O)=O)C=C1)C1=CC=C(F)C=C1</t>
  </si>
  <si>
    <t xml:space="preserve">UOFYCFMTERCNEW-UHFFFAOYSA-N</t>
  </si>
  <si>
    <t xml:space="preserve">632.11924</t>
  </si>
  <si>
    <t xml:space="preserve">C31H33NO7S2</t>
  </si>
  <si>
    <t xml:space="preserve">Ethyl 5-[[[4-(3-methylsulfonylphenyl)phenyl]methyl-(2,4,6-trimethylphenyl)sulfonylamino]methyl]furan-2-carboxylate</t>
  </si>
  <si>
    <t xml:space="preserve">211971</t>
  </si>
  <si>
    <t xml:space="preserve">HMDB0258462</t>
  </si>
  <si>
    <t xml:space="preserve">CCOC(=O)C1=CC=C(CN(CC2=CC=C(C=C2)C2=CC(=CC=C2)S(C)(=O)=O)S(=O)(=O)C2=C(C)C=C(C)C=C2C)O1</t>
  </si>
  <si>
    <t xml:space="preserve">HDZWHJYZJWLTAG-UHFFFAOYSA-N</t>
  </si>
  <si>
    <t xml:space="preserve">633.02516</t>
  </si>
  <si>
    <t xml:space="preserve">C6H13N3O8P2</t>
  </si>
  <si>
    <t xml:space="preserve">4-Amino-5-hydroxymethyl-2-methylpyrimidine diphosphate</t>
  </si>
  <si>
    <t xml:space="preserve">254953</t>
  </si>
  <si>
    <t xml:space="preserve">HMDB0301920</t>
  </si>
  <si>
    <t xml:space="preserve">22290169</t>
  </si>
  <si>
    <t xml:space="preserve">OP(O)(=O)OP(O)(O)=O.CC1=NC=C(CO)C(N)=N1</t>
  </si>
  <si>
    <t xml:space="preserve">PCFPIDTUHTVMCO-UHFFFAOYSA-N</t>
  </si>
  <si>
    <t xml:space="preserve">633.12146</t>
  </si>
  <si>
    <t xml:space="preserve">C31H24O12</t>
  </si>
  <si>
    <t xml:space="preserve">Kolaflavanone</t>
  </si>
  <si>
    <t xml:space="preserve">208102</t>
  </si>
  <si>
    <t xml:space="preserve">HMDB0253817</t>
  </si>
  <si>
    <t xml:space="preserve">3512640</t>
  </si>
  <si>
    <t xml:space="preserve">COC1=CC=C(C=C1O)C1OC2=C(C3C(OC4=CC(O)=CC(O)=C4C3=O)C3=CC=C(O)C=C3)C(O)=CC(O)=C2C(=O)C1O</t>
  </si>
  <si>
    <t xml:space="preserve">GJWXCPDVDRIBKP-UHFFFAOYSA-N</t>
  </si>
  <si>
    <t xml:space="preserve">637.36459</t>
  </si>
  <si>
    <t xml:space="preserve">C39H54O5</t>
  </si>
  <si>
    <t xml:space="preserve">5-Hydroxycapsanthin-5,6-epoxide; Ursolic acid (cis-3-O-hydroxycinnamoyl-); Ursolic acid (trans-3-O-hydroxycinnamoyl-)</t>
  </si>
  <si>
    <t xml:space="preserve">255417; 257511; 257512</t>
  </si>
  <si>
    <t xml:space="preserve">HMDB0302460; HMDB0304747; HMDB0304748</t>
  </si>
  <si>
    <t xml:space="preserve">; 24203732; 24203733</t>
  </si>
  <si>
    <t xml:space="preserve">O[C@H]1CC(C)(C)[C@@](C)(C1)C(=O)\C=C\C(\C)=C\C=C\C(\C)=C\C=C\C=C(/C)\C=C\C=C(/C)\C=C\C12OC1(O)C[C@@H](O)CC2(C)C; C[C@@H]1CC[C@@]2(CC[C@]3(C)C(=CC[C@@H]4[C@@]5(C)CC[C@H](OC(=O)\C=C/C6=CC=C(O)C=C6)C(C)(C)[C@@H]5CC[C@@]34C)[C@@H]2[C@H]1C)C(O)=O; C[C@@H]1CC[C@@]2(CC[C@]3(C)C(=CC[C@@H]4[C@@]5(C)CC[C@H](OC(=O)\C=C\C6=CC=C(O)C=C6)C(C)(C)[C@@H]5CC[C@@]34C)[C@@H]2[C@H]1C)C(O)=O</t>
  </si>
  <si>
    <t xml:space="preserve">MTJZYEYMGZZYQD-OPMFDOCVSA-N; ZOXDAGKKDOEJBW-HNPRZPGGSA-N; ZOXDAGKKDOEJBW-YVZDRRNJSA-N</t>
  </si>
  <si>
    <t xml:space="preserve">640.06959</t>
  </si>
  <si>
    <t xml:space="preserve">C28H27Cl2N3O7S</t>
  </si>
  <si>
    <t xml:space="preserve">Relcovaptan (SR-49059)</t>
  </si>
  <si>
    <t xml:space="preserve">211965</t>
  </si>
  <si>
    <t xml:space="preserve">HMDB0258455</t>
  </si>
  <si>
    <t xml:space="preserve">10168002</t>
  </si>
  <si>
    <t xml:space="preserve">COC1=C(OC)C=C(C=C1)S(=O)(=O)N1C(C(=O)N2CCCC2C(N)=O)C(O)(C2=C1C=CC(Cl)=C2)C1=CC=CC=C1Cl</t>
  </si>
  <si>
    <t xml:space="preserve">CEBYCSRFKCEUSW-UHFFFAOYSA-N</t>
  </si>
  <si>
    <t xml:space="preserve">640.19902</t>
  </si>
  <si>
    <t xml:space="preserve">C31H33NO11</t>
  </si>
  <si>
    <t xml:space="preserve">2-Pyrrolino-dox</t>
  </si>
  <si>
    <t xml:space="preserve">200745</t>
  </si>
  <si>
    <t xml:space="preserve">HMDB0245311</t>
  </si>
  <si>
    <t xml:space="preserve">20702649</t>
  </si>
  <si>
    <t xml:space="preserve">COC1=CC=CC2=C1C(=O)C1=C(C(O)=C3CC(O)(CC(OC4CC(C(O)C(C)O4)N4CCC=C4)C3=C1O)C(=O)CO)C2=O</t>
  </si>
  <si>
    <t xml:space="preserve">NOPNWHSMQOXAEI-UHFFFAOYSA-N</t>
  </si>
  <si>
    <t xml:space="preserve">641.17163</t>
  </si>
  <si>
    <t xml:space="preserve">C27H32O15</t>
  </si>
  <si>
    <t xml:space="preserve">Isoeriocitrin; Eriocitrin; Pinobanksin 5-[galactosyl-(1-&gt;4)-glucoside]</t>
  </si>
  <si>
    <t xml:space="preserve">34535; 48623; 61048</t>
  </si>
  <si>
    <t xml:space="preserve">HMDB0302534; HMDB0005811; HMDB0037506</t>
  </si>
  <si>
    <t xml:space="preserve">52843; ; </t>
  </si>
  <si>
    <t xml:space="preserve">LMPK12140359; ; </t>
  </si>
  <si>
    <t xml:space="preserve">C09805; C09732; C09826</t>
  </si>
  <si>
    <t xml:space="preserve">7502; ; </t>
  </si>
  <si>
    <t xml:space="preserve">114627; 22833655; 131752199</t>
  </si>
  <si>
    <t xml:space="preserve">; 13463-28-0; 91925-95-0</t>
  </si>
  <si>
    <t xml:space="preserve">C1(O[C@H]2[C@H](O[C@H]3[C@H](O)[C@H](O)[C@@H](O)[C@H](C)O3)[C@@H](O)[C@H](O)[C@@H](CO)O2)C=C2O[C@]([H])(C3C=CC(O)=C(O)C=3)CC(=O)C2=C(O)C=1; [H][C@]1(CC(=O)C2=C(C1)C=C(O[C@@H]1O[C@H](CO[C@@H]3O[C@@H](O)[C@H](O)[C@@H](O)[C@H]3O)[C@@H](O)[C@H](O)[C@H]1O)C=C2O)C1=CC=C(O)C(O)=C1; OCC1OC(OC2C(O)C(O)C(OC3=CC(O)=CC4=C3C(=O)C(O)C(O4)C3=CC=CC=C3)OC2CO)C(O)C(O)C1O</t>
  </si>
  <si>
    <t xml:space="preserve">OBKKEZLIABHSGY-DOYQYKRZSA-N; AZXIAVOSESIQNG-SCXABSQUSA-N; BEMHMJYMGFZFFQ-UHFFFAOYSA-N</t>
  </si>
  <si>
    <t xml:space="preserve">Phenylpropanoids and polyketides; Benzenoids; Phenylpropanoids and polyketides</t>
  </si>
  <si>
    <t xml:space="preserve">Flavonoids; Naphthalenes; Flavonoids</t>
  </si>
  <si>
    <t xml:space="preserve">Flavonoid glycosides; Phenylnaphthalenes; Flavonoid glycosides</t>
  </si>
  <si>
    <t xml:space="preserve">643.15479</t>
  </si>
  <si>
    <t xml:space="preserve">C32H32O12</t>
  </si>
  <si>
    <t xml:space="preserve">4-(4-Hydroxyphenyl)-2-butanone O-[2-galloyl-6-cinnamoylglucoside]</t>
  </si>
  <si>
    <t xml:space="preserve">62598</t>
  </si>
  <si>
    <t xml:space="preserve">HMDB0039313</t>
  </si>
  <si>
    <t xml:space="preserve">93897</t>
  </si>
  <si>
    <t xml:space="preserve">14345589</t>
  </si>
  <si>
    <t xml:space="preserve">105274-15-5</t>
  </si>
  <si>
    <t xml:space="preserve">CC(=O)CCC1=CC=C(OC2OC(COC(=O)\C=C\C3=CC=CC=C3)C(O)C(O)C2OC(=O)C2=CC(O)=C(O)C(O)=C2)C=C1</t>
  </si>
  <si>
    <t xml:space="preserve">AHLBWJHZDLMJOJ-SDNWHVSQSA-N</t>
  </si>
  <si>
    <t xml:space="preserve">643.26817</t>
  </si>
  <si>
    <t xml:space="preserve">C12H22N2O8</t>
  </si>
  <si>
    <t xml:space="preserve">N2-Galacturonyl-L-lysine; N6-Galacturonyl-L-lysine; Avenic acid A</t>
  </si>
  <si>
    <t xml:space="preserve">57367; 57368; 55231</t>
  </si>
  <si>
    <t xml:space="preserve">HMDB0033105; HMDB0033106; HMDB0030416</t>
  </si>
  <si>
    <t xml:space="preserve">88996; 88997; 86957</t>
  </si>
  <si>
    <t xml:space="preserve">175119; 175121; 22678</t>
  </si>
  <si>
    <t xml:space="preserve">131751373; 131751374; 16070004</t>
  </si>
  <si>
    <t xml:space="preserve">220718-56-9; 220718-57-0; 76224-57-2</t>
  </si>
  <si>
    <t xml:space="preserve">NCCCCC(NC1OC(C(O)C(O)C1O)C(O)=O)C(O)=O; NC(CCCCNC1OC(C(O)C(O)C1O)C(O)=O)C(O)=O; OCCC(NCCC(NCCC(O)C(O)=O)C(O)=O)C(O)=O</t>
  </si>
  <si>
    <t xml:space="preserve">HFIFPDNTHBGIPX-UHFFFAOYSA-N; CFQJLIHMLCPJQF-UHFFFAOYSA-N; QUKMQOBHQMWLLR-UHFFFAOYSA-N</t>
  </si>
  <si>
    <t xml:space="preserve">Organic acids and derivatives; Organic oxygen compounds; Organic acids and derivatives</t>
  </si>
  <si>
    <t xml:space="preserve">Carboxylic acids and derivatives; Organooxygen compounds; Carboxylic acids and derivatives</t>
  </si>
  <si>
    <t xml:space="preserve">Amino acids, peptides, and analogues; Carbohydrates and carbohydrate conjugates; Amino acids, peptides, and analogues</t>
  </si>
  <si>
    <t xml:space="preserve">643.35934</t>
  </si>
  <si>
    <t xml:space="preserve">C34H56O9</t>
  </si>
  <si>
    <t xml:space="preserve">TG(45:0)</t>
  </si>
  <si>
    <t xml:space="preserve">55156</t>
  </si>
  <si>
    <t xml:space="preserve">HMDB0030337</t>
  </si>
  <si>
    <t xml:space="preserve">4290702</t>
  </si>
  <si>
    <t xml:space="preserve">184777-22-8</t>
  </si>
  <si>
    <t xml:space="preserve">COC1(CCC(C)COC2OC(CO)C(O)C(O)C2O)OC2CC3C4CCC5CC(=O)CCC5(C)C4CCC3(C)C2C1C</t>
  </si>
  <si>
    <t xml:space="preserve">BDENGJXHUIIQRH-UHFFFAOYSA-N</t>
  </si>
  <si>
    <t xml:space="preserve">644.15011</t>
  </si>
  <si>
    <t xml:space="preserve">C29H27F2N7O5S</t>
  </si>
  <si>
    <t xml:space="preserve">Relugolix</t>
  </si>
  <si>
    <t xml:space="preserve">257605</t>
  </si>
  <si>
    <t xml:space="preserve">HMDB0304861</t>
  </si>
  <si>
    <t xml:space="preserve">CONC(=O)NC1=CC=C(C=C1)C1=C(CN(C)C)C2=C(S1)N(CC1=C(F)C=CC=C1F)C(=O)N(C2=O)C1=CC=C(OC)N=N1</t>
  </si>
  <si>
    <t xml:space="preserve">AOMXMOCNKJTRQP-UHFFFAOYSA-N</t>
  </si>
  <si>
    <t xml:space="preserve">N-phenylureas</t>
  </si>
  <si>
    <t xml:space="preserve">647.14404</t>
  </si>
  <si>
    <t xml:space="preserve">C29H34Cl2N6O3S2</t>
  </si>
  <si>
    <t xml:space="preserve">Avatrombopag</t>
  </si>
  <si>
    <t xml:space="preserve">203781</t>
  </si>
  <si>
    <t xml:space="preserve">HMDB0248737</t>
  </si>
  <si>
    <t xml:space="preserve">OC(=O)C1CCN(CC1)C1=C(Cl)C=C(C=N1)C(=O)NC1=NC(C2=CC(Cl)=CS2)=C(S1)N1CCN(CC1)C1CCCCC1</t>
  </si>
  <si>
    <t xml:space="preserve">OFZJKCQENFPZBH-UHFFFAOYSA-N</t>
  </si>
  <si>
    <t xml:space="preserve">651.46637</t>
  </si>
  <si>
    <t xml:space="preserve">C40H62O4</t>
  </si>
  <si>
    <t xml:space="preserve">FAHFA(O-31:15-31:15(O-10E,12Z)); FAHFA(22:6(4Z,7Z,10Z,13Z,16Z,19Z)/13-O-18:2(9Z,11E))</t>
  </si>
  <si>
    <t xml:space="preserve">8498; 8497</t>
  </si>
  <si>
    <t xml:space="preserve">HMDB0112169; HMDB0112170</t>
  </si>
  <si>
    <t xml:space="preserve">LMFA07090102; LMFA07090101</t>
  </si>
  <si>
    <t xml:space="preserve">131819630; 131819631</t>
  </si>
  <si>
    <t xml:space="preserve">C(CCCCCCC(=O)O)C(OC(CC/C=C\C/C=C\C/C=C\C/C=C\C/C=C\C/C=C\CC)=O)/C=C/C=C\CCCCC; C(=C/C=C\CCCCCCCC(=O)O)\C(OC(CC/C=C\C/C=C\C/C=C\C/C=C\C/C=C\C/C=C\CC)=O)CCCCC</t>
  </si>
  <si>
    <t xml:space="preserve">SIGOREIAIFQGQJ-HCMNWMSLSA-N; LNYAZDYWZJMASB-DHOIVBRASA-N</t>
  </si>
  <si>
    <t xml:space="preserve">652.34118</t>
  </si>
  <si>
    <t xml:space="preserve">C28H53N7O8</t>
  </si>
  <si>
    <t xml:space="preserve">Ser-Leu-Ile-Gly-Lys-Val</t>
  </si>
  <si>
    <t xml:space="preserve">204863</t>
  </si>
  <si>
    <t xml:space="preserve">HMDB0250013</t>
  </si>
  <si>
    <t xml:space="preserve">21864151</t>
  </si>
  <si>
    <t xml:space="preserve">CCC(C)C(NC(=O)C(CC(C)C)NC(=O)C(N)CO)C(=O)NCC(=O)NC(CCCCN)C(=O)NC(C(C)C)C(O)=O</t>
  </si>
  <si>
    <t xml:space="preserve">NTQVODZUQIATFS-UHFFFAOYSA-N</t>
  </si>
  <si>
    <t xml:space="preserve">653.24312</t>
  </si>
  <si>
    <t xml:space="preserve">C38H38O10</t>
  </si>
  <si>
    <t xml:space="preserve">mezerein</t>
  </si>
  <si>
    <t xml:space="preserve">208777</t>
  </si>
  <si>
    <t xml:space="preserve">HMDB0254694</t>
  </si>
  <si>
    <t xml:space="preserve">4179</t>
  </si>
  <si>
    <t xml:space="preserve">CC1C(OC(=O)C=CC=CC2=CC=CC=C2)C2(OC3(OC2C2C4OC4(CO)C(O)C4(O)C(C=C(C)C4=O)C12O3)C1=CC=CC=C1)C(C)=C</t>
  </si>
  <si>
    <t xml:space="preserve">DLEDLHFNQDHEOJ-UHFFFAOYSA-N</t>
  </si>
  <si>
    <t xml:space="preserve">654.48711</t>
  </si>
  <si>
    <t xml:space="preserve">C37H72NO7P</t>
  </si>
  <si>
    <t xml:space="preserve">PE(14:1)</t>
  </si>
  <si>
    <t xml:space="preserve">49937</t>
  </si>
  <si>
    <t xml:space="preserve">HMDB0008852</t>
  </si>
  <si>
    <t xml:space="preserve">60296</t>
  </si>
  <si>
    <t xml:space="preserve">C00350</t>
  </si>
  <si>
    <t xml:space="preserve">53479561</t>
  </si>
  <si>
    <t xml:space="preserve">[H][C@@](COC(=O)CCCCCCCCCCCCC)(COP(O)(=O)OCCN)O\C=C/CCCCCCCC\C=C/CCCCCC</t>
  </si>
  <si>
    <t xml:space="preserve">RQUHIRHPYPYBFX-AOXBWRSQSA-N</t>
  </si>
  <si>
    <t xml:space="preserve">655.09661</t>
  </si>
  <si>
    <t xml:space="preserve">C16H12N2O4S</t>
  </si>
  <si>
    <t xml:space="preserve">Sodium 6-hydroxy-5-(phenylazo)-2-naphthalenesulfoniate; Orange I; 4-[(2-Hydroxy-1-naphthalenyl)azo]benzenesulfonic acid</t>
  </si>
  <si>
    <t xml:space="preserve">57165; 57152; 61321</t>
  </si>
  <si>
    <t xml:space="preserve">HMDB0032902; HMDB0032886; HMDB0037836</t>
  </si>
  <si>
    <t xml:space="preserve">5473485; ; </t>
  </si>
  <si>
    <t xml:space="preserve">1934-20-9; 523-44-4; 573-89-7</t>
  </si>
  <si>
    <t xml:space="preserve">OS(=O)(=O)C1=CC=C2C(C=CC(=O)\C2=N\NC2=CC=CC=C2)=C1; OC1=CC=C(\N=N/C2=CC=C(C=C2)S(O)(=O)=O)C2=CC=CC=C12; OC1=C(\N=N/C2=CC=C(C=C2)S(O)(=O)=O)C2=CC=CC=C2C=C1</t>
  </si>
  <si>
    <t xml:space="preserve">RWZPEBJPWGVNIQ-FBMGVBCBSA-N; PURJGKXXWJKIQR-ZCXUNETKSA-N; RDUJRVXKAIVTDH-ZCXUNETKSA-N</t>
  </si>
  <si>
    <t xml:space="preserve">Naphthalenes; Naphthalenes; Naphthalenes</t>
  </si>
  <si>
    <t xml:space="preserve">Unclassified; Naphthols and derivatives; Naphthols and derivatives</t>
  </si>
  <si>
    <t xml:space="preserve">655.19481</t>
  </si>
  <si>
    <t xml:space="preserve">C15H21ClN2O2S</t>
  </si>
  <si>
    <t xml:space="preserve">(3-(Tert-Butoxyimino-methyl)-4-chloro-phenyl)-thiocarbamic acid, O-isopropyl ester</t>
  </si>
  <si>
    <t xml:space="preserve">212752</t>
  </si>
  <si>
    <t xml:space="preserve">HMDB0259385</t>
  </si>
  <si>
    <t xml:space="preserve">3001026</t>
  </si>
  <si>
    <t xml:space="preserve">CC(C)OC(=S)NC1=CC(C=NOC(C)(C)C)=C(Cl)C=C1</t>
  </si>
  <si>
    <t xml:space="preserve">RCXQHLSNKCYCLP-UHFFFAOYSA-N</t>
  </si>
  <si>
    <t xml:space="preserve">657.08833</t>
  </si>
  <si>
    <t xml:space="preserve">C27H26O17</t>
  </si>
  <si>
    <t xml:space="preserve">Genistein 4',7-O-diglucuronide; Apigenin 7-O-diglucuronide</t>
  </si>
  <si>
    <t xml:space="preserve">64794; 30452</t>
  </si>
  <si>
    <t xml:space="preserve">HMDB0041736; HMDB0301685</t>
  </si>
  <si>
    <t xml:space="preserve">96094; 409557</t>
  </si>
  <si>
    <t xml:space="preserve">; LMPK12110359</t>
  </si>
  <si>
    <t xml:space="preserve">101519310; 5488004</t>
  </si>
  <si>
    <t xml:space="preserve">O[C@@H]1[C@@H](O)[C@H](OC2=CC=C(C=C2)C2=COC3=C(C(O)=CC(O[C@@H]4O[C@@H]([C@@H](O)[C@H](O)[C@H]4O)C(O)=O)=C3)C2=O)O[C@@H]([C@H]1O)C(O)=O; C1(O[C@H]2[C@H](O[C@H]3[C@H](O)[C@@H](O)[C@H](O)[C@@H](C(=O)O)O3)[C@@H](O)[C@H](O)[C@@H](C(=O)O)O2)=CC2OC(C3C=CC(O)=CC=3)=CC(=O)C=2C(O)=C1</t>
  </si>
  <si>
    <t xml:space="preserve">DFJSPRNCKDBZIJ-MWBUVXCNSA-N; SJFTVAAHLRFBST-DBFWEQBMSA-N</t>
  </si>
  <si>
    <t xml:space="preserve">Isoflavonoids; Flavonoids</t>
  </si>
  <si>
    <t xml:space="preserve">Isoflavonoid O-glycosides; Flavonoid glycosides</t>
  </si>
  <si>
    <t xml:space="preserve">661.49982</t>
  </si>
  <si>
    <t xml:space="preserve">C39H68O5</t>
  </si>
  <si>
    <t xml:space="preserve">DG(36:4)</t>
  </si>
  <si>
    <t xml:space="preserve">10912</t>
  </si>
  <si>
    <t xml:space="preserve">HMDB0007031</t>
  </si>
  <si>
    <t xml:space="preserve">58666</t>
  </si>
  <si>
    <t xml:space="preserve">LMGL02010399</t>
  </si>
  <si>
    <t xml:space="preserve">88790</t>
  </si>
  <si>
    <t xml:space="preserve">53477966</t>
  </si>
  <si>
    <t xml:space="preserve">OC[C@]([H])(OC(CCCCC/C=C\C/C=C\C/C=C\C/C=C\CCCCC)=O)COC(CCCCCCCCCCCCC)=O</t>
  </si>
  <si>
    <t xml:space="preserve">RJWUOCNQTGXKIH-QILILDRISA-N</t>
  </si>
  <si>
    <t xml:space="preserve">662.28397</t>
  </si>
  <si>
    <t xml:space="preserve">C34H41N7O5</t>
  </si>
  <si>
    <t xml:space="preserve">Dabigatran etexilate</t>
  </si>
  <si>
    <t xml:space="preserve">53669</t>
  </si>
  <si>
    <t xml:space="preserve">HMDB0015641</t>
  </si>
  <si>
    <t xml:space="preserve">85565</t>
  </si>
  <si>
    <t xml:space="preserve">70746</t>
  </si>
  <si>
    <t xml:space="preserve">213023</t>
  </si>
  <si>
    <t xml:space="preserve">211915-06-9</t>
  </si>
  <si>
    <t xml:space="preserve">CCCCCCOC(=O)N=C(N)C1=CC=C(NCC2=NC3=C(C=CC(=C3)C(=O)N(CCC(=O)OCC)C3=CC=CC=N3)N2C)C=C1</t>
  </si>
  <si>
    <t xml:space="preserve">KSGXQBZTULBEEQ-UHFFFAOYSA-N</t>
  </si>
  <si>
    <t xml:space="preserve">663.50430</t>
  </si>
  <si>
    <t xml:space="preserve">C18H36O5</t>
  </si>
  <si>
    <t xml:space="preserve">Floionolic acid</t>
  </si>
  <si>
    <t xml:space="preserve">3101</t>
  </si>
  <si>
    <t xml:space="preserve">HMDB0034295</t>
  </si>
  <si>
    <t xml:space="preserve">35480</t>
  </si>
  <si>
    <t xml:space="preserve">LMFA02000147</t>
  </si>
  <si>
    <t xml:space="preserve">C19621</t>
  </si>
  <si>
    <t xml:space="preserve">133325</t>
  </si>
  <si>
    <t xml:space="preserve">5282938</t>
  </si>
  <si>
    <t xml:space="preserve">17705-68-9</t>
  </si>
  <si>
    <t xml:space="preserve">C(O)(CCCCCCCCO)C(O)CCCCCCCC(=O)O</t>
  </si>
  <si>
    <t xml:space="preserve">OISFHODBOQNZAG-UHFFFAOYSA-N</t>
  </si>
  <si>
    <t xml:space="preserve">664.29720</t>
  </si>
  <si>
    <t xml:space="preserve">C33H47NO13</t>
  </si>
  <si>
    <t xml:space="preserve">Natamycin</t>
  </si>
  <si>
    <t xml:space="preserve">53106</t>
  </si>
  <si>
    <t xml:space="preserve">HMDB0014964</t>
  </si>
  <si>
    <t xml:space="preserve">C08073</t>
  </si>
  <si>
    <t xml:space="preserve">7488</t>
  </si>
  <si>
    <t xml:space="preserve">5281099</t>
  </si>
  <si>
    <t xml:space="preserve">7681-93-8</t>
  </si>
  <si>
    <t xml:space="preserve">C[C@H]1OC(O[C@@H]2C[C@@H]3O[C@@](O)(C[C@H](O)[C@H]3C(O)=O)C[C@@H](O)C[C@H]3O[C@@H]3\C=C\C(=O)O[C@H](C)C\C=C\C=C\C=C\C=C\2)[C@@H](O)[C@@H](N)[C@@H]1O</t>
  </si>
  <si>
    <t xml:space="preserve">NCXMLFZGDNKEPB-BQGNJOPGSA-N</t>
  </si>
  <si>
    <t xml:space="preserve">665.15120</t>
  </si>
  <si>
    <t xml:space="preserve">C29H39Cl2FN4O4S</t>
  </si>
  <si>
    <t xml:space="preserve">Ambamustine</t>
  </si>
  <si>
    <t xml:space="preserve">203389</t>
  </si>
  <si>
    <t xml:space="preserve">HMDB0248278</t>
  </si>
  <si>
    <t xml:space="preserve">10439408</t>
  </si>
  <si>
    <t xml:space="preserve">CCOC(=O)C(CCSC)NC(=O)C(CC1=CC(=CC=C1)N(CCCl)CCCl)NC(=O)C(N)CC1=CC=C(F)C=C1</t>
  </si>
  <si>
    <t xml:space="preserve">XPGDODOEEWLHOI-UHFFFAOYSA-N</t>
  </si>
  <si>
    <t xml:space="preserve">665.46440</t>
  </si>
  <si>
    <t xml:space="preserve">C37H64O7</t>
  </si>
  <si>
    <t xml:space="preserve">Mosinone A</t>
  </si>
  <si>
    <t xml:space="preserve">55829</t>
  </si>
  <si>
    <t xml:space="preserve">HMDB0031228</t>
  </si>
  <si>
    <t xml:space="preserve">87507</t>
  </si>
  <si>
    <t xml:space="preserve">171685</t>
  </si>
  <si>
    <t xml:space="preserve">131751150</t>
  </si>
  <si>
    <t xml:space="preserve">191800-47-2</t>
  </si>
  <si>
    <t xml:space="preserve">CCCCCCCCCC\C=C/CCC(O)C1CCC(O1)C(O)CCCCCC(=O)CCCCC1CC(CC(C)=O)C(=O)O1</t>
  </si>
  <si>
    <t xml:space="preserve">MEZMFFSHBLPWKU-SEYXRHQNSA-N</t>
  </si>
  <si>
    <t xml:space="preserve">669.44861</t>
  </si>
  <si>
    <t xml:space="preserve">C37H67O8P</t>
  </si>
  <si>
    <t xml:space="preserve">Phosphatidate(34:3)</t>
  </si>
  <si>
    <t xml:space="preserve">134881</t>
  </si>
  <si>
    <t xml:space="preserve">HMDB0114784</t>
  </si>
  <si>
    <t xml:space="preserve">131821864</t>
  </si>
  <si>
    <t xml:space="preserve">[H][C@@](COC(=O)CCCCCCCCCCCCC)(COP(O)(O)=O)OC(=O)CCC\C=C/C\C=C/C\C=C/CCCCCCCC</t>
  </si>
  <si>
    <t xml:space="preserve">NVBMOVTUZNFKEL-FFUHTYBESA-N</t>
  </si>
  <si>
    <t xml:space="preserve">670.07302</t>
  </si>
  <si>
    <t xml:space="preserve">C26H17ClF9N3O3</t>
  </si>
  <si>
    <t xml:space="preserve">Afoxolaner</t>
  </si>
  <si>
    <t xml:space="preserve">203203</t>
  </si>
  <si>
    <t xml:space="preserve">HMDB0248047</t>
  </si>
  <si>
    <t xml:space="preserve">25154249</t>
  </si>
  <si>
    <t xml:space="preserve">OC(CNC(=O)C1=CC=C(C2=NOC(C2)(C2=CC(=CC(Cl)=C2)C(F)(F)F)C(F)(F)F)C2=CC=CC=C12)=NCC(F)(F)F</t>
  </si>
  <si>
    <t xml:space="preserve">OXDDDHGGRFRLEE-UHFFFAOYSA-N</t>
  </si>
  <si>
    <t xml:space="preserve">Naphthalenecarboxylic acids and derivatives</t>
  </si>
  <si>
    <t xml:space="preserve">670.46246</t>
  </si>
  <si>
    <t xml:space="preserve">C34H70NO7P</t>
  </si>
  <si>
    <t xml:space="preserve">LysoPC(26:0); 1-Hexadecyl-2-tridecanoyl-glycero-3-phosphoethanolamine</t>
  </si>
  <si>
    <t xml:space="preserve">54194; 210069</t>
  </si>
  <si>
    <t xml:space="preserve">HMDB0029205; HMDB0256191</t>
  </si>
  <si>
    <t xml:space="preserve">131750810; 75957893</t>
  </si>
  <si>
    <t xml:space="preserve">[H][C@@](O)(COC(=O)CCCCCCCCCCCCCCCCCCCCCCCCC)COP([O-])(=O)OCC[N+](C)(C)C; CCCCCCCCCCCCCCCCOCC(COP(O)(=O)OCCN)OC(=O)CCCCCCCCCCCC</t>
  </si>
  <si>
    <t xml:space="preserve">WSDKRPCAPHRNNZ-MGBGTMOVSA-N; NDIULWDDKANRGE-UHFFFAOYSA-N</t>
  </si>
  <si>
    <t xml:space="preserve">Glycerophosphocholines; Glycerophosphoethanolamines</t>
  </si>
  <si>
    <t xml:space="preserve">671.46389</t>
  </si>
  <si>
    <t xml:space="preserve">C37H69O8P</t>
  </si>
  <si>
    <t xml:space="preserve">PA(34:2)</t>
  </si>
  <si>
    <t xml:space="preserve">24926</t>
  </si>
  <si>
    <t xml:space="preserve">HMDB0007860</t>
  </si>
  <si>
    <t xml:space="preserve">40921</t>
  </si>
  <si>
    <t xml:space="preserve">LMGP10010023</t>
  </si>
  <si>
    <t xml:space="preserve">C00416</t>
  </si>
  <si>
    <t xml:space="preserve">73259</t>
  </si>
  <si>
    <t xml:space="preserve">9547167</t>
  </si>
  <si>
    <t xml:space="preserve">[C@](COP(=O)(O)O)([H])(OC(CCCCCCC/C=C\C/C=C\CCCCC)=O)COC(CCCCCCCCCCCCCCC)=O</t>
  </si>
  <si>
    <t xml:space="preserve">YQMUIZXKIKXZHD-UMKNCJEQSA-N</t>
  </si>
  <si>
    <t xml:space="preserve">675.14198</t>
  </si>
  <si>
    <t xml:space="preserve">C20H31N4O17P</t>
  </si>
  <si>
    <t xml:space="preserve">CMP-N-glycoloylneuraminate</t>
  </si>
  <si>
    <t xml:space="preserve">51904</t>
  </si>
  <si>
    <t xml:space="preserve">HMDB0012206</t>
  </si>
  <si>
    <t xml:space="preserve">62854</t>
  </si>
  <si>
    <t xml:space="preserve">C03691</t>
  </si>
  <si>
    <t xml:space="preserve">18098</t>
  </si>
  <si>
    <t xml:space="preserve">53481387</t>
  </si>
  <si>
    <t xml:space="preserve">98300-80-2</t>
  </si>
  <si>
    <t xml:space="preserve">NC1=NC(=O)N(C=C1)[C@@H]1O[C@H](COP(O)(=O)OC[C@H](O)[C@H](O)[C@@H]2O[C@@](O)(C[C@H](O)C2NC(=O)CO)C(O)=O)[C@@H](O)[C@H]1O</t>
  </si>
  <si>
    <t xml:space="preserve">AOOQVSNKZOZOHI-LBTQWYOJSA-N</t>
  </si>
  <si>
    <t xml:space="preserve">675.21020</t>
  </si>
  <si>
    <t xml:space="preserve">C16H19FN2O3S</t>
  </si>
  <si>
    <t xml:space="preserve">Tilmacoxib</t>
  </si>
  <si>
    <t xml:space="preserve">212510</t>
  </si>
  <si>
    <t xml:space="preserve">HMDB0259094</t>
  </si>
  <si>
    <t xml:space="preserve">329577</t>
  </si>
  <si>
    <t xml:space="preserve">73041</t>
  </si>
  <si>
    <t xml:space="preserve">159271</t>
  </si>
  <si>
    <t xml:space="preserve">CC1=NC(C2CCCCC2)=C(O1)C1=CC(F)=C(C=C1)S(N)(=O)=O</t>
  </si>
  <si>
    <t xml:space="preserve">MIMJSJSRRDZIPW-UHFFFAOYSA-N</t>
  </si>
  <si>
    <t xml:space="preserve">676.17697</t>
  </si>
  <si>
    <t xml:space="preserve">C27H37N9O7S3</t>
  </si>
  <si>
    <t xml:space="preserve">Cefotiam hexetil</t>
  </si>
  <si>
    <t xml:space="preserve">204661</t>
  </si>
  <si>
    <t xml:space="preserve">HMDB0249770</t>
  </si>
  <si>
    <t xml:space="preserve">2636</t>
  </si>
  <si>
    <t xml:space="preserve">CC(OC(=O)OC1CCCCC1)OC(=O)C1=C(CSC2=NN=NN2CCN(C)C)CSC2C(NC(=O)CC3=CSC(N)=N3)C(=O)N12</t>
  </si>
  <si>
    <t xml:space="preserve">VVFDMWZLBPUKTD-UHFFFAOYSA-N</t>
  </si>
  <si>
    <t xml:space="preserve">681.15827</t>
  </si>
  <si>
    <t xml:space="preserve">C19H16ClNO3</t>
  </si>
  <si>
    <t xml:space="preserve">Alkaloid A6; 6-Chloro-5-(4-(1-hydroxycyclobutyl)phenyl)-1H-indole-3-carboxylic acid</t>
  </si>
  <si>
    <t xml:space="preserve">64347; 200132</t>
  </si>
  <si>
    <t xml:space="preserve">HMDB0041247; HMDB0244646</t>
  </si>
  <si>
    <t xml:space="preserve">95665; </t>
  </si>
  <si>
    <t xml:space="preserve">131753084; 71748255</t>
  </si>
  <si>
    <t xml:space="preserve">142741-38-6; </t>
  </si>
  <si>
    <t xml:space="preserve">CN1C2=CC=CC=C2C(=O)C2=C1C1=C(OC(C1)C(=C)CCl)C=C2O; OC(=O)C1=CNC2=CC(Cl)=C(C=C12)C1=CC=C(C=C1)C1(O)CCC1</t>
  </si>
  <si>
    <t xml:space="preserve">WVAGDJQCWBNFRK-UHFFFAOYSA-N; FHQXLWCFSUSXBF-UHFFFAOYSA-N</t>
  </si>
  <si>
    <t xml:space="preserve">Quinolines and derivatives; Indoles and derivatives</t>
  </si>
  <si>
    <t xml:space="preserve">Benzoquinolines; Indolecarboxylic acids and derivatives</t>
  </si>
  <si>
    <t xml:space="preserve">682.17032</t>
  </si>
  <si>
    <t xml:space="preserve">C30H25F10NO3</t>
  </si>
  <si>
    <t xml:space="preserve">Anacetrapib</t>
  </si>
  <si>
    <t xml:space="preserve">203483</t>
  </si>
  <si>
    <t xml:space="preserve">HMDB0248376</t>
  </si>
  <si>
    <t xml:space="preserve">49849451</t>
  </si>
  <si>
    <t xml:space="preserve">COC1=CC(F)=C(C=C1C1=C(CN2C(C)C(OC2=O)C2=CC(=CC(=C2)C(F)(F)F)C(F)(F)F)C=C(C=C1)C(F)(F)F)C(C)C</t>
  </si>
  <si>
    <t xml:space="preserve">MZZLGJHLQGUVPN-UHFFFAOYSA-N</t>
  </si>
  <si>
    <t xml:space="preserve">683.47405</t>
  </si>
  <si>
    <t xml:space="preserve">C19H34O5</t>
  </si>
  <si>
    <t xml:space="preserve">2,3-Dinor-TXB1; 13-Hydroxy-9-methoxy-10-oxo-11-octadecenoic acid</t>
  </si>
  <si>
    <t xml:space="preserve">200842; 3242</t>
  </si>
  <si>
    <t xml:space="preserve">HMDB0245413; HMDB0040901</t>
  </si>
  <si>
    <t xml:space="preserve">; 95353</t>
  </si>
  <si>
    <t xml:space="preserve">; LMFA02000288</t>
  </si>
  <si>
    <t xml:space="preserve">53394492; 6366720</t>
  </si>
  <si>
    <t xml:space="preserve">; 150147-08-3</t>
  </si>
  <si>
    <t xml:space="preserve">CCCCCC(O)C=CC1CC(O)CC(O)C1CCCCC(O)=O; CCCCCC(O)/C=C/C(C(OC)CCCCCCCC(O)=O)=O</t>
  </si>
  <si>
    <t xml:space="preserve">URVGHNOQCRQJTD-UHFFFAOYSA-N; VFSWPXFUIZSPGW-CCEZHUSRSA-N</t>
  </si>
  <si>
    <t xml:space="preserve">Fatty acids and conjugates; Lineolic acids and derivatives</t>
  </si>
  <si>
    <t xml:space="preserve">684.07908</t>
  </si>
  <si>
    <t xml:space="preserve">C21H27N7O14P2</t>
  </si>
  <si>
    <t xml:space="preserve">NAD</t>
  </si>
  <si>
    <t xml:space="preserve">47288</t>
  </si>
  <si>
    <t xml:space="preserve">HMDB0000902</t>
  </si>
  <si>
    <t xml:space="preserve">101</t>
  </si>
  <si>
    <t xml:space="preserve">C00003</t>
  </si>
  <si>
    <t xml:space="preserve">44215</t>
  </si>
  <si>
    <t xml:space="preserve">5892</t>
  </si>
  <si>
    <t xml:space="preserve">53-84-9</t>
  </si>
  <si>
    <t xml:space="preserve">NC(=O)C1=C[N+](=CC=C1)[C@@H]1O[C@H](COP([O-])(=O)OP(O)(=O)OC[C@H]2O[C@H]([C@H](O)[C@@H]2O)N2C=NC3=C2N=CN=C3N)[C@@H](O)[C@H]1O</t>
  </si>
  <si>
    <t xml:space="preserve">BAWFJGJZGIEFAR-NNYOXOHSSA-N</t>
  </si>
  <si>
    <t xml:space="preserve">(5'-&gt;5')-dinucleotides</t>
  </si>
  <si>
    <t xml:space="preserve">684.22490</t>
  </si>
  <si>
    <t xml:space="preserve">C37H33N7O8</t>
  </si>
  <si>
    <t xml:space="preserve">Antibiotic CC 1065</t>
  </si>
  <si>
    <t xml:space="preserve">203563</t>
  </si>
  <si>
    <t xml:space="preserve">HMDB0248478</t>
  </si>
  <si>
    <t xml:space="preserve">136855990</t>
  </si>
  <si>
    <t xml:space="preserve">COC1=C2NC(=CC2=C2CCN(C(N)=O)C2=C1O)C(=O)N1CCC2=C3C=C(NC3=C(OC)C(O)=C12)C(=O)N1CC2CC22C1=CC(=O)C1=C2C(C)=CN1</t>
  </si>
  <si>
    <t xml:space="preserve">UOWVMDUEMSNCAV-UHFFFAOYSA-N</t>
  </si>
  <si>
    <t xml:space="preserve">686.47493</t>
  </si>
  <si>
    <t xml:space="preserve">C37H70NO8P</t>
  </si>
  <si>
    <t xml:space="preserve">PE(32:2)</t>
  </si>
  <si>
    <t xml:space="preserve">20935</t>
  </si>
  <si>
    <t xml:space="preserve">HMDB0008829</t>
  </si>
  <si>
    <t xml:space="preserve">60273</t>
  </si>
  <si>
    <t xml:space="preserve">LMGP02011246</t>
  </si>
  <si>
    <t xml:space="preserve">52924943</t>
  </si>
  <si>
    <t xml:space="preserve">[C@](COP(=O)(O)OCCN)([H])(OC(CCCCCCC/C=C\C/C=C\CCCCC)=O)COC(CCCCCCCCCCCCC)=O</t>
  </si>
  <si>
    <t xml:space="preserve">HMARMWSETGYKDK-AOGVJQIJSA-N</t>
  </si>
  <si>
    <t xml:space="preserve">687.46915</t>
  </si>
  <si>
    <t xml:space="preserve">C22H32O3</t>
  </si>
  <si>
    <t xml:space="preserve">Medroxyprogesterone; Testosterone Propionate; Medrysone</t>
  </si>
  <si>
    <t xml:space="preserve">45045; 44933; 52651</t>
  </si>
  <si>
    <t xml:space="preserve">HMDB0001939; HMDB0015489; HMDB0014398</t>
  </si>
  <si>
    <t xml:space="preserve">1094; 2783; 43589</t>
  </si>
  <si>
    <t xml:space="preserve">LMST02030176; LMST02020076; </t>
  </si>
  <si>
    <t xml:space="preserve">C07119; C08158; C14643</t>
  </si>
  <si>
    <t xml:space="preserve">6715; 290629; 775124</t>
  </si>
  <si>
    <t xml:space="preserve">10631; 5995; 247839</t>
  </si>
  <si>
    <t xml:space="preserve">520-85-4; 57-85-2; 2668-66-8</t>
  </si>
  <si>
    <t xml:space="preserve">C1C[C@@](C(=O)C)(O)[C@@]2(C)CC[C@]3([H])[C@@]4(C)CCC(=O)C=C4[C@@H](C)C[C@@]3([H])[C@@]21[H]; [C@]12([H])CC[C@]3(C)[C@H](CC[C@@]3([H])[C@]1([H])CCC1=CC(CC[C@]21C)=O)OC(=O)CC; [H][C@@]12CC[C@H](C(C)=O)[C@@]1(C)C[C@H](O)[C@@]1([H])[C@@]2([H])C[C@H](C)C2=CC(=O)CC[C@]12C</t>
  </si>
  <si>
    <t xml:space="preserve">FRQMUZJSZHZSGN-HBNHAYAOSA-N; PDMMFKSKQVNJMI-BLQWBTBKSA-N; GZENKSODFLBBHQ-ILSZZQPISA-N</t>
  </si>
  <si>
    <t xml:space="preserve">Pregnane steroids; Steroid esters; Pregnane steroids</t>
  </si>
  <si>
    <t xml:space="preserve">690.19124</t>
  </si>
  <si>
    <t xml:space="preserve">C33H38Cl3N3O4</t>
  </si>
  <si>
    <t xml:space="preserve">3-Piperidinecarboxamide, N-((2-chloro-5-(2-methoxyethyl)phenyl)methyl)-N-cyclopropyl-4-(6-(2-(2,6-dichloro-4-methylphenoxy)ethoxy)-3-pyridinyl)-, (3R,4S)-</t>
  </si>
  <si>
    <t xml:space="preserve">213392</t>
  </si>
  <si>
    <t xml:space="preserve">HMDB0260256</t>
  </si>
  <si>
    <t xml:space="preserve">70930132</t>
  </si>
  <si>
    <t xml:space="preserve">COCCC1=CC(CN(C2CC2)C(=O)C2CNCCC2C2=CN=C(OCCOC3=C(Cl)C=C(C)C=C3Cl)C=C2)=C(Cl)C=C1</t>
  </si>
  <si>
    <t xml:space="preserve">PGSRKJVMAOWDEC-UHFFFAOYSA-N</t>
  </si>
  <si>
    <t xml:space="preserve">691.17659</t>
  </si>
  <si>
    <t xml:space="preserve">C34H38O13</t>
  </si>
  <si>
    <t xml:space="preserve">silvestrol</t>
  </si>
  <si>
    <t xml:space="preserve">211844</t>
  </si>
  <si>
    <t xml:space="preserve">HMDB0258292</t>
  </si>
  <si>
    <t xml:space="preserve">21301152</t>
  </si>
  <si>
    <t xml:space="preserve">COC1OCC(OC1OC1=CC(OC)=C2C(OC3(C(C(C(O)C23O)C(=O)OC)C2=CC=CC=C2)C2=CC=C(OC)C=C2)=C1)C(O)CO</t>
  </si>
  <si>
    <t xml:space="preserve">GVKXFVCXBFGBCD-UHFFFAOYSA-N</t>
  </si>
  <si>
    <t xml:space="preserve">Flavaglines</t>
  </si>
  <si>
    <t xml:space="preserve">693.20015</t>
  </si>
  <si>
    <t xml:space="preserve">C32H38O17</t>
  </si>
  <si>
    <t xml:space="preserve">Neocuscutoside C; Sucrose 1',4'-(4,4'-dihydroxy-3,3'-dimethoxy-b-truxinate); Sesaminol glucosyl-(1-&gt;2)-glucoside</t>
  </si>
  <si>
    <t xml:space="preserve">64674; 60633; 64311</t>
  </si>
  <si>
    <t xml:space="preserve">HMDB0041599; HMDB0036978; HMDB0041210</t>
  </si>
  <si>
    <t xml:space="preserve">95975; 91966; 95630</t>
  </si>
  <si>
    <t xml:space="preserve">169147; ; </t>
  </si>
  <si>
    <t xml:space="preserve">131801689; 131752122; 85328110</t>
  </si>
  <si>
    <t xml:space="preserve">; ; 157469-82-4</t>
  </si>
  <si>
    <t xml:space="preserve">OCC1OC(OCC2OC(OC3=CC4=C(OCO4)C=C3C3OCC4C3COC4C3=CC4=C(OCO4)C=C3)C(O)C(O)C2O)C(O)C(O)C1O; COC1=CC(=CC=C1O)C1C(C2C1C(=O)OCC1(OC3OC(CO)C(O)C(O)C3O)OC(CO)C(OC2=O)C1O)C1=CC(OC)=C(O)C=C1; OCC1OC(OC2C(O)C(O)C(CO)OC2OC2=CC3=C(OCO3)C=C2C2OCC3C2COC3C2=CC3=C(OCO3)C=C2)C(O)C(O)C1O</t>
  </si>
  <si>
    <t xml:space="preserve">YIGQNWGFLQZODP-UHFFFAOYSA-N; TVWBWDIJOLFFCK-UHFFFAOYSA-N; TUTPGZDOPYRLSX-UHFFFAOYSA-N</t>
  </si>
  <si>
    <t xml:space="preserve">Lignans, neolignans and related compounds; Phenylpropanoids and polyketides; Lignans, neolignans and related compounds</t>
  </si>
  <si>
    <t xml:space="preserve">Lignan glycosides; Stilbenes; Lignan glycosides</t>
  </si>
  <si>
    <t xml:space="preserve">Unclassified; Stilbene glycosides; Unclassified</t>
  </si>
  <si>
    <t xml:space="preserve">694.45085</t>
  </si>
  <si>
    <t xml:space="preserve">C38H66NO8P</t>
  </si>
  <si>
    <t xml:space="preserve">MMPE(32:5)</t>
  </si>
  <si>
    <t xml:space="preserve">133106</t>
  </si>
  <si>
    <t xml:space="preserve">HMDB0113003</t>
  </si>
  <si>
    <t xml:space="preserve">131820118</t>
  </si>
  <si>
    <t xml:space="preserve">[H]C(COC(=O)CCCCCCC\C=C/CCCC)(COP(O)(=O)OCCNC)OC(=O)CCCC\C=C/C\C=C/C\C=C/C\C=C/CC</t>
  </si>
  <si>
    <t xml:space="preserve">FVZZXDNFWNITTR-RIFJRAMJSA-N</t>
  </si>
  <si>
    <t xml:space="preserve">695.28272</t>
  </si>
  <si>
    <t xml:space="preserve">C36H44N4O8</t>
  </si>
  <si>
    <t xml:space="preserve">Coproporphyrinogen I; Coproporphyrinogen III</t>
  </si>
  <si>
    <t xml:space="preserve">47833; 47478</t>
  </si>
  <si>
    <t xml:space="preserve">HMDB0002158; HMDB0001261</t>
  </si>
  <si>
    <t xml:space="preserve">63930; 462618</t>
  </si>
  <si>
    <t xml:space="preserve">C05768; C03263</t>
  </si>
  <si>
    <t xml:space="preserve">28607; 15439</t>
  </si>
  <si>
    <t xml:space="preserve">440776; 321</t>
  </si>
  <si>
    <t xml:space="preserve">31110-56-2; 2624-63-7</t>
  </si>
  <si>
    <t xml:space="preserve">CC1=C2CC3=C(CCC(O)=O)C(C)=C(CC4=C(CCC(O)=O)C(C)=C(CC5=C(CCC(O)=O)C(C)=C(CC(N2)=C1CCC(O)=O)N5)N4)N3; CC1=C2CC3=C(C)C(CCC(O)=O)=C(CC4=C(CCC(O)=O)C(C)=C(CC5=C(CCC(O)=O)C(C)=C(CC(N2)=C1CCC(O)=O)N5)N4)N3</t>
  </si>
  <si>
    <t xml:space="preserve">WIUGGJKHYQIGNH-UHFFFAOYSA-N; NIUVHXTXUXOFEB-UHFFFAOYSA-N</t>
  </si>
  <si>
    <t xml:space="preserve">Tetrapyrroles and derivatives; Tetrapyrroles and derivatives</t>
  </si>
  <si>
    <t xml:space="preserve">Porphyrins; Porphyrins</t>
  </si>
  <si>
    <t xml:space="preserve">695.46499</t>
  </si>
  <si>
    <t xml:space="preserve">C39H69O8P</t>
  </si>
  <si>
    <t xml:space="preserve">1,2-Di-(9Z,12Z-octadecadienoyl)-sn-glycero-3-phosphate; Phosphatidate(36:4); PA(36:4)</t>
  </si>
  <si>
    <t xml:space="preserve">55719; 25005; 24928</t>
  </si>
  <si>
    <t xml:space="preserve">HMDB0031092; HMDB0114790; HMDB0114841</t>
  </si>
  <si>
    <t xml:space="preserve">; 81272; 40922</t>
  </si>
  <si>
    <t xml:space="preserve">; LMGP10010106; LMGP10010025</t>
  </si>
  <si>
    <t xml:space="preserve">; ; 73262</t>
  </si>
  <si>
    <t xml:space="preserve">12894949; 52928699; 9547168</t>
  </si>
  <si>
    <t xml:space="preserve">13397-95-0; ; </t>
  </si>
  <si>
    <t xml:space="preserve">CCCCC\C=C\C\C=C\CCCCCCCC(=O)OCC(COP(O)(O)=O)OC(=O)CCCCCCC\C=C\C\C=C\CCCCC; [C@](COP(=O)(O)O)([H])(OC(CCCCC/C=C\C/C=C\C/C=C\C/C=C\CCCCC)=O)COC(CCCCCCCCCCCCC)=O; [C@](COP(=O)(O)O)([H])(OC(CCC/C=C\C/C=C\C/C=C\C/C=C\CCCCC)=O)COC(CCCCCCCCCCCCCCC)=O</t>
  </si>
  <si>
    <t xml:space="preserve">OBXRDFNCKFWKNY-WVZYQCMWSA-N; IFFSRUXPTALKJN-KSWWOFDNSA-N; SPYWWYSOADUXOQ-YABMZCMSSA-N</t>
  </si>
  <si>
    <t xml:space="preserve">Glycerophosphates; Glycerophosphates; Glycerophosphates</t>
  </si>
  <si>
    <t xml:space="preserve">697.47705</t>
  </si>
  <si>
    <t xml:space="preserve">C39H71O8P</t>
  </si>
  <si>
    <t xml:space="preserve">PA(36:3); Phosphatidate(36:3)</t>
  </si>
  <si>
    <t xml:space="preserve">25804; 25033</t>
  </si>
  <si>
    <t xml:space="preserve">HMDB0115511; HMDB0114805</t>
  </si>
  <si>
    <t xml:space="preserve">82071; 81300</t>
  </si>
  <si>
    <t xml:space="preserve">LMGP10010905; LMGP10010134</t>
  </si>
  <si>
    <t xml:space="preserve">52929495; 52928727</t>
  </si>
  <si>
    <t xml:space="preserve">[C@](COP(=O)(O)O)([H])(OC(CCCCCC/C=C\C/C=C\C/C=C\CCCCC)=O)COC(CCCCCCCCCCCCCCC)=O; [C@](COP(=O)(O)O)([H])(OC(CCCCCCCCCCC/C=C\C/C=C\CCCCC)=O)COC(CCCCCCC/C=C\CCCC)=O</t>
  </si>
  <si>
    <t xml:space="preserve">CGADDCLTVOZDQQ-QNKWBPIESA-N; URUVXHGRYHVJHP-RGWCGLOOSA-N</t>
  </si>
  <si>
    <t xml:space="preserve">Glycerophosphates; Glycerophosphates</t>
  </si>
  <si>
    <t xml:space="preserve">700.48700</t>
  </si>
  <si>
    <t xml:space="preserve">C38H72NO8P</t>
  </si>
  <si>
    <t xml:space="preserve">PE(33:2); PC(30:2)</t>
  </si>
  <si>
    <t xml:space="preserve">20921; 18644</t>
  </si>
  <si>
    <t xml:space="preserve">HMDB0008895; HMDB0007903</t>
  </si>
  <si>
    <t xml:space="preserve">60338; 59353</t>
  </si>
  <si>
    <t xml:space="preserve">LMGP02011232; LMGP01011385</t>
  </si>
  <si>
    <t xml:space="preserve">C00350; C00157</t>
  </si>
  <si>
    <t xml:space="preserve">; 88908</t>
  </si>
  <si>
    <t xml:space="preserve">52924929; 52922252</t>
  </si>
  <si>
    <t xml:space="preserve">[C@](COP(=O)(O)OCCN)([H])(OC(CCCCCCC/C=C\C/C=C\CCCCC)=O)COC(CCCCCCCCCCCCCC)=O; [C@](COP(=O)([O-])OCC[N+](C)(C)C)([H])(OC(CCCCCCC/C=C\CCCCCC)=O)COC(CCCCCCC/C=C\CCCC)=O</t>
  </si>
  <si>
    <t xml:space="preserve">QAXAIGXHZKFJPP-QYTRANCOSA-N; RUTXZOOOUKHIRR-KQGJYXFZSA-N</t>
  </si>
  <si>
    <t xml:space="preserve">701.17539</t>
  </si>
  <si>
    <t xml:space="preserve">C42H32O9</t>
  </si>
  <si>
    <t xml:space="preserve">Viniferol D; cis-Miyabenol C</t>
  </si>
  <si>
    <t xml:space="preserve">203465; 64637</t>
  </si>
  <si>
    <t xml:space="preserve">HMDB0248357; HMDB0041555</t>
  </si>
  <si>
    <t xml:space="preserve">; 95937</t>
  </si>
  <si>
    <t xml:space="preserve">182979; 5388319</t>
  </si>
  <si>
    <t xml:space="preserve">; 168037-22-7</t>
  </si>
  <si>
    <t xml:space="preserve">OC1=CC=C(C=C1)C1OC2=CC(O)=C3C(C(C4C(C5=CC=C(O)C=C5)C5=C(O)C=C(O)C=C5C1C2=C34)C1=CC(O)=CC(O)=C1)C1=CC=C(O)C=C1; OC1=CC=C(\C=C\C2=CC(O)=CC3=C2C(C(O3)C2=CC=C(O)C=C2)C2=C3C(C(OC3=CC(O)=C2)C2=CC=C(O)C=C2)C2=CC(O)=CC(O)=C2)C=C1</t>
  </si>
  <si>
    <t xml:space="preserve">QDEHKEFWCRAFDN-UHFFFAOYSA-N; RKFYYCKIHVEWHX-DAFODLJHSA-N</t>
  </si>
  <si>
    <t xml:space="preserve">2-arylbenzofuran flavonoids; 2-arylbenzofuran flavonoids</t>
  </si>
  <si>
    <t xml:space="preserve">701.44820</t>
  </si>
  <si>
    <t xml:space="preserve">C41H69O8P</t>
  </si>
  <si>
    <t xml:space="preserve">Phosphatidate(38:6); PA(38:6)</t>
  </si>
  <si>
    <t xml:space="preserve">134910; 24937</t>
  </si>
  <si>
    <t xml:space="preserve">HMDB0114868; HMDB0114849</t>
  </si>
  <si>
    <t xml:space="preserve">; 40934</t>
  </si>
  <si>
    <t xml:space="preserve">; LMGP10010038</t>
  </si>
  <si>
    <t xml:space="preserve">; 83785</t>
  </si>
  <si>
    <t xml:space="preserve">131821893; 24779561</t>
  </si>
  <si>
    <t xml:space="preserve">[H][C@@](COC(=O)CCCCCCC\C=C/CCCCCC)(COP(O)(O)=O)OC(=O)CC\C=C/C\C=C/C\C=C/C\C=C/C\C=C/CCCCC; [C@](COP(=O)(O)O)([H])(OC(CC/C=C\C/C=C\C/C=C\C/C=C\C/C=C\C/C=C\CC)=O)COC(CCCCCCCCCCCCCCC)=O</t>
  </si>
  <si>
    <t xml:space="preserve">WPZKQBJCLKCPAC-MGJHLWAVSA-N; NXXSEGVRTTVEEI-QPKMWZFCSA-N</t>
  </si>
  <si>
    <t xml:space="preserve">702.17991</t>
  </si>
  <si>
    <t xml:space="preserve">C36H31F2N5O4S</t>
  </si>
  <si>
    <t xml:space="preserve">Sufugolix</t>
  </si>
  <si>
    <t xml:space="preserve">212052</t>
  </si>
  <si>
    <t xml:space="preserve">HMDB0258564</t>
  </si>
  <si>
    <t xml:space="preserve">CONC(=O)NC1=CC=C(C=C1)C1=C(CN(C)CC2=CC=CC=C2)C2=C(S1)N(CC1=C(F)C=CC=C1F)C(=O)N(C2=O)C1=CC=CC=C1</t>
  </si>
  <si>
    <t xml:space="preserve">UCQSBGOFELXYIN-UHFFFAOYSA-N</t>
  </si>
  <si>
    <t xml:space="preserve">703.23392</t>
  </si>
  <si>
    <t xml:space="preserve">C35H38Cl2N8O4</t>
  </si>
  <si>
    <t xml:space="preserve">Hyphanox; Itraconazole</t>
  </si>
  <si>
    <t xml:space="preserve">207665; 53384</t>
  </si>
  <si>
    <t xml:space="preserve">HMDB0253309; HMDB0015298</t>
  </si>
  <si>
    <t xml:space="preserve">; 6076</t>
  </si>
  <si>
    <t xml:space="preserve">; 55283</t>
  </si>
  <si>
    <t xml:space="preserve">; 84625-61-6</t>
  </si>
  <si>
    <t xml:space="preserve">CCC(C)N1N=CN(C1=O)C1=CC=C(C=C1)N1CCN(CC1)C1=CC=C(OCC2COC(CN3C=NC=N3)(O2)C2=C(Cl)C=C(Cl)C=C2)C=C1; CCC(C)N1N=CN(C1=O)C1=CC=C(C=C1)N1CCN(CC1)C1=CC=C(OC[C@H]2CO[C@@](CN3C=NC=N3)(O2)C2=C(Cl)C=C(Cl)C=C2)C=C1</t>
  </si>
  <si>
    <t xml:space="preserve">VHVPQPYKVGDNFY-UHFFFAOYSA-N; VHVPQPYKVGDNFY-ZPGVKDDISA-N</t>
  </si>
  <si>
    <t xml:space="preserve">Diazinanes; Diazinanes</t>
  </si>
  <si>
    <t xml:space="preserve">Piperazines; Piperazines</t>
  </si>
  <si>
    <t xml:space="preserve">703.45304</t>
  </si>
  <si>
    <t xml:space="preserve">C37H69O10P</t>
  </si>
  <si>
    <t xml:space="preserve">PG(31:2)</t>
  </si>
  <si>
    <t xml:space="preserve">136292</t>
  </si>
  <si>
    <t xml:space="preserve">HMDB0116637</t>
  </si>
  <si>
    <t xml:space="preserve">131823270</t>
  </si>
  <si>
    <t xml:space="preserve">[H][C@](O)(CO)COP(O)(=O)OC[C@@]([H])(COC(=O)CCCCCCCCC(C)CC)OC(=O)CCCCCCC\C=C/C=C\CCCCCC</t>
  </si>
  <si>
    <t xml:space="preserve">LMKGFPWGPGBBHF-FVQFVYKESA-N</t>
  </si>
  <si>
    <t xml:space="preserve">Glycerophosphoglycerols</t>
  </si>
  <si>
    <t xml:space="preserve">707.18281</t>
  </si>
  <si>
    <t xml:space="preserve">C32H38O19</t>
  </si>
  <si>
    <t xml:space="preserve">Camelliaside B; Kaempferol 3-(2G-apiosylrobinobioside); Isoschaftoside 4'-glucoside</t>
  </si>
  <si>
    <t xml:space="preserve">62125; 63014; 63998</t>
  </si>
  <si>
    <t xml:space="preserve">HMDB0038767; HMDB0039759; HMDB0040875</t>
  </si>
  <si>
    <t xml:space="preserve">; 94310; 95329</t>
  </si>
  <si>
    <t xml:space="preserve">131752461; 5465152; 74977488</t>
  </si>
  <si>
    <t xml:space="preserve">131573-90-5; 132185-73-0; 151922-19-9</t>
  </si>
  <si>
    <t xml:space="preserve">CC1OC(OCC2OC(OC3=C(OC4=CC(O)=CC(O)=C4C3=O)C3=CC=C(O)C=C3)C(OC3OCC(O)C(O)C3O)C(O)C2O)C(O)C(O)C1O; CC1OC(OCC2OC(OC3=C(OC4=CC(O)=CC(O)=C4C3=O)C3=CC=C(O)C=C3)C(OC3OCC(O)(CO)C3O)C(O)C2O)C(O)C(O)C1O; OCC1OC(OC2=CC=C(C=C2)C2=CC(=O)C3=C(O)C(C4OCC(O)C(O)C4O)=C(O)C(C4OC(CO)C(O)C(O)C4O)=C3O2)C(O)C(O)C1O</t>
  </si>
  <si>
    <t xml:space="preserve">LLPRITPJQPQXIR-UHFFFAOYSA-N; PXDYLXHBUIPSMK-UHFFFAOYSA-N; JUJNPKAGUBZERG-UHFFFAOYSA-N</t>
  </si>
  <si>
    <t xml:space="preserve">Flavonoid glycosides; Flavonoid glycosides; Flavonoid glycosides</t>
  </si>
  <si>
    <t xml:space="preserve">707.46135</t>
  </si>
  <si>
    <t xml:space="preserve">C41H68O7</t>
  </si>
  <si>
    <t xml:space="preserve">DG(MonoMe/MonoMe)</t>
  </si>
  <si>
    <t xml:space="preserve">136066</t>
  </si>
  <si>
    <t xml:space="preserve">HMDB0116389</t>
  </si>
  <si>
    <t xml:space="preserve">[H][C@](CO)(COC(=O)CCCCCCCCCCC1=C(C)C=C(CCC)O1)OC(=O)CCCCCCCCCCC1=C(C)C=C(CCC)O1</t>
  </si>
  <si>
    <t xml:space="preserve">LNNGXOUFQYCYDI-QNGWXLTQSA-N</t>
  </si>
  <si>
    <t xml:space="preserve">709.18824</t>
  </si>
  <si>
    <t xml:space="preserve">C34H40O14</t>
  </si>
  <si>
    <t xml:space="preserve">Perforin A; Myricanol 5-(6-galloylglucoside)</t>
  </si>
  <si>
    <t xml:space="preserve">210204; 60244</t>
  </si>
  <si>
    <t xml:space="preserve">HMDB0256338; HMDB0036526</t>
  </si>
  <si>
    <t xml:space="preserve">; 91621</t>
  </si>
  <si>
    <t xml:space="preserve">; 14031379</t>
  </si>
  <si>
    <t xml:space="preserve">; 113204-18-5</t>
  </si>
  <si>
    <t xml:space="preserve">CC(=O)OC1C(OC(C)=O)C2(C)C(OC(=O)C3OC23C2(C)C(OC(C)=O)C(OC(C)=O)C3C(C)(C=CC(=O)OC3(C)C)C12)C1=COC=C1; COC1=C(OC2OC(COC(=O)C3=CC(O)=C(O)C(O)=C3)C(O)C(O)C2O)C2=CC(=C1OC)C1=C(O)C=CC(CCC(O)CCCC2)=C1</t>
  </si>
  <si>
    <t xml:space="preserve">MFTJTVBEGOKYTQ-UHFFFAOYSA-N; PXTKHOHAJHGCKB-UHFFFAOYSA-N</t>
  </si>
  <si>
    <t xml:space="preserve">Prenol lipids; Diarylheptanoids</t>
  </si>
  <si>
    <t xml:space="preserve">Triterpenoids; Cyclic diarylheptanoids</t>
  </si>
  <si>
    <t xml:space="preserve">709.47390</t>
  </si>
  <si>
    <t xml:space="preserve">C37H73N2O6P</t>
  </si>
  <si>
    <t xml:space="preserve">SM(d18:2(4E,14Z)/14:0); SM(32:2)</t>
  </si>
  <si>
    <t xml:space="preserve">39614; 197245</t>
  </si>
  <si>
    <t xml:space="preserve">HMDB0240637; HMDB0240612</t>
  </si>
  <si>
    <t xml:space="preserve">83736; </t>
  </si>
  <si>
    <t xml:space="preserve">LMSP03010034; </t>
  </si>
  <si>
    <t xml:space="preserve">52931131; </t>
  </si>
  <si>
    <t xml:space="preserve">2292199-25-6; 222403-65-8</t>
  </si>
  <si>
    <t xml:space="preserve">[C@](COP(=O)([O-])OCC[N+](C)(C)C)([H])(NC(CCCCCCCCCCCCC)=O)[C@]([H])(O)/C=C/CCCCCCCC/C=C\CCC; [H][C@@](COP([O-])(=O)OCC[N+](C)(C)C)(NC(=O)CCCCCCC\C=C/CCCC)[C@H](O)\C=C\CCCCCCCCCCCCC</t>
  </si>
  <si>
    <t xml:space="preserve">PEJGMBUENJSLLH-RHAKMSQVSA-N; SOWIKWJDPCEPOJ-IOBGKIDWSA-N</t>
  </si>
  <si>
    <t xml:space="preserve">Sphingolipids; Sphingolipids</t>
  </si>
  <si>
    <t xml:space="preserve">Phosphosphingolipids; Phosphosphingolipids</t>
  </si>
  <si>
    <t xml:space="preserve">710.24474</t>
  </si>
  <si>
    <t xml:space="preserve">C37H43N3O9</t>
  </si>
  <si>
    <t xml:space="preserve">triferuloyl spermidine</t>
  </si>
  <si>
    <t xml:space="preserve">257329</t>
  </si>
  <si>
    <t xml:space="preserve">HMDB0304519</t>
  </si>
  <si>
    <t xml:space="preserve">75144490</t>
  </si>
  <si>
    <t xml:space="preserve">COC1=CC(C=CC(=O)NCCCCN(CCCNC(=O)C=CC2=CC=C(O)C(OC)=C2)C(=O)C=CC2=CC=C(O)C(OC)=C2)=CC=C1O</t>
  </si>
  <si>
    <t xml:space="preserve">KMJWIBDYGUTEFB-UHFFFAOYSA-N</t>
  </si>
  <si>
    <t xml:space="preserve">710.47791</t>
  </si>
  <si>
    <t xml:space="preserve">C39H70NO8P</t>
  </si>
  <si>
    <t xml:space="preserve">PE(34:4)</t>
  </si>
  <si>
    <t xml:space="preserve">20931</t>
  </si>
  <si>
    <t xml:space="preserve">HMDB0008838</t>
  </si>
  <si>
    <t xml:space="preserve">60282</t>
  </si>
  <si>
    <t xml:space="preserve">LMGP02011242</t>
  </si>
  <si>
    <t xml:space="preserve">52924939</t>
  </si>
  <si>
    <t xml:space="preserve">[C@](COP(=O)(O)OCCN)([H])(OC(CCC/C=C\C/C=C\C/C=C\C/C=C\CCCCC)=O)COC(CCCCCCCCCCCCC)=O</t>
  </si>
  <si>
    <t xml:space="preserve">PCNMLNCECLPPIO-CIAQOEIVSA-N</t>
  </si>
  <si>
    <t xml:space="preserve">711.25970</t>
  </si>
  <si>
    <t xml:space="preserve">C27H46N4O19</t>
  </si>
  <si>
    <t xml:space="preserve">LIPEGFILGRASTIM</t>
  </si>
  <si>
    <t xml:space="preserve">208309</t>
  </si>
  <si>
    <t xml:space="preserve">HMDB0254110</t>
  </si>
  <si>
    <t xml:space="preserve">77910626</t>
  </si>
  <si>
    <t xml:space="preserve">COCCOC(=O)NCC(=O)NC1C(O)CC(OCC2OC(OC(C)C(N)C(O)=O)C(NC(C)=O)C(O)C2O)(OC1C(O)C(O)CO)C(O)=O</t>
  </si>
  <si>
    <t xml:space="preserve">GAQMWPRWVIGRRV-UHFFFAOYSA-N</t>
  </si>
  <si>
    <t xml:space="preserve">711.45397</t>
  </si>
  <si>
    <t xml:space="preserve">C21H31F3O</t>
  </si>
  <si>
    <t xml:space="preserve">Aacocf3</t>
  </si>
  <si>
    <t xml:space="preserve">202936</t>
  </si>
  <si>
    <t xml:space="preserve">HMDB0247736</t>
  </si>
  <si>
    <t xml:space="preserve">94989</t>
  </si>
  <si>
    <t xml:space="preserve">2224</t>
  </si>
  <si>
    <t xml:space="preserve">CCCCCC=CCC=CCC=CCC=CCCCC(=O)C(F)(F)F</t>
  </si>
  <si>
    <t xml:space="preserve">PLWROONZUDKYKG-UHFFFAOYSA-N</t>
  </si>
  <si>
    <t xml:space="preserve">712.16432</t>
  </si>
  <si>
    <t xml:space="preserve">C32H31N3O16</t>
  </si>
  <si>
    <t xml:space="preserve">Fura-2 acetoxymethyl</t>
  </si>
  <si>
    <t xml:space="preserve">207004</t>
  </si>
  <si>
    <t xml:space="preserve">HMDB0252526</t>
  </si>
  <si>
    <t xml:space="preserve">101593719</t>
  </si>
  <si>
    <t xml:space="preserve">CC(=O)OCOC(=O)C1=CN=C(O1)C1=CC2=CC(OCCOC3=C(C=CC(C)=C3)N(CC(O)=O)CC(O)=O)=C(C=C2O1)N(CC(O)=O)CC(O)=O</t>
  </si>
  <si>
    <t xml:space="preserve">UXRFVKKXSIOVLP-UHFFFAOYSA-N</t>
  </si>
  <si>
    <t xml:space="preserve">713.49587</t>
  </si>
  <si>
    <t xml:space="preserve">C19H35NO5</t>
  </si>
  <si>
    <t xml:space="preserve">(9Z)-3-Hydroxydodecenoylcarnitine; (4E)-3-Hydroxydodec-4-enoylcarnitine; (6Z)-3-Hydroxydodec-6-enoylcarnitine</t>
  </si>
  <si>
    <t xml:space="preserve">8306; 197766; 197767</t>
  </si>
  <si>
    <t xml:space="preserve">HMDB0240760; HMDB0241220; HMDB0241221</t>
  </si>
  <si>
    <t xml:space="preserve">LMFA07070024; ; </t>
  </si>
  <si>
    <t xml:space="preserve">73106; ; </t>
  </si>
  <si>
    <t xml:space="preserve">71464579; ; </t>
  </si>
  <si>
    <t xml:space="preserve">C(C([O-])=O)C(OC(CC(O)CCCCC/C=C\CC)=O)C[N+](C)(C)C; CCCCCCCC=CC(O)CC(=O)OC(CC([O-])=O)C[N+](C)(C)C; CCCCCC=CCCC(O)CC(=O)OC(CC([O-])=O)C[N+](C)(C)C</t>
  </si>
  <si>
    <t xml:space="preserve">PKPXVGIKUXUYEF-SREVYHEPSA-N; HPWLZTZUPVOGKR-UHFFFAOYSA-N; NFLPRKGOEUZRJH-UHFFFAOYSA-N</t>
  </si>
  <si>
    <t xml:space="preserve">715.20758</t>
  </si>
  <si>
    <t xml:space="preserve">C29H42O19</t>
  </si>
  <si>
    <t xml:space="preserve">Methyl 3,4,5-trimethoxycinnamate [arabinosyl-(1-&gt;3)-[glucosyl-(1-&gt;6)]-glucosyl] ester</t>
  </si>
  <si>
    <t xml:space="preserve">58733</t>
  </si>
  <si>
    <t xml:space="preserve">HMDB0034756</t>
  </si>
  <si>
    <t xml:space="preserve">90182</t>
  </si>
  <si>
    <t xml:space="preserve">131751620</t>
  </si>
  <si>
    <t xml:space="preserve">234761-04-7</t>
  </si>
  <si>
    <t xml:space="preserve">COC1=CC(\C=C\C(=O)OC2OC(COC3OC(CO)C(O)C(O)C3O)C(O)C(OC3OC(CO)C(O)C3O)C2O)=CC(OC)=C1OC</t>
  </si>
  <si>
    <t xml:space="preserve">PQBHLKVDBLIZKB-SNAWJCMRSA-N</t>
  </si>
  <si>
    <t xml:space="preserve">716.51880</t>
  </si>
  <si>
    <t xml:space="preserve">C39H76NO8P</t>
  </si>
  <si>
    <t xml:space="preserve">PC(31:1); PE(34:1)</t>
  </si>
  <si>
    <t xml:space="preserve">18230; 20104</t>
  </si>
  <si>
    <t xml:space="preserve">HMDB0007936; HMDB0008834</t>
  </si>
  <si>
    <t xml:space="preserve">59386; 60278</t>
  </si>
  <si>
    <t xml:space="preserve">LMGP01010535; LMGP02010415</t>
  </si>
  <si>
    <t xml:space="preserve">C00157; C00350</t>
  </si>
  <si>
    <t xml:space="preserve">24778657; 52924120</t>
  </si>
  <si>
    <t xml:space="preserve">[C@](COP(=O)([O-])OCC[N+](C)(C)C)([H])(OC(CCCCCCC/C=C\CCCCCC)=O)COC(CCCCCCCCCCCCCC)=O; [C@](COP(=O)(O)OCCN)([H])(OC(CCCCCCCCC/C=C\CCCCCCCC)=O)COC(CCCCCCCCCCCCC)=O</t>
  </si>
  <si>
    <t xml:space="preserve">QFVHCMLUKNHDSH-WTWBAFHPSA-N; BPFXNETZQIVTNB-OBYUZFALSA-N</t>
  </si>
  <si>
    <t xml:space="preserve">717.14545</t>
  </si>
  <si>
    <t xml:space="preserve">C30H34O18</t>
  </si>
  <si>
    <t xml:space="preserve">8-Hydroxyhesperetin 7-[6-acetylglucosyl-(1-&gt;2)-glucoside]</t>
  </si>
  <si>
    <t xml:space="preserve">64333</t>
  </si>
  <si>
    <t xml:space="preserve">HMDB0041232</t>
  </si>
  <si>
    <t xml:space="preserve">95651</t>
  </si>
  <si>
    <t xml:space="preserve">169793</t>
  </si>
  <si>
    <t xml:space="preserve">74977927</t>
  </si>
  <si>
    <t xml:space="preserve">162110-44-3</t>
  </si>
  <si>
    <t xml:space="preserve">COC1=C(O)C=C(C=C1)C1=CC(=O)C2=C(O1)C(O)=C(OC1OC(CO)C(O)C(O)C1OC1OC(COC(C)=O)C(O)C(O)C1O)C=C2O</t>
  </si>
  <si>
    <t xml:space="preserve">LORXOTCKKVEWGS-UHFFFAOYSA-N</t>
  </si>
  <si>
    <t xml:space="preserve">719.45204</t>
  </si>
  <si>
    <t xml:space="preserve">C22H32O4</t>
  </si>
  <si>
    <t xml:space="preserve">Neuroprotectin D1; Resolvin D5; Macrophorin A</t>
  </si>
  <si>
    <t xml:space="preserve">5969; 48209; 55267</t>
  </si>
  <si>
    <t xml:space="preserve">HMDB0003689; HMDB0004038; HMDB0030454</t>
  </si>
  <si>
    <t xml:space="preserve">36435; 36434; 86989</t>
  </si>
  <si>
    <t xml:space="preserve">LMFA04040001; ; </t>
  </si>
  <si>
    <t xml:space="preserve">138655; 138645; </t>
  </si>
  <si>
    <t xml:space="preserve">16042541; 16061139; 14526957</t>
  </si>
  <si>
    <t xml:space="preserve">; ; 85754-70-7</t>
  </si>
  <si>
    <t xml:space="preserve">C(CC/C=C\C/C=C\C[C@@H](O)/C=C/C=C/C=C\[C@@H](O)C/C=C\CC)(=O)O; CC\C=C/C[C@H](O)\C=C\C=C/C\C=C/C=C/[C@@H](O)\C=C/CCCC(O)=O; CC1(C)CCCC2(C)C(CC34OC3C(O)C(CO)=CC4=O)C(=C)CCC12</t>
  </si>
  <si>
    <t xml:space="preserve">CRDZYJSQHCXHEG-SFVBTVKNSA-N; JBRPFYYLEQERPG-XTIXYJHRSA-N; OOIYDCZXWGFDDL-UHFFFAOYSA-N</t>
  </si>
  <si>
    <t xml:space="preserve">Lipids and lipid-like molecules; Lipids and lipid-like molecules; Organic oxygen compounds</t>
  </si>
  <si>
    <t xml:space="preserve">Fatty Acyls; Fatty Acyls; Organooxygen compounds</t>
  </si>
  <si>
    <t xml:space="preserve">Fatty acids and conjugates; Fatty acids and conjugates; Carbonyl compounds</t>
  </si>
  <si>
    <t xml:space="preserve">721.19790</t>
  </si>
  <si>
    <t xml:space="preserve">C33H40O19</t>
  </si>
  <si>
    <t xml:space="preserve">Kaempferol 3-O-beta-robinoside 7-O-alpha-L-rhamnopyranoside</t>
  </si>
  <si>
    <t xml:space="preserve">31774</t>
  </si>
  <si>
    <t xml:space="preserve">HMDB0302847</t>
  </si>
  <si>
    <t xml:space="preserve">LMPK12111685</t>
  </si>
  <si>
    <t xml:space="preserve">C10178</t>
  </si>
  <si>
    <t xml:space="preserve">8878</t>
  </si>
  <si>
    <t xml:space="preserve">5281693</t>
  </si>
  <si>
    <t xml:space="preserve">C1(O[C@H]2[C@H](O)[C@H](O)[C@@H](O)[C@H](C)O2)=CC2OC(C3C=CC(O)=CC=3)=C(O[C@H]3[C@H](O)[C@@H](O)[C@@H](O)[C@@H](CO[C@H]4[C@H](O)[C@H](O)[C@@H](O)[C@H](C)O4)O3)C(=O)C=2C(O)=C1</t>
  </si>
  <si>
    <t xml:space="preserve">PEFASEPMJYRQBW-HKWQTAEVSA-N</t>
  </si>
  <si>
    <t xml:space="preserve">721.49857</t>
  </si>
  <si>
    <t xml:space="preserve">C38H75O10P</t>
  </si>
  <si>
    <t xml:space="preserve">PG(32:0); Dipalmitoylphosphatidylglycerol</t>
  </si>
  <si>
    <t xml:space="preserve">23464; 206219</t>
  </si>
  <si>
    <t xml:space="preserve">HMDB0010570; HMDB0251613</t>
  </si>
  <si>
    <t xml:space="preserve">61847; </t>
  </si>
  <si>
    <t xml:space="preserve">LMGP04010986; </t>
  </si>
  <si>
    <t xml:space="preserve">73205; 60724</t>
  </si>
  <si>
    <t xml:space="preserve">446440; 65144</t>
  </si>
  <si>
    <t xml:space="preserve">[H][C@](O)(CO)COP(OC[C@]([H])(OC(CCCCCCCCCCCCCCC)=O)COC(CCCCCCCCCCCCCCC)=O)(=O)O; CCCCCCCCCCCCCCCC(=O)OCC(COP(O)(=O)OCC(O)CO)OC(=O)CCCCCCCCCCCCCCC</t>
  </si>
  <si>
    <t xml:space="preserve">BIABMEZBCHDPBV-MPQUPPDSSA-N; BIABMEZBCHDPBV-UHFFFAOYSA-N</t>
  </si>
  <si>
    <t xml:space="preserve">Glycerophosphoglycerols; Glycerophosphoglycerols</t>
  </si>
  <si>
    <t xml:space="preserve">722.30609</t>
  </si>
  <si>
    <t xml:space="preserve">C31H47N7O14</t>
  </si>
  <si>
    <t xml:space="preserve">Pendetide</t>
  </si>
  <si>
    <t xml:space="preserve">210097</t>
  </si>
  <si>
    <t xml:space="preserve">HMDB0256220</t>
  </si>
  <si>
    <t xml:space="preserve">20055519</t>
  </si>
  <si>
    <t xml:space="preserve">NCC(=O)NC(CC1=CC=C(O)C=C1)C(=O)NC(CCCCNC(=O)CN(CCN(CCN(CC(O)=O)CC(O)=O)CC(O)=O)CC(O)=O)C(O)=O</t>
  </si>
  <si>
    <t xml:space="preserve">ZMEWRPBAQVSBBB-UHFFFAOYSA-N</t>
  </si>
  <si>
    <t xml:space="preserve">722.50398</t>
  </si>
  <si>
    <t xml:space="preserve">C39H76NO7P</t>
  </si>
  <si>
    <t xml:space="preserve">PE(16:1)</t>
  </si>
  <si>
    <t xml:space="preserve">49971</t>
  </si>
  <si>
    <t xml:space="preserve">HMDB0008951</t>
  </si>
  <si>
    <t xml:space="preserve">60381</t>
  </si>
  <si>
    <t xml:space="preserve">137292</t>
  </si>
  <si>
    <t xml:space="preserve">53479594</t>
  </si>
  <si>
    <t xml:space="preserve">[H][C@@](COC(=O)CCCCCCCCCCCCCCC)(COP(O)(=O)OCCN)O\C=C/CCCCCCCC\C=C/CCCCCC</t>
  </si>
  <si>
    <t xml:space="preserve">LAFTYABRLNPQHQ-NHGOJEJISA-N</t>
  </si>
  <si>
    <t xml:space="preserve">723.29651</t>
  </si>
  <si>
    <t xml:space="preserve">C34H46N8O9S</t>
  </si>
  <si>
    <t xml:space="preserve">Racemates</t>
  </si>
  <si>
    <t xml:space="preserve">199296</t>
  </si>
  <si>
    <t xml:space="preserve">HMDB0243755</t>
  </si>
  <si>
    <t xml:space="preserve">18432409</t>
  </si>
  <si>
    <t xml:space="preserve">CC(C(C)C(=O)OCC1OC(CC1N=[N+]=[N-])N1C=C(C)C(=O)NC1=O)C(=O)NC(CC1=CC=CC=C1)C(O)C(=O)N1CSCC1C(=O)NC(C)(C)C</t>
  </si>
  <si>
    <t xml:space="preserve">VBMBLHMATUGPNA-UHFFFAOYSA-N</t>
  </si>
  <si>
    <t xml:space="preserve">Pyrimidine 2',3'-dideoxyribonucleosides</t>
  </si>
  <si>
    <t xml:space="preserve">723.48062</t>
  </si>
  <si>
    <t xml:space="preserve">C44H70O9</t>
  </si>
  <si>
    <t xml:space="preserve">Mycolactone</t>
  </si>
  <si>
    <t xml:space="preserve">209017</t>
  </si>
  <si>
    <t xml:space="preserve">HMDB0254969</t>
  </si>
  <si>
    <t xml:space="preserve">74053234</t>
  </si>
  <si>
    <t xml:space="preserve">CC(O)CC(O)C(C)C=C(C)CC(C)C1CC=C(C)CC(C)C(CCCC(=O)O1)OC(=O)C=CC(C)=CC(C)=CC=CC(C)=CC(O)C(O)CC(C)O</t>
  </si>
  <si>
    <t xml:space="preserve">WKTLNJXZVDLRTJ-UHFFFAOYSA-N</t>
  </si>
  <si>
    <t xml:space="preserve">Terpene lactones</t>
  </si>
  <si>
    <t xml:space="preserve">724.28114</t>
  </si>
  <si>
    <t xml:space="preserve">C42H39N5O7</t>
  </si>
  <si>
    <t xml:space="preserve">PBD dimer</t>
  </si>
  <si>
    <t xml:space="preserve">210029</t>
  </si>
  <si>
    <t xml:space="preserve">HMDB0256148</t>
  </si>
  <si>
    <t xml:space="preserve">68231172</t>
  </si>
  <si>
    <t xml:space="preserve">COC1=CC=C(C=C1)C1=CN2C(C1)C=NC1=CC(OCCCOC3=C(OC)C=C4C(=C3)N=CC3CC(=CN3C4=O)C3=CC=C(N)C=C3)=C(OC)C=C1C2=O</t>
  </si>
  <si>
    <t xml:space="preserve">OMRPLUKQNWNZAV-UHFFFAOYSA-N</t>
  </si>
  <si>
    <t xml:space="preserve">724.47543</t>
  </si>
  <si>
    <t xml:space="preserve">C43H67NO8</t>
  </si>
  <si>
    <t xml:space="preserve">Spirolide E</t>
  </si>
  <si>
    <t xml:space="preserve">55301</t>
  </si>
  <si>
    <t xml:space="preserve">HMDB0030494</t>
  </si>
  <si>
    <t xml:space="preserve">87015</t>
  </si>
  <si>
    <t xml:space="preserve">131751033</t>
  </si>
  <si>
    <t xml:space="preserve">183159-71-9</t>
  </si>
  <si>
    <t xml:space="preserve">CCC(O)C(\C)=C\C1C(C)=C(CCC1(CCC(C)CN)C(=O)CCCC(=C)CC1CCC(C)(O)C2(CCC3(CC(C)CO3)O2)O1)C1OC(=O)C(C)=C1</t>
  </si>
  <si>
    <t xml:space="preserve">RDTLSGRUBWUGCJ-JBASAIQMSA-N</t>
  </si>
  <si>
    <t xml:space="preserve">726.44255</t>
  </si>
  <si>
    <t xml:space="preserve">C44H59NO5</t>
  </si>
  <si>
    <t xml:space="preserve">7-Epizucchini factor A</t>
  </si>
  <si>
    <t xml:space="preserve">60164</t>
  </si>
  <si>
    <t xml:space="preserve">HMDB0036405</t>
  </si>
  <si>
    <t xml:space="preserve">91547</t>
  </si>
  <si>
    <t xml:space="preserve">176291</t>
  </si>
  <si>
    <t xml:space="preserve">131751984</t>
  </si>
  <si>
    <t xml:space="preserve">308811-92-9</t>
  </si>
  <si>
    <t xml:space="preserve">CC1(COC(=O)C2=CC=CC=C2)CCC2(C)CCC3(C)C4=C(CCC3(C)C2C1)C1(C)CCC(OC(=O)C2=CC=C(N)C=C2)C(C)(C)C1CC4O</t>
  </si>
  <si>
    <t xml:space="preserve">PRAFKBSUIBLSSV-UHFFFAOYSA-N</t>
  </si>
  <si>
    <t xml:space="preserve">727.45661</t>
  </si>
  <si>
    <t xml:space="preserve">C38H67O8P</t>
  </si>
  <si>
    <t xml:space="preserve">Phosphatidate(35:4)</t>
  </si>
  <si>
    <t xml:space="preserve">25051</t>
  </si>
  <si>
    <t xml:space="preserve">HMDB0114821</t>
  </si>
  <si>
    <t xml:space="preserve">81318</t>
  </si>
  <si>
    <t xml:space="preserve">LMGP10010152</t>
  </si>
  <si>
    <t xml:space="preserve">52928745</t>
  </si>
  <si>
    <t xml:space="preserve">[C@](COP(=O)(O)O)([H])(OC(CCC/C=C\C/C=C\C/C=C\C/C=C\CCCCC)=O)COC(CCCCCCCCCCCCCC)=O</t>
  </si>
  <si>
    <t xml:space="preserve">BEPRYOCGOJPVSH-BMMUJZTPSA-N</t>
  </si>
  <si>
    <t xml:space="preserve">728.22011</t>
  </si>
  <si>
    <t xml:space="preserve">C32H42N3O13P</t>
  </si>
  <si>
    <t xml:space="preserve">2-[[(2R)-2-[Bis(carboxymethyl)amino]-2-[(4,4-diphenylcyclohexyl)-hydroxyphosphoryl]oxyethyl]-[2-[bis(carboxymethyl)amino]ethyl]amino]acetic acid</t>
  </si>
  <si>
    <t xml:space="preserve">208985</t>
  </si>
  <si>
    <t xml:space="preserve">HMDB0254932</t>
  </si>
  <si>
    <t xml:space="preserve">OC(=O)CN(CCN(CC(O)=O)CC(O)=O)CC(OP(O)(=O)C1CCC(CC1)(C1=CC=CC=C1)C1=CC=CC=C1)N(CC(O)=O)CC(O)=O</t>
  </si>
  <si>
    <t xml:space="preserve">VCEPQOMQOCPLHN-UHFFFAOYSA-N</t>
  </si>
  <si>
    <t xml:space="preserve">729.46648</t>
  </si>
  <si>
    <t xml:space="preserve">C21H32FNO3</t>
  </si>
  <si>
    <t xml:space="preserve">Florbenazine</t>
  </si>
  <si>
    <t xml:space="preserve">206806</t>
  </si>
  <si>
    <t xml:space="preserve">HMDB0252313</t>
  </si>
  <si>
    <t xml:space="preserve">15940293</t>
  </si>
  <si>
    <t xml:space="preserve">COC1=C(OCCCF)C=C2CCN3CC(CC(C)C)C(O)CC3C2=C1</t>
  </si>
  <si>
    <t xml:space="preserve">GNKGXQHHUUEYQV-UHFFFAOYSA-N</t>
  </si>
  <si>
    <t xml:space="preserve">Tetrahydroisoquinolines</t>
  </si>
  <si>
    <t xml:space="preserve">737.11355</t>
  </si>
  <si>
    <t xml:space="preserve">C36H28O16</t>
  </si>
  <si>
    <t xml:space="preserve">Theaflavin-3-gallate; Isoneotheaflavin 3-O-gallate; Isotheaflavin 3'-gallate</t>
  </si>
  <si>
    <t xml:space="preserve">48613; 54231; 57167</t>
  </si>
  <si>
    <t xml:space="preserve">HMDB0005786; HMDB0029254; HMDB0032904</t>
  </si>
  <si>
    <t xml:space="preserve">; 86130; 88813</t>
  </si>
  <si>
    <t xml:space="preserve">22833650; 131750828; 15624170</t>
  </si>
  <si>
    <t xml:space="preserve">28543-07-9; ; </t>
  </si>
  <si>
    <t xml:space="preserve">O[C@@H]1CC2=C(O[C@@H]1C1=CC3=C(C(O)=C(O)C(=C3)[C@H]3OC4=C(C[C@H]3OC(=O)C3=CC(O)=C(O)C(O)=C3)C(O)=CC(O)=C4)C(=O)C(O)=C1)C=C(O)C=C2O; O[C@H]1CC2=C(OC1C1=C3C=C(C=C(O)C(=O)C3=C(O)C(O)=C1)C1OC3=C(C[C@@H]1OC(=O)C1=CC(O)=C(O)C(O)=C1)C(O)=CC(O)=C3)C=C(O)C=C2O; OC1CC2=C(O)C=C(O)C=C2OC1C1=CC2=C(C(O)=C(O)C=C2C2OC3=CC(O)=CC(O)=C3CC2OC(=O)C2=CC(O)=C(O)C(O)=C2)C(=O)C(O)=C1</t>
  </si>
  <si>
    <t xml:space="preserve">AATSUYYYTHJRJO-RZYARBFNSA-N; KMJPKUVSXFVQGZ-QUWMGRMQSA-N; GPLOTACQBREROW-UHFFFAOYSA-N</t>
  </si>
  <si>
    <t xml:space="preserve">739.50403</t>
  </si>
  <si>
    <t xml:space="preserve">C39H77O8P</t>
  </si>
  <si>
    <t xml:space="preserve">PA(36:0)</t>
  </si>
  <si>
    <t xml:space="preserve">25822</t>
  </si>
  <si>
    <t xml:space="preserve">HMDB0114788</t>
  </si>
  <si>
    <t xml:space="preserve">82089</t>
  </si>
  <si>
    <t xml:space="preserve">LMGP10010923</t>
  </si>
  <si>
    <t xml:space="preserve">52929512</t>
  </si>
  <si>
    <t xml:space="preserve">[C@](COP(=O)(O)O)([H])(OC(CCCCCCCCCCCCCCCCCCCCC)=O)COC(CCCCCCCCCCCCC)=O</t>
  </si>
  <si>
    <t xml:space="preserve">RVRKTELVIZPMGA-DIPNUNPCSA-N</t>
  </si>
  <si>
    <t xml:space="preserve">741.43534</t>
  </si>
  <si>
    <t xml:space="preserve">C26H29NO</t>
  </si>
  <si>
    <t xml:space="preserve">Tamoxifen</t>
  </si>
  <si>
    <t xml:space="preserve">52983</t>
  </si>
  <si>
    <t xml:space="preserve">HMDB0014813</t>
  </si>
  <si>
    <t xml:space="preserve">593</t>
  </si>
  <si>
    <t xml:space="preserve">C07108</t>
  </si>
  <si>
    <t xml:space="preserve">41774</t>
  </si>
  <si>
    <t xml:space="preserve">2733526</t>
  </si>
  <si>
    <t xml:space="preserve">10540-29-1</t>
  </si>
  <si>
    <t xml:space="preserve">CC\C(=C(/C1=CC=CC=C1)C1=CC=C(OCCN(C)C)C=C1)C1=CC=CC=C1</t>
  </si>
  <si>
    <t xml:space="preserve">NKANXQFJJICGDU-QPLCGJKRSA-N</t>
  </si>
  <si>
    <t xml:space="preserve">742.17727</t>
  </si>
  <si>
    <t xml:space="preserve">C38H35N5O6S2</t>
  </si>
  <si>
    <t xml:space="preserve">(S)-4-(2-(N-Methylisoquinoline-5-sulfonamido)-3-oxo-3-(4-phenylpiperazin-1-yl)propyl)phenyl isoquinoline-5-sulfonate</t>
  </si>
  <si>
    <t xml:space="preserve">208095</t>
  </si>
  <si>
    <t xml:space="preserve">HMDB0253809</t>
  </si>
  <si>
    <t xml:space="preserve">91888</t>
  </si>
  <si>
    <t xml:space="preserve">3838</t>
  </si>
  <si>
    <t xml:space="preserve">CN(C(CC1=CC=C(OS(=O)(=O)C2=CC=CC3=C2C=CN=C3)C=C1)C(=O)N1CCN(CC1)C1=CC=CC=C1)S(=O)(=O)C1=CC=CC2=C1C=CN=C2</t>
  </si>
  <si>
    <t xml:space="preserve">RJVLFQBBRSMWHX-UHFFFAOYSA-N</t>
  </si>
  <si>
    <t xml:space="preserve">743.19720</t>
  </si>
  <si>
    <t xml:space="preserve">C23H16O5</t>
  </si>
  <si>
    <t xml:space="preserve">Pamoic acid</t>
  </si>
  <si>
    <t xml:space="preserve">197040</t>
  </si>
  <si>
    <t xml:space="preserve">HMDB0240282</t>
  </si>
  <si>
    <t xml:space="preserve">77846931</t>
  </si>
  <si>
    <t xml:space="preserve">OC(=O)C1=CC2=CC=CC=C2C(CC2=C(O)C(C=O)=CC3=CC=CC=C23)=C1O</t>
  </si>
  <si>
    <t xml:space="preserve">VQGWKFPKDOOFGL-UHFFFAOYSA-N</t>
  </si>
  <si>
    <t xml:space="preserve">744.48007</t>
  </si>
  <si>
    <t xml:space="preserve">C39H72NO10P</t>
  </si>
  <si>
    <t xml:space="preserve">PS(33:2)</t>
  </si>
  <si>
    <t xml:space="preserve">22174</t>
  </si>
  <si>
    <t xml:space="preserve">HMDB0112323</t>
  </si>
  <si>
    <t xml:space="preserve">78577</t>
  </si>
  <si>
    <t xml:space="preserve">LMGP03010913</t>
  </si>
  <si>
    <t xml:space="preserve">52926021</t>
  </si>
  <si>
    <t xml:space="preserve">C(O)(=O)[C@@]([H])(N)COP(OC[C@]([H])(OC(CCCCCCC/C=C\C/C=C\CCCCC)=O)COC(CCCCCCCCCCCCCC)=O)(=O)O</t>
  </si>
  <si>
    <t xml:space="preserve">PQNAZHVNKDOOFJ-QBXSHKFASA-N</t>
  </si>
  <si>
    <t xml:space="preserve">Glycerophosphoserines</t>
  </si>
  <si>
    <t xml:space="preserve">745.50080</t>
  </si>
  <si>
    <t xml:space="preserve">C39H73O8P</t>
  </si>
  <si>
    <t xml:space="preserve">PA(36:2)</t>
  </si>
  <si>
    <t xml:space="preserve">24935</t>
  </si>
  <si>
    <t xml:space="preserve">HMDB0007861</t>
  </si>
  <si>
    <t xml:space="preserve">40932</t>
  </si>
  <si>
    <t xml:space="preserve">LMGP10010036</t>
  </si>
  <si>
    <t xml:space="preserve">77248</t>
  </si>
  <si>
    <t xml:space="preserve">24779559</t>
  </si>
  <si>
    <t xml:space="preserve">[C@](COP(=O)(O)O)([H])(OC(CCCCCCC/C=C\C/C=C\CCCCC)=O)COC(CCCCCCCCCCCCCCCCC)=O</t>
  </si>
  <si>
    <t xml:space="preserve">QYYWMYCDFOLKKH-DAKWMOBOSA-N</t>
  </si>
  <si>
    <t xml:space="preserve">747.19371</t>
  </si>
  <si>
    <t xml:space="preserve">C32H40O18</t>
  </si>
  <si>
    <t xml:space="preserve">Glucoliquiritin apioside</t>
  </si>
  <si>
    <t xml:space="preserve">64255</t>
  </si>
  <si>
    <t xml:space="preserve">HMDB0041149</t>
  </si>
  <si>
    <t xml:space="preserve">95577</t>
  </si>
  <si>
    <t xml:space="preserve">74819335</t>
  </si>
  <si>
    <t xml:space="preserve">157226-47-6</t>
  </si>
  <si>
    <t xml:space="preserve">OCC1OC(OC2=CC3=C(C=C2)C(=O)CC(O3)C2=CC=C(OC3OC(CO)C(O)C(O)C3OC3OCC(O)(CO)C3O)C=C2)C(O)C(O)C1O</t>
  </si>
  <si>
    <t xml:space="preserve">JUYBMOHJXUXKDN-UHFFFAOYSA-N</t>
  </si>
  <si>
    <t xml:space="preserve">747.51325</t>
  </si>
  <si>
    <t xml:space="preserve">C40H77O10P</t>
  </si>
  <si>
    <t xml:space="preserve">PG(34:1); 1-Palmitoyl-2-oleoylglycero-3-phosphoglycerol</t>
  </si>
  <si>
    <t xml:space="preserve">22505; 199529</t>
  </si>
  <si>
    <t xml:space="preserve">HMDB0010573; HMDB0244000</t>
  </si>
  <si>
    <t xml:space="preserve">LMGP04010008; </t>
  </si>
  <si>
    <t xml:space="preserve">44946; </t>
  </si>
  <si>
    <t xml:space="preserve">5289145; 123897</t>
  </si>
  <si>
    <t xml:space="preserve">1177673-26-5; </t>
  </si>
  <si>
    <t xml:space="preserve">[C@]([H])(OC(CCCCCCCCC/C=C\CCCCCC)=O)(COP(=O)(O)OC[C@@]([H])(O)CO)COC(CCCCCCCCCCCCCCC)=O; CCCCCCCCCCCCCCCC(=O)OCC(COP(O)(=O)OCC(O)CO)OC(=O)CCCCCCCC=CCCCCCCCC</t>
  </si>
  <si>
    <t xml:space="preserve">ADYWCMPUNIVOEA-GPJPVTGXSA-N; PAZGBAOHGQRCBP-UHFFFAOYSA-N</t>
  </si>
  <si>
    <t xml:space="preserve">748.19684</t>
  </si>
  <si>
    <t xml:space="preserve">C39H41N3O6S2</t>
  </si>
  <si>
    <t xml:space="preserve">C.I. Acid Violet 49</t>
  </si>
  <si>
    <t xml:space="preserve">57624</t>
  </si>
  <si>
    <t xml:space="preserve">HMDB0033385</t>
  </si>
  <si>
    <t xml:space="preserve">89227</t>
  </si>
  <si>
    <t xml:space="preserve">4648096</t>
  </si>
  <si>
    <t xml:space="preserve">1694-09-3</t>
  </si>
  <si>
    <t xml:space="preserve">CCN(CC1=CC=CC(=C1)S(O)(=O)=O)C1=CC=C(C=C1)C(C1=CC=C(C=C1)N(C)C)=C1C=CC(C=C1)=[N+](CC)CC1=CC=CC(=C1)S([O-])(=O)=O</t>
  </si>
  <si>
    <t xml:space="preserve">IHZXTIBMKNSJCJ-UHFFFAOYSA-N</t>
  </si>
  <si>
    <t xml:space="preserve">Phenylmethylamines</t>
  </si>
  <si>
    <t xml:space="preserve">748.51141</t>
  </si>
  <si>
    <t xml:space="preserve">C40H75NO9</t>
  </si>
  <si>
    <t xml:space="preserve">Soyacerebroside I</t>
  </si>
  <si>
    <t xml:space="preserve">56958</t>
  </si>
  <si>
    <t xml:space="preserve">HMDB0032677</t>
  </si>
  <si>
    <t xml:space="preserve">131751281</t>
  </si>
  <si>
    <t xml:space="preserve">114297-20-0</t>
  </si>
  <si>
    <t xml:space="preserve">CCCCCCCCCCCCCCC(O)C(=O)NC(COC1OC(CO)C(O)C(O)C1O)C(O)\C=C/CC\C=C/CCCCCCCCC</t>
  </si>
  <si>
    <t xml:space="preserve">HOMYIYLRRDTKAA-UYIJODJPSA-N</t>
  </si>
  <si>
    <t xml:space="preserve">Sphingolipids</t>
  </si>
  <si>
    <t xml:space="preserve">Glycosphingolipids</t>
  </si>
  <si>
    <t xml:space="preserve">755.11370</t>
  </si>
  <si>
    <t xml:space="preserve">C17H14O10</t>
  </si>
  <si>
    <t xml:space="preserve">3,4,5-trihydroxy-6-({7-oxo-7H-furo[3,2-g]chromen-4-yl}oxy)oxane-2-carboxylic acid</t>
  </si>
  <si>
    <t xml:space="preserve">144409</t>
  </si>
  <si>
    <t xml:space="preserve">HMDB0129424</t>
  </si>
  <si>
    <t xml:space="preserve">131835673</t>
  </si>
  <si>
    <t xml:space="preserve">OC1C(OC2=C3C=COC3=CC3=C2C=CC(=O)O3)OC(C(O)C1O)C(O)=O</t>
  </si>
  <si>
    <t xml:space="preserve">VLWJVRACXDFSKC-UHFFFAOYSA-N</t>
  </si>
  <si>
    <t xml:space="preserve">757.42762</t>
  </si>
  <si>
    <t xml:space="preserve">C24H29NO3</t>
  </si>
  <si>
    <t xml:space="preserve">Donepezil</t>
  </si>
  <si>
    <t xml:space="preserve">48472</t>
  </si>
  <si>
    <t xml:space="preserve">HMDB0005041</t>
  </si>
  <si>
    <t xml:space="preserve">45505</t>
  </si>
  <si>
    <t xml:space="preserve">53289</t>
  </si>
  <si>
    <t xml:space="preserve">3152</t>
  </si>
  <si>
    <t xml:space="preserve">120014-06-4</t>
  </si>
  <si>
    <t xml:space="preserve">COC1=C(OC)C=C2C(=O)C(CC3CCN(CC4=CC=CC=C4)CC3)CC2=C1</t>
  </si>
  <si>
    <t xml:space="preserve">ADEBPBSSDYVVLD-UHFFFAOYSA-N</t>
  </si>
  <si>
    <t xml:space="preserve">759.51765</t>
  </si>
  <si>
    <t xml:space="preserve">C40H75O8P</t>
  </si>
  <si>
    <t xml:space="preserve">Phosphatidate(37:2)</t>
  </si>
  <si>
    <t xml:space="preserve">25055</t>
  </si>
  <si>
    <t xml:space="preserve">HMDB0114826</t>
  </si>
  <si>
    <t xml:space="preserve">81322</t>
  </si>
  <si>
    <t xml:space="preserve">LMGP10010156</t>
  </si>
  <si>
    <t xml:space="preserve">52928749</t>
  </si>
  <si>
    <t xml:space="preserve">[C@](COP(=O)(O)O)([H])(OC(CCCCCCCCCCC/C=C\C/C=C\CCCCC)=O)COC(CCCCCCCCCCCCCC)=O</t>
  </si>
  <si>
    <t xml:space="preserve">AUGHPTXZMAWCOH-XGKJNDTMSA-N</t>
  </si>
  <si>
    <t xml:space="preserve">761.20267</t>
  </si>
  <si>
    <t xml:space="preserve">C33H42O18</t>
  </si>
  <si>
    <t xml:space="preserve">Naringin 6''-rhamnoside</t>
  </si>
  <si>
    <t xml:space="preserve">61508</t>
  </si>
  <si>
    <t xml:space="preserve">HMDB0038048</t>
  </si>
  <si>
    <t xml:space="preserve">92820</t>
  </si>
  <si>
    <t xml:space="preserve">172810</t>
  </si>
  <si>
    <t xml:space="preserve">74819376</t>
  </si>
  <si>
    <t xml:space="preserve">CC1OC(OCC2OC(OC3=CC(O)=C4C(=O)CC(OC4=C3)C3=CC=C(O)C=C3)C(OC3OC(C)C(O)C(O)C3O)C(O)C2O)C(O)C(O)C1O</t>
  </si>
  <si>
    <t xml:space="preserve">BRDVWIOUHLWIGN-UHFFFAOYSA-N</t>
  </si>
  <si>
    <t xml:space="preserve">761.49284</t>
  </si>
  <si>
    <t xml:space="preserve">C21H35NO5</t>
  </si>
  <si>
    <t xml:space="preserve">3-Hydroxytetradeca-5,7,9-trienoylcarnitine; 3-Hydroxytetradeca-6,9,12-trienoylcarnitine; 3-Hydroxytetradeca-7,9,11-trienoylcarnitine</t>
  </si>
  <si>
    <t xml:space="preserve">197952; 197953; 197954</t>
  </si>
  <si>
    <t xml:space="preserve">HMDB0241407; HMDB0241408; HMDB0241409</t>
  </si>
  <si>
    <t xml:space="preserve">CCCCC=CC=CC=CCC(O)CC(=O)OC(CC([O-])=O)C[N+](C)(C)C; CC=CCC=CCC=CCCC(O)CC(=O)OC(CC([O-])=O)C[N+](C)(C)C; CCC=CC=CC=CCCCC(O)CC(=O)OC(CC([O-])=O)C[N+](C)(C)C</t>
  </si>
  <si>
    <t xml:space="preserve">HPHGYWIGSUNYGZ-UHFFFAOYSA-N; NCYRGTOBRAHOOS-UHFFFAOYSA-N; GKHJSVCYVXYNCW-UHFFFAOYSA-N</t>
  </si>
  <si>
    <t xml:space="preserve">762.49147</t>
  </si>
  <si>
    <t xml:space="preserve">C41H76NO7P</t>
  </si>
  <si>
    <t xml:space="preserve">PE(18:3)</t>
  </si>
  <si>
    <t xml:space="preserve">50049</t>
  </si>
  <si>
    <t xml:space="preserve">HMDB0009116</t>
  </si>
  <si>
    <t xml:space="preserve">60523</t>
  </si>
  <si>
    <t xml:space="preserve">137306</t>
  </si>
  <si>
    <t xml:space="preserve">53479671</t>
  </si>
  <si>
    <t xml:space="preserve">[H][C@@](COC(=O)CCCCCCC\C=C/C\C=C/CCCCC)(COP(O)(=O)OCCN)O\C=C/CCCCCCCC\C=C/CCCCCC</t>
  </si>
  <si>
    <t xml:space="preserve">BEMSJAOWFQJOQA-LIWWULAASA-N</t>
  </si>
  <si>
    <t xml:space="preserve">765.18610</t>
  </si>
  <si>
    <t xml:space="preserve">C34H40O21</t>
  </si>
  <si>
    <t xml:space="preserve">Kaempferol 3-O-(2''-rhamnosyl-6''-acetyl-galactoside) 7-O-rhamnoside</t>
  </si>
  <si>
    <t xml:space="preserve">254786</t>
  </si>
  <si>
    <t xml:space="preserve">HMDB0301699</t>
  </si>
  <si>
    <t xml:space="preserve">C[C@@H]1O[C@@H](O[C@@H]2[C@@H](O)[C@@H](O)[C@@H](COC(O)=O)O[C@H]2OC2=C(OC3=CC(O[C@@H]4O[C@@H](C)[C@H](O)[C@@H](O)[C@H]4O)=CC(O)=C3C2=O)C2=CC=C(O)C=C2)[C@H](O)[C@H](O)[C@H]1O</t>
  </si>
  <si>
    <t xml:space="preserve">UNWFAGYVJIJZNQ-KINVIYQBSA-N</t>
  </si>
  <si>
    <t xml:space="preserve">767.17644</t>
  </si>
  <si>
    <t xml:space="preserve">C13H20O13</t>
  </si>
  <si>
    <t xml:space="preserve">Glucose lactate ketone</t>
  </si>
  <si>
    <t xml:space="preserve">207217</t>
  </si>
  <si>
    <t xml:space="preserve">HMDB0252781</t>
  </si>
  <si>
    <t xml:space="preserve">CC(O)C(=O)OC(=O)OC(=O)C(C)(O)C1(O)OC(CO)C(O)C(O)C1O</t>
  </si>
  <si>
    <t xml:space="preserve">RJHWLOLAORKKFT-UHFFFAOYSA-N</t>
  </si>
  <si>
    <t xml:space="preserve">767.52172</t>
  </si>
  <si>
    <t xml:space="preserve">C25H36O3</t>
  </si>
  <si>
    <t xml:space="preserve">Persicaxanthin; Persicachrome; Estradiol enanthate</t>
  </si>
  <si>
    <t xml:space="preserve">58878; 60180; 206500</t>
  </si>
  <si>
    <t xml:space="preserve">HMDB0034952; HMDB0036425; HMDB0251964</t>
  </si>
  <si>
    <t xml:space="preserve">131751641; 131751989; 3590886</t>
  </si>
  <si>
    <t xml:space="preserve">80952-82-5; 80931-31-3; </t>
  </si>
  <si>
    <t xml:space="preserve">C\C(CO)=C\C=C\C=C(/C)\C=C\C=C(\C)/C=C/C12OC1(C)CC(O)CC2(C)C; C\C(CO)=C/C=C\C=C(/C)\C=C\C=C(\C)C1OC2(C)CC(O)CC(C)(C)C2=C1; CCCCCCC(=O)OC1CCC2C3CCC4=CC(O)=CC=C4C3CCC12C</t>
  </si>
  <si>
    <t xml:space="preserve">JQVNCYNADFKYNN-RXCALXPUSA-N; MLVPRCYREVPVES-KWTPPHGWSA-N; RFWTZQAOOLFXAY-UHFFFAOYSA-N</t>
  </si>
  <si>
    <t xml:space="preserve">Prenol lipids; Prenol lipids; Steroids and steroid derivatives</t>
  </si>
  <si>
    <t xml:space="preserve">Diterpenoids; Diterpenoids; Steroid esters</t>
  </si>
  <si>
    <t xml:space="preserve">768.25023</t>
  </si>
  <si>
    <t xml:space="preserve">C35H46ClN5O9S</t>
  </si>
  <si>
    <t xml:space="preserve">Asunaprevir</t>
  </si>
  <si>
    <t xml:space="preserve">203730</t>
  </si>
  <si>
    <t xml:space="preserve">HMDB0248681</t>
  </si>
  <si>
    <t xml:space="preserve">23595629</t>
  </si>
  <si>
    <t xml:space="preserve">COC1=CN=C(OC2CC(N(C2)C(=O)C(NC(=O)OC(C)(C)C)C(C)(C)C)C(=O)NC2(CC2C=C)C(=O)NS(=O)(=O)C2CC2)C2=C1C=CC(Cl)=C2</t>
  </si>
  <si>
    <t xml:space="preserve">XRWSZZJLZRKHHD-UHFFFAOYSA-N</t>
  </si>
  <si>
    <t xml:space="preserve">769.26301</t>
  </si>
  <si>
    <t xml:space="preserve">C35H46O19</t>
  </si>
  <si>
    <t xml:space="preserve">Leonoside A</t>
  </si>
  <si>
    <t xml:space="preserve">63527</t>
  </si>
  <si>
    <t xml:space="preserve">HMDB0040342</t>
  </si>
  <si>
    <t xml:space="preserve">131752796</t>
  </si>
  <si>
    <t xml:space="preserve">140147-66-6</t>
  </si>
  <si>
    <t xml:space="preserve">COC1=C(O)C=CC(\C=C/C(=O)OC2C(CO)OC(OCCC3=CC(O)=C(O)C=C3)C(O)C2OC2OC(C)C(O)C(O)C2OC2OCC(O)C(O)C2O)=C1</t>
  </si>
  <si>
    <t xml:space="preserve">ZPJGTPAAEPXBQT-YVMONPNESA-N</t>
  </si>
  <si>
    <t xml:space="preserve">769.51742</t>
  </si>
  <si>
    <t xml:space="preserve">C24H35NO3</t>
  </si>
  <si>
    <t xml:space="preserve">Temiverine; N-Docosahexaenoyl Glycine</t>
  </si>
  <si>
    <t xml:space="preserve">212247; 198520</t>
  </si>
  <si>
    <t xml:space="preserve">HMDB0258802; HMDB0242014</t>
  </si>
  <si>
    <t xml:space="preserve">; 331082</t>
  </si>
  <si>
    <t xml:space="preserve">; 53393963</t>
  </si>
  <si>
    <t xml:space="preserve">CCN(CC)CC#CC(C)(C)OC(=O)C(O)(C1CCCCC1)C1=CC=CC=C1; CCC=CCC=CCC=CCC=CCC=CCC=CCCC(=O)NCC(O)=O</t>
  </si>
  <si>
    <t xml:space="preserve">DMEPDNFRHUGNPT-UHFFFAOYSA-N; BEYWKSIFICEQGH-UHFFFAOYSA-N</t>
  </si>
  <si>
    <t xml:space="preserve">770.49895</t>
  </si>
  <si>
    <t xml:space="preserve">C39H76NO10P</t>
  </si>
  <si>
    <t xml:space="preserve">PS(33:0)</t>
  </si>
  <si>
    <t xml:space="preserve">22175</t>
  </si>
  <si>
    <t xml:space="preserve">HMDB0112322</t>
  </si>
  <si>
    <t xml:space="preserve">78578</t>
  </si>
  <si>
    <t xml:space="preserve">LMGP03010914</t>
  </si>
  <si>
    <t xml:space="preserve">11377674</t>
  </si>
  <si>
    <t xml:space="preserve">C(O)(=O)[C@@]([H])(N)COP(OC[C@]([H])(OC(CCCCCCCCCCCCCCCCC)=O)COC(CCCCCCCCCCCCCC)=O)(=O)O</t>
  </si>
  <si>
    <t xml:space="preserve">BYEJBOPLDPFWCM-XDSPJLLDSA-N</t>
  </si>
  <si>
    <t xml:space="preserve">771.51753</t>
  </si>
  <si>
    <t xml:space="preserve">C41H75O8P</t>
  </si>
  <si>
    <t xml:space="preserve">Phosphatidate(38:3); PA(38:3)</t>
  </si>
  <si>
    <t xml:space="preserve">25121; 25784</t>
  </si>
  <si>
    <t xml:space="preserve">HMDB0114866; HMDB0115515</t>
  </si>
  <si>
    <t xml:space="preserve">81388; 82051</t>
  </si>
  <si>
    <t xml:space="preserve">LMGP10010222; LMGP10010885</t>
  </si>
  <si>
    <t xml:space="preserve">52928815; 52929477</t>
  </si>
  <si>
    <t xml:space="preserve">[C@](COP(=O)(O)O)([H])(OC(CCCCCCCCCCC/C=C\C/C=C\CCCCC)=O)COC(CCCCCCC/C=C\CCCCCC)=O; [C@](COP(=O)(O)O)([H])(OC(CCCCCC/C=C\C/C=C\C/C=C\CCCCC)=O)COC(CCCCCCCCCCCCCCCCC)=O</t>
  </si>
  <si>
    <t xml:space="preserve">JSJLXZCSGITPLR-XKDWLADFSA-N; ZHYGTYSUJUQQBH-KHLJEIKVSA-N</t>
  </si>
  <si>
    <t xml:space="preserve">773.52711</t>
  </si>
  <si>
    <t xml:space="preserve">C41H77O8P</t>
  </si>
  <si>
    <t xml:space="preserve">Phosphatidate(38:2); PA(38:2)</t>
  </si>
  <si>
    <t xml:space="preserve">134893; 25864</t>
  </si>
  <si>
    <t xml:space="preserve">HMDB0114811; HMDB0115514</t>
  </si>
  <si>
    <t xml:space="preserve">; 82131</t>
  </si>
  <si>
    <t xml:space="preserve">; LMGP10010965</t>
  </si>
  <si>
    <t xml:space="preserve">131821876; 52929551</t>
  </si>
  <si>
    <t xml:space="preserve">[H][C@@](COC(=O)CCCCCCC\C=C/CCCC)(COP(O)(O)=O)OC(=O)CCCCCCCCCCCCC\C=C/CCCCCCCC; [C@](COP(=O)(O)O)([H])(OC(CCCCCCCCC/C=C\C/C=C\CCCCC)=O)COC(CCCCCCCCCCCCCCCCC)=O</t>
  </si>
  <si>
    <t xml:space="preserve">GDDLDQULBNDGMO-ZDMXYWDMSA-N; FEDBUKQAMRWAKH-XRIXOMQFSA-N</t>
  </si>
  <si>
    <t xml:space="preserve">774.22406</t>
  </si>
  <si>
    <t xml:space="preserve">C35H48ClN3O10S</t>
  </si>
  <si>
    <t xml:space="preserve">Mertansine</t>
  </si>
  <si>
    <t xml:space="preserve">208584</t>
  </si>
  <si>
    <t xml:space="preserve">HMDB0254470</t>
  </si>
  <si>
    <t xml:space="preserve">72764735</t>
  </si>
  <si>
    <t xml:space="preserve">COC1C=CC=C(C)CC2=CC(N(C)C(=O)CC(OC(=O)C(C)N(C)C(=O)CCS)C3(C)OC3C(C)C3CC1(O)NC(=O)O3)=C(Cl)C(OC)=C2</t>
  </si>
  <si>
    <t xml:space="preserve">ANZJBCHSOXCCRQ-UHFFFAOYSA-N</t>
  </si>
  <si>
    <t xml:space="preserve">Macrolactams</t>
  </si>
  <si>
    <t xml:space="preserve">775.20939</t>
  </si>
  <si>
    <t xml:space="preserve">C21H21ClO5</t>
  </si>
  <si>
    <t xml:space="preserve">10-Chloromethyl-11-demethyl-12-oxo-calanolide A</t>
  </si>
  <si>
    <t xml:space="preserve">204883</t>
  </si>
  <si>
    <t xml:space="preserve">HMDB0250038</t>
  </si>
  <si>
    <t xml:space="preserve">45487205</t>
  </si>
  <si>
    <t xml:space="preserve">CCCC1=CC(=O)OC2=C1C1=C(C=CC(C)(C)O1)C1=C2C(=O)CC(CCl)O1</t>
  </si>
  <si>
    <t xml:space="preserve">GICGMJBYHLLYIK-UHFFFAOYSA-N</t>
  </si>
  <si>
    <t xml:space="preserve">Pyranocoumarins</t>
  </si>
  <si>
    <t xml:space="preserve">775.44372</t>
  </si>
  <si>
    <t xml:space="preserve">C23H32O5</t>
  </si>
  <si>
    <t xml:space="preserve">3-keto-Digoxigenin</t>
  </si>
  <si>
    <t xml:space="preserve">82610</t>
  </si>
  <si>
    <t xml:space="preserve">HMDB0060746</t>
  </si>
  <si>
    <t xml:space="preserve">C07359</t>
  </si>
  <si>
    <t xml:space="preserve">7823</t>
  </si>
  <si>
    <t xml:space="preserve">4616</t>
  </si>
  <si>
    <t xml:space="preserve">C[C@@]12[C@H](CC[C@]1(O)[C@@H]1CC[C@@H]3CC(=O)CC[C@]3(C)[C@H]1C[C@H]2O)C1=CC(=O)OC1</t>
  </si>
  <si>
    <t xml:space="preserve">POWMMMXVDBMFMP-QPMAGJLNSA-N</t>
  </si>
  <si>
    <t xml:space="preserve">Steroid lactones</t>
  </si>
  <si>
    <t xml:space="preserve">776.52710</t>
  </si>
  <si>
    <t xml:space="preserve">C44H76NO8P</t>
  </si>
  <si>
    <t xml:space="preserve">PC(36:6)</t>
  </si>
  <si>
    <t xml:space="preserve">18221</t>
  </si>
  <si>
    <t xml:space="preserve">HMDB0007892</t>
  </si>
  <si>
    <t xml:space="preserve">59342</t>
  </si>
  <si>
    <t xml:space="preserve">LMGP01010512</t>
  </si>
  <si>
    <t xml:space="preserve">C00157</t>
  </si>
  <si>
    <t xml:space="preserve">86162</t>
  </si>
  <si>
    <t xml:space="preserve">24778639</t>
  </si>
  <si>
    <t xml:space="preserve">[C@](COP(=O)([O-])OCC[N+](C)(C)C)([H])(OC(CC/C=C\C/C=C\C/C=C\C/C=C\C/C=C\C/C=C\CC)=O)COC(CCCCCCCCCCCCC)=O</t>
  </si>
  <si>
    <t xml:space="preserve">HAIPHKFLSXSDAN-BLOCXYQCSA-N</t>
  </si>
  <si>
    <t xml:space="preserve">Glycerophosphocholines</t>
  </si>
  <si>
    <t xml:space="preserve">777.21693</t>
  </si>
  <si>
    <t xml:space="preserve">C38H38N4O12</t>
  </si>
  <si>
    <t xml:space="preserve">Hexacarboxylporphyrin I; Porphinehexacarboxylic acid; Hexacarboxylporphyrin III</t>
  </si>
  <si>
    <t xml:space="preserve">47196; 47217; 47734</t>
  </si>
  <si>
    <t xml:space="preserve">HMDB0000743; HMDB0000780; HMDB0001952</t>
  </si>
  <si>
    <t xml:space="preserve">5711; 5746; 6396</t>
  </si>
  <si>
    <t xml:space="preserve">73913-56-1; 28100-67-6; </t>
  </si>
  <si>
    <t xml:space="preserve">CC1=C(CCC(O)=O)/C2=C/C3=N/C(=C\C4=C(CC(O)=O)C(CCC(O)=O)=C(N4)/C=C4\N=C(\C=C\1/N\2)C(CCC(O)=O)=C4C)/C(CCC(O)=O)=C3CC(O)=O; CC1=C2NC(\C=C3/N=C(/C=C4\N\C(=C/C5=N/C(=C\2)/C(C)=C5CCC(O)=O)C(CCC(O)=O)=C4CC(O)=O)C(CCC(O)=O)=C3CC(O)=O)=C1CCC(O)=O; CC1=C(CCC(O)=O)/C2=C/C3=N/C(=C\C4=C(C)C(CCC(O)=O)=C(N4)/C=C4\N=C(\C=C\1/N\2)C(CCC(O)=O)=C4CC(O)=O)/C(CC(O)=O)=C3CCC(O)=O</t>
  </si>
  <si>
    <t xml:space="preserve">AFHLWIUSJBEMJE-ZMXCOFNRSA-N; VQFYONCZECTVOH-JWLKGTHFSA-N; NTILFDFSYFWZAA-CYRUMZLOSA-N</t>
  </si>
  <si>
    <t xml:space="preserve">Tetrapyrroles and derivatives; Tetrapyrroles and derivatives; Tetrapyrroles and derivatives</t>
  </si>
  <si>
    <t xml:space="preserve">Porphyrins; Porphyrins; Porphyrins</t>
  </si>
  <si>
    <t xml:space="preserve">777.48332</t>
  </si>
  <si>
    <t xml:space="preserve">C47H73O8P</t>
  </si>
  <si>
    <t xml:space="preserve">Phosphatidate(44:10)</t>
  </si>
  <si>
    <t xml:space="preserve">24941</t>
  </si>
  <si>
    <t xml:space="preserve">HMDB0115346</t>
  </si>
  <si>
    <t xml:space="preserve">81208</t>
  </si>
  <si>
    <t xml:space="preserve">LMGP10010042</t>
  </si>
  <si>
    <t xml:space="preserve">52928635</t>
  </si>
  <si>
    <t xml:space="preserve">[C@](COP(=O)(O)O)([H])(OC(CC/C=C\C/C=C\C/C=C\C/C=C\C/C=C\C/C=C\CC)=O)COC(CCCCC/C=C\C/C=C\C/C=C\C/C=C\CCCCC)=O</t>
  </si>
  <si>
    <t xml:space="preserve">RETIZNFPVWJMFA-JITJJUFXSA-N</t>
  </si>
  <si>
    <t xml:space="preserve">778.13455</t>
  </si>
  <si>
    <t xml:space="preserve">C42H35N3O4S3</t>
  </si>
  <si>
    <t xml:space="preserve">(2E)-2-(2-Thioxo-4-oxo-3-ethylthiazolidine-5-ylidene)-4-oxo-5-[1-[4-(2,2-diphenylvinyl)phenyl]-2,3-propanoindoline-5-ylmethylene]thiazolidine-3-acetic acid</t>
  </si>
  <si>
    <t xml:space="preserve">213282</t>
  </si>
  <si>
    <t xml:space="preserve">HMDB0260119</t>
  </si>
  <si>
    <t xml:space="preserve">71433733</t>
  </si>
  <si>
    <t xml:space="preserve">CCN1C(=S)SC(C1=O)=C1SC(=CC2=CC3=C(C=C2)N(C2CCCC32)C2=CC=C(C=C(C3=CC=CC=C3)C3=CC=CC=C3)C=C2)C(=O)N1CC(O)=O</t>
  </si>
  <si>
    <t xml:space="preserve">OZFUEQNYOBIXTB-UHFFFAOYSA-N</t>
  </si>
  <si>
    <t xml:space="preserve">778.49992</t>
  </si>
  <si>
    <t xml:space="preserve">C43H74NO9P</t>
  </si>
  <si>
    <t xml:space="preserve">PE(38:6(4Z,7Z,10Z,12E,16Z,19Z)-OH)</t>
  </si>
  <si>
    <t xml:space="preserve">27876</t>
  </si>
  <si>
    <t xml:space="preserve">HMDB0260962</t>
  </si>
  <si>
    <t xml:space="preserve">82384</t>
  </si>
  <si>
    <t xml:space="preserve">LMGP20020003</t>
  </si>
  <si>
    <t xml:space="preserve">52929785</t>
  </si>
  <si>
    <t xml:space="preserve">[C@](COP(=O)(O)OCCN)([H])(OC(CC/C=C\C/C=C\C/C=C\C=C\C(O)C/C=C\C/C=C\CC)=O)COC(CCCCCCCCCCCCCCC)=O</t>
  </si>
  <si>
    <t xml:space="preserve">HHJJTYMYHYKVOT-LPUIUFANSA-N</t>
  </si>
  <si>
    <t xml:space="preserve">783.15442</t>
  </si>
  <si>
    <t xml:space="preserve">C33H38O23</t>
  </si>
  <si>
    <t xml:space="preserve">Quercetin 7-glucuronoside 3-sophoroside; 6-Hydroxykaempferol 3,6-diglucoside 7-glucuronide; Quercetin 3-O-sophoroside 7-O-glucuronide</t>
  </si>
  <si>
    <t xml:space="preserve">62617; 60742; 256022</t>
  </si>
  <si>
    <t xml:space="preserve">HMDB0039335; HMDB0037094; HMDB0303137</t>
  </si>
  <si>
    <t xml:space="preserve">93917; 92070; </t>
  </si>
  <si>
    <t xml:space="preserve">; 169422; </t>
  </si>
  <si>
    <t xml:space="preserve">74978169; 131752149; </t>
  </si>
  <si>
    <t xml:space="preserve">140163-57-1; ; </t>
  </si>
  <si>
    <t xml:space="preserve">OCC1OC(OC2C(O)C(O)C(CO)OC2OC2=C(OC3=CC(OC4OC(C(O)C(O)C4O)C(O)=O)=CC(O)=C3C2=O)C2=CC(O)=C(O)C=C2)C(O)C(O)C1O; OCC1OC(OC2=C(OC3OC(C(O)C(O)C3O)C(O)=O)C=C3OC(C4=CC=C(O)C=C4)=C(OC4OC(CO)C(O)C(O)C4O)C(=O)C3=C2O)C(O)C(O)C1O; OC[C@H]1O[C@@H](O[C@@H]2[C@@H](O)[C@H](O)[C@@H](CO)O[C@@H]2OC2=C(OC3=C(C(O)=CC(O[C@@H]4O[C@@H]([C@@H](O)[C@H](O)[C@H]4O)C(O)=O)=C3)C2=O)C2=CC(O)=C(O)C=C2)[C@H](O)[C@@H](O)[C@@H]1O</t>
  </si>
  <si>
    <t xml:space="preserve">MBLCMVKVVNMTFV-UHFFFAOYSA-N; AAKJOZZAGIRTOJ-UHFFFAOYSA-N; MBLCMVKVVNMTFV-FJZWYKRQSA-N</t>
  </si>
  <si>
    <t xml:space="preserve">785.15059</t>
  </si>
  <si>
    <t xml:space="preserve">C35H27F3N2O13</t>
  </si>
  <si>
    <t xml:space="preserve">Fluo-5F</t>
  </si>
  <si>
    <t xml:space="preserve">206839</t>
  </si>
  <si>
    <t xml:space="preserve">HMDB0252346</t>
  </si>
  <si>
    <t xml:space="preserve">51104</t>
  </si>
  <si>
    <t xml:space="preserve">24802868</t>
  </si>
  <si>
    <t xml:space="preserve">OC(=O)CN(CC(O)=O)C1=C(OCCOC2=C(C=CC(=C2)C2=C3C=C(F)C(=O)C=C3OC3=CC(O)=C(F)C=C23)N(CC(O)=O)CC(O)=O)C=C(F)C=C1</t>
  </si>
  <si>
    <t xml:space="preserve">PITMCSLKSXHPOA-UHFFFAOYSA-N</t>
  </si>
  <si>
    <t xml:space="preserve">786.56045</t>
  </si>
  <si>
    <t xml:space="preserve">C42H80NO7P</t>
  </si>
  <si>
    <t xml:space="preserve">PC(16:2)</t>
  </si>
  <si>
    <t xml:space="preserve">49599</t>
  </si>
  <si>
    <t xml:space="preserve">HMDB0008030</t>
  </si>
  <si>
    <t xml:space="preserve">59478</t>
  </si>
  <si>
    <t xml:space="preserve">89668</t>
  </si>
  <si>
    <t xml:space="preserve">53478699</t>
  </si>
  <si>
    <t xml:space="preserve">CCCCCCCC\C=C/CCCCCC\C=C/OC(COC(=O)CCCCCCC\C=C/CCCCCC)COP([O-])(=O)OCC[N+](C)(C)C</t>
  </si>
  <si>
    <t xml:space="preserve">UMCQOQMEDBTSBS-YJTQHARMSA-N</t>
  </si>
  <si>
    <t xml:space="preserve">789.18243</t>
  </si>
  <si>
    <t xml:space="preserve">C37H38O17</t>
  </si>
  <si>
    <t xml:space="preserve">Spinosin C</t>
  </si>
  <si>
    <t xml:space="preserve">61016</t>
  </si>
  <si>
    <t xml:space="preserve">HMDB0037463</t>
  </si>
  <si>
    <t xml:space="preserve">92356</t>
  </si>
  <si>
    <t xml:space="preserve">131752192</t>
  </si>
  <si>
    <t xml:space="preserve">77690-93-8</t>
  </si>
  <si>
    <t xml:space="preserve">COC1=CC2=C(C(=O)C=C(O2)C2=CC=C(O)C=C2)C(O)=C1C1OC(CO)C(O)C(O)C1OC1OC(COC(=O)\C=C\C2=CC=C(O)C=C2)C(O)C(O)C1O</t>
  </si>
  <si>
    <t xml:space="preserve">GIFDFLYIKYFTAD-NYYWCZLTSA-N</t>
  </si>
  <si>
    <t xml:space="preserve">791.53171</t>
  </si>
  <si>
    <t xml:space="preserve">C39H74N2O11</t>
  </si>
  <si>
    <t xml:space="preserve">Azitromycin</t>
  </si>
  <si>
    <t xml:space="preserve">204537</t>
  </si>
  <si>
    <t xml:space="preserve">HMDB0249627</t>
  </si>
  <si>
    <t xml:space="preserve">18714863</t>
  </si>
  <si>
    <t xml:space="preserve">CCC1CC(=O)C(C)C(OC2CC(C)(OC)C(O)C(C)O2)C(C)C(OC2OC(C)CC(C2O)N(C)C)C(C)(O)CC(C)CN(C)C(C)C(O)C1(C)O</t>
  </si>
  <si>
    <t xml:space="preserve">MXEACJLTBFYQAU-UHFFFAOYSA-N</t>
  </si>
  <si>
    <t xml:space="preserve">793.13038</t>
  </si>
  <si>
    <t xml:space="preserve">C17H14F3N3O3S</t>
  </si>
  <si>
    <t xml:space="preserve">Hydroxycelecoxib; 2-Hydroxy-4-[5-(4-methylphenyl)-3-(trifluoromethyl)pyrazol-1-yl]benzenesulfonamide; Deracoxib</t>
  </si>
  <si>
    <t xml:space="preserve">52545; 209384; 205690</t>
  </si>
  <si>
    <t xml:space="preserve">HMDB0013995; HMDB0255388; HMDB0251022</t>
  </si>
  <si>
    <t xml:space="preserve">85328; ; 43891</t>
  </si>
  <si>
    <t xml:space="preserve">; ; 73032</t>
  </si>
  <si>
    <t xml:space="preserve">9908776; 54364878; 3058754</t>
  </si>
  <si>
    <t xml:space="preserve">170571-00-3; ; 169590-41-4</t>
  </si>
  <si>
    <t xml:space="preserve">NS(=O)(=O)C1=CC=C(C=C1)N1N=C(C=C1C1=CC=C(CO)C=C1)C(F)(F)F; CC1=CC=C(C=C1)C1=CC(=NN1C1=CC(O)=C(C=C1)S(N)(=O)=O)C(F)(F)F; COC1=C(F)C=C(C=C1)C1=CC(=NN1C1=CC=C(C=C1)S(N)(=O)=O)C(F)F</t>
  </si>
  <si>
    <t xml:space="preserve">ICRSYPPLGADZKA-UHFFFAOYSA-N; UPCBHTOGTJPLIW-UHFFFAOYSA-N; WAZQAZKAZLXFMK-UHFFFAOYSA-N</t>
  </si>
  <si>
    <t xml:space="preserve">Azoles; Azoles; Azoles</t>
  </si>
  <si>
    <t xml:space="preserve">Pyrazoles; Pyrazoles; Pyrazoles</t>
  </si>
  <si>
    <t xml:space="preserve">793.50808</t>
  </si>
  <si>
    <t xml:space="preserve">C38H72N2O12</t>
  </si>
  <si>
    <t xml:space="preserve">Azithromycin</t>
  </si>
  <si>
    <t xml:space="preserve">52607</t>
  </si>
  <si>
    <t xml:space="preserve">HMDB0014352</t>
  </si>
  <si>
    <t xml:space="preserve">C06838</t>
  </si>
  <si>
    <t xml:space="preserve">2955</t>
  </si>
  <si>
    <t xml:space="preserve">447043</t>
  </si>
  <si>
    <t xml:space="preserve">83905-01-5</t>
  </si>
  <si>
    <t xml:space="preserve">CC[C@H]1OC(=O)[C@H](C)[C@@H](O[C@H]2C[C@@](C)(OC)[C@@H](O)[C@H](C)O2)[C@H](C)[C@@H](O[C@@H]2O[C@H](C)C[C@@H]([C@H]2O)N(C)C)[C@](C)(O)C[C@@H](C)CN(C)[C@H](C)[C@@H](O)[C@]1(C)O</t>
  </si>
  <si>
    <t xml:space="preserve">MQTOSJVFKKJCRP-BICOPXKESA-N</t>
  </si>
  <si>
    <t xml:space="preserve">794.51368</t>
  </si>
  <si>
    <t xml:space="preserve">C47H76NO8P</t>
  </si>
  <si>
    <t xml:space="preserve">PE(42:9)</t>
  </si>
  <si>
    <t xml:space="preserve">50146</t>
  </si>
  <si>
    <t xml:space="preserve">HMDB0009342</t>
  </si>
  <si>
    <t xml:space="preserve">60738</t>
  </si>
  <si>
    <t xml:space="preserve">53479768</t>
  </si>
  <si>
    <t xml:space="preserve">[H][C@@](COC(=O)CCC\C=C/C\C=C/C\C=C/CCCCCCCC)(COP(O)(=O)OCCN)OC(=O)CC\C=C/C\C=C/C\C=C/C\C=C/C\C=C/C\C=C/CC</t>
  </si>
  <si>
    <t xml:space="preserve">UODILDGVDBUDJO-MJSTXWNFSA-N</t>
  </si>
  <si>
    <t xml:space="preserve">795.14393</t>
  </si>
  <si>
    <t xml:space="preserve">C18H23IO2</t>
  </si>
  <si>
    <t xml:space="preserve">Estra-1,3,5(10)-triene-3,17-diol, 16-iodo-, (16alpha,17beta)-</t>
  </si>
  <si>
    <t xml:space="preserve">212807</t>
  </si>
  <si>
    <t xml:space="preserve">HMDB0259459</t>
  </si>
  <si>
    <t xml:space="preserve">CC12CCC3C(CCC4=C3C=CC(O)=C4)C1CC(I)C2O</t>
  </si>
  <si>
    <t xml:space="preserve">SSYGGPAGDDGXAF-UHFFFAOYSA-N</t>
  </si>
  <si>
    <t xml:space="preserve">Estrane steroids</t>
  </si>
  <si>
    <t xml:space="preserve">795.51295</t>
  </si>
  <si>
    <t xml:space="preserve">C44H77O10P</t>
  </si>
  <si>
    <t xml:space="preserve">PG(38:5)</t>
  </si>
  <si>
    <t xml:space="preserve">51088</t>
  </si>
  <si>
    <t xml:space="preserve">HMDB0010582</t>
  </si>
  <si>
    <t xml:space="preserve">61857</t>
  </si>
  <si>
    <t xml:space="preserve">89090</t>
  </si>
  <si>
    <t xml:space="preserve">53480604</t>
  </si>
  <si>
    <t xml:space="preserve">[H][C@](O)(CO)COP(O)(=O)OC[C@@]([H])(COC(=O)CCCCCCCCCCCCCCC)OC(=O)CC\C=C/C\C=C/C\C=C/C\C=C/C\C=C/CCCCC</t>
  </si>
  <si>
    <t xml:space="preserve">FATXSYDWISDRSW-WFYRZQIBSA-N</t>
  </si>
  <si>
    <t xml:space="preserve">802.56188</t>
  </si>
  <si>
    <t xml:space="preserve">C43H82NO10P</t>
  </si>
  <si>
    <t xml:space="preserve">PS(37:1)</t>
  </si>
  <si>
    <t xml:space="preserve">132698</t>
  </si>
  <si>
    <t xml:space="preserve">HMDB0112335</t>
  </si>
  <si>
    <t xml:space="preserve">131819718</t>
  </si>
  <si>
    <t xml:space="preserve">[H][C@](N)(COP(O)(=O)OC[C@@]([H])(COC(=O)CCCCCCCCCCCCCC)OC(=O)CCCCCCCCCCC\C=C/CCCCCCCC)C(O)=O</t>
  </si>
  <si>
    <t xml:space="preserve">CMYXIUIAXHLISA-WMWCSSQDSA-N</t>
  </si>
  <si>
    <t xml:space="preserve">803.14339</t>
  </si>
  <si>
    <t xml:space="preserve">C23H14O7</t>
  </si>
  <si>
    <t xml:space="preserve">Psoberan</t>
  </si>
  <si>
    <t xml:space="preserve">255575</t>
  </si>
  <si>
    <t xml:space="preserve">HMDB0302635</t>
  </si>
  <si>
    <t xml:space="preserve">162699</t>
  </si>
  <si>
    <t xml:space="preserve">O=C1OC2=CC3=C(C=CO3)C=C2C=C1.COC1=C2C=CC(=O)OC2=CC2=C1C=CO2</t>
  </si>
  <si>
    <t xml:space="preserve">IAMQACMBFNNMJC-UHFFFAOYSA-N</t>
  </si>
  <si>
    <t xml:space="preserve">Furanocoumarins</t>
  </si>
  <si>
    <t xml:space="preserve">803.55951</t>
  </si>
  <si>
    <t xml:space="preserve">C47H81O8P</t>
  </si>
  <si>
    <t xml:space="preserve">Phosphatidate(44:6)</t>
  </si>
  <si>
    <t xml:space="preserve">135070</t>
  </si>
  <si>
    <t xml:space="preserve">HMDB0115223</t>
  </si>
  <si>
    <t xml:space="preserve">131822053</t>
  </si>
  <si>
    <t xml:space="preserve">[H][C@@](COC(=O)CCC\C=C/C\C=C/C\C=C/C\C=C/C\C=C/CC)(COP(O)(O)=O)OC(=O)CCCCCCCCCCCCC\C=C/CCCCCCCC</t>
  </si>
  <si>
    <t xml:space="preserve">YYGHZRDPRKSRSR-YAQCGFTGSA-N</t>
  </si>
  <si>
    <t xml:space="preserve">805.20192</t>
  </si>
  <si>
    <t xml:space="preserve">C34H42O20</t>
  </si>
  <si>
    <t xml:space="preserve">Isorhamnetin 3-rutinoside 4'-rhamnoside; Typhaneoside; Isorhamnetin 3-O-[a-L-rhamnopyranosyl-(1-&gt;3)-a-L-rhamnopyranosyl-(1-&gt;6)-b-D-glucopyranoside]</t>
  </si>
  <si>
    <t xml:space="preserve">61251; 62807; 63091</t>
  </si>
  <si>
    <t xml:space="preserve">HMDB0037748; HMDB0039541; HMDB0039850</t>
  </si>
  <si>
    <t xml:space="preserve">92571; ; 94397</t>
  </si>
  <si>
    <t xml:space="preserve">73822546; 14353383; 131752732</t>
  </si>
  <si>
    <t xml:space="preserve">81053-13-6; 104472-68-6; 122342-15-8</t>
  </si>
  <si>
    <t xml:space="preserve">COC1=C(OC2OC(C)C(O)C(O)C2O)C=CC(=C1)C1=C(OC2OC(COC3OC(C)C(O)C(O)C3O)C(O)C(O)C2O)C(=O)C2=C(O)C=C(O)C=C2O1; COC1=C(O)C=CC(=C1)C1=C(OC2OC(COC3OC(C)C(O)C(O)C3O)C(O)C(O)C2OC2OC(C)C(O)C(O)C2O)C(=O)C2=C(O)C=C(O)C=C2O1; COC1=C(O)C=CC(=C1)C1=C(OC2OC(COC3OC(C)C(O)C(OC4OC(C)C(O)C(O)C4O)C3O)C(O)C(O)C2O)C(=O)C2=C(O)C=C(O)C=C2O1</t>
  </si>
  <si>
    <t xml:space="preserve">YJJATMIYFDTODI-UHFFFAOYSA-N; POMAQDQEVHXLGT-UHFFFAOYSA-N; JWHAWYQFMISEEO-UHFFFAOYSA-N</t>
  </si>
  <si>
    <t xml:space="preserve">805.56695</t>
  </si>
  <si>
    <t xml:space="preserve">C45H85O8P</t>
  </si>
  <si>
    <t xml:space="preserve">Phosphatidate(42:2); PA(42:2)</t>
  </si>
  <si>
    <t xml:space="preserve">134945; 25481</t>
  </si>
  <si>
    <t xml:space="preserve">HMDB0114920; HMDB0115551</t>
  </si>
  <si>
    <t xml:space="preserve">; 81748</t>
  </si>
  <si>
    <t xml:space="preserve">; LMGP10010582</t>
  </si>
  <si>
    <t xml:space="preserve">131821928; 52929175</t>
  </si>
  <si>
    <t xml:space="preserve">[H][C@@](COC(=O)CCCCCCCCC\C=C/CCCCCC)(COP(O)(O)=O)OC(=O)CCCCCCCCCCCCC\C=C/CCCCCCCC; [C@](COP(=O)(O)O)([H])(OC(CCCCCCCCCCCCCCCCCCCCC)=O)COC(CCCCCCCCC/C=C\C/C=C\CCCCC)=O</t>
  </si>
  <si>
    <t xml:space="preserve">NEIYGEYWTVTCPS-WHGAUIBTSA-N; IYVWUDABTOAHMQ-RNLCRUPCSA-N</t>
  </si>
  <si>
    <t xml:space="preserve">809.19655</t>
  </si>
  <si>
    <t xml:space="preserve">C18H19N3O6S</t>
  </si>
  <si>
    <t xml:space="preserve">Cephaloglycin</t>
  </si>
  <si>
    <t xml:space="preserve">52994</t>
  </si>
  <si>
    <t xml:space="preserve">HMDB0014827</t>
  </si>
  <si>
    <t xml:space="preserve">69576</t>
  </si>
  <si>
    <t xml:space="preserve">C13440</t>
  </si>
  <si>
    <t xml:space="preserve">34613</t>
  </si>
  <si>
    <t xml:space="preserve">19150</t>
  </si>
  <si>
    <t xml:space="preserve">3577-01-3</t>
  </si>
  <si>
    <t xml:space="preserve">[H][C@]12SCC(COC(C)=O)=C(N1C(=O)[C@H]2NC(=O)[C@H](N)C1=CC=CC=C1)C(O)=O</t>
  </si>
  <si>
    <t xml:space="preserve">FUBBGQLTSCSAON-PBFPGSCMSA-N</t>
  </si>
  <si>
    <t xml:space="preserve">809.48888</t>
  </si>
  <si>
    <t xml:space="preserve">C45H75O8P</t>
  </si>
  <si>
    <t xml:space="preserve">Phosphatidate(42:7); PA(42:7)</t>
  </si>
  <si>
    <t xml:space="preserve">25454; 135260</t>
  </si>
  <si>
    <t xml:space="preserve">HMDB0115115; HMDB0115555</t>
  </si>
  <si>
    <t xml:space="preserve">81721; </t>
  </si>
  <si>
    <t xml:space="preserve">LMGP10010555; </t>
  </si>
  <si>
    <t xml:space="preserve">52929148; 131822239</t>
  </si>
  <si>
    <t xml:space="preserve">[C@](COP(=O)(O)O)([H])(OC(CC/C=C\C/C=C\C/C=C\C/C=C\C/C=C\C/C=C\CC)=O)COC(CCCCCCCCC/C=C\CCCCCCCC)=O; [H][C@@](COC(=O)CCCCCCCCC\C=C/C\C=C/CCCCC)(COP(O)(O)=O)OC(=O)CC\C=C/C\C=C/C\C=C/C\C=C/C\C=C/CCCCC</t>
  </si>
  <si>
    <t xml:space="preserve">SNRSEJZDZOUUJL-WOLQZHABSA-N; MITPIMOYXLJKBS-GGMVMZAFSA-N</t>
  </si>
  <si>
    <t xml:space="preserve">811.18850</t>
  </si>
  <si>
    <t xml:space="preserve">C33H42N8O10S2</t>
  </si>
  <si>
    <t xml:space="preserve">Pressinoic acid</t>
  </si>
  <si>
    <t xml:space="preserve">210570</t>
  </si>
  <si>
    <t xml:space="preserve">HMDB0256768</t>
  </si>
  <si>
    <t xml:space="preserve">22179242</t>
  </si>
  <si>
    <t xml:space="preserve">NC1CSSCC(NC(=O)C(CC(N)=O)NC(=O)C(CCC(N)=O)NC(=O)C(CC2=CC=CC=C2)NC(=O)C(CC2=CC=C(O)C=C2)NC1=O)C(O)=O</t>
  </si>
  <si>
    <t xml:space="preserve">ICSANXSPLDFBSA-UHFFFAOYSA-N</t>
  </si>
  <si>
    <t xml:space="preserve">813.17586</t>
  </si>
  <si>
    <t xml:space="preserve">C23H18ClNO4</t>
  </si>
  <si>
    <t xml:space="preserve">(E)-4-Chloro-N-(3-(3-(4-hydroxy-3-methoxyphenyl)acryloyl)phenyl)benzamide</t>
  </si>
  <si>
    <t xml:space="preserve">199252</t>
  </si>
  <si>
    <t xml:space="preserve">HMDB0243641</t>
  </si>
  <si>
    <t xml:space="preserve">57347659</t>
  </si>
  <si>
    <t xml:space="preserve">COC1=C(O)C=CC(C=CC(=O)C2=CC(NC(=O)C3=CC=C(Cl)C=C3)=CC=C2)=C1</t>
  </si>
  <si>
    <t xml:space="preserve">SFYVLZRWJCFMTJ-UHFFFAOYSA-N</t>
  </si>
  <si>
    <t xml:space="preserve">Linear 1,3-diarylpropanoids</t>
  </si>
  <si>
    <t xml:space="preserve">Chalcones and dihydrochalcones</t>
  </si>
  <si>
    <t xml:space="preserve">815.50745</t>
  </si>
  <si>
    <t xml:space="preserve">C42H75O10P</t>
  </si>
  <si>
    <t xml:space="preserve">PG(36:4)</t>
  </si>
  <si>
    <t xml:space="preserve">22515</t>
  </si>
  <si>
    <t xml:space="preserve">HMDB0010580</t>
  </si>
  <si>
    <t xml:space="preserve">40867</t>
  </si>
  <si>
    <t xml:space="preserve">LMGP04010036</t>
  </si>
  <si>
    <t xml:space="preserve">84526</t>
  </si>
  <si>
    <t xml:space="preserve">24779550</t>
  </si>
  <si>
    <t xml:space="preserve">[C@]([H])(OC(CCC/C=C\C/C=C\C/C=C\C/C=C\CCCCC)=O)(COP(=O)(O)OC[C@@]([H])(O)CO)COC(CCCCCCCCCCCCCCC)=O</t>
  </si>
  <si>
    <t xml:space="preserve">FBAPNCMXWMGHJY-NYWCEQGFSA-N</t>
  </si>
  <si>
    <t xml:space="preserve">815.58142</t>
  </si>
  <si>
    <t xml:space="preserve">C45H85N2O6P</t>
  </si>
  <si>
    <t xml:space="preserve">SM(d40:3)</t>
  </si>
  <si>
    <t xml:space="preserve">52283</t>
  </si>
  <si>
    <t xml:space="preserve">HMDB0013468</t>
  </si>
  <si>
    <t xml:space="preserve">C00550</t>
  </si>
  <si>
    <t xml:space="preserve">90002</t>
  </si>
  <si>
    <t xml:space="preserve">53481789</t>
  </si>
  <si>
    <t xml:space="preserve">CCCCCCCCCCCCC\C=C\[C@@H](O)[C@H](COP([O-])(=O)OCC[N+](C)(C)C)NC(=O)CCCCCCCC\C=C/C\C=C/C\C=C/CCCCC</t>
  </si>
  <si>
    <t xml:space="preserve">YTQGMICAWXIKQI-OIMFMVRSSA-N</t>
  </si>
  <si>
    <t xml:space="preserve">Phosphosphingolipids</t>
  </si>
  <si>
    <t xml:space="preserve">816.51097</t>
  </si>
  <si>
    <t xml:space="preserve">C41H74NO10P</t>
  </si>
  <si>
    <t xml:space="preserve">PS(35:3)</t>
  </si>
  <si>
    <t xml:space="preserve">132696</t>
  </si>
  <si>
    <t xml:space="preserve">HMDB0112329</t>
  </si>
  <si>
    <t xml:space="preserve">131819716</t>
  </si>
  <si>
    <t xml:space="preserve">[H][C@](N)(COP(O)(=O)OC[C@@]([H])(COC(=O)CCCCCCCCCCCCCC)OC(=O)CCC\C=C/C\C=C/C\C=C/CCCCCCCC)C(O)=O</t>
  </si>
  <si>
    <t xml:space="preserve">ILYSLFQIBYOBJQ-ZZIYTWDJSA-N</t>
  </si>
  <si>
    <t xml:space="preserve">817.52426</t>
  </si>
  <si>
    <t xml:space="preserve">C42H77O10P</t>
  </si>
  <si>
    <t xml:space="preserve">PG(36:3)</t>
  </si>
  <si>
    <t xml:space="preserve">51087</t>
  </si>
  <si>
    <t xml:space="preserve">HMDB0010578</t>
  </si>
  <si>
    <t xml:space="preserve">61854</t>
  </si>
  <si>
    <t xml:space="preserve">53480603</t>
  </si>
  <si>
    <t xml:space="preserve">[H][C@](O)(CO)COP(O)(=O)OC[C@@]([H])(COC(=O)CCCCCCCCCCCCCCC)OC(=O)CCC\C=C/C\C=C/C\C=C/CCCCCCCC</t>
  </si>
  <si>
    <t xml:space="preserve">NDGDVGUDTIGKCF-PSQQFKKASA-N</t>
  </si>
  <si>
    <t xml:space="preserve">818.52219</t>
  </si>
  <si>
    <t xml:space="preserve">C41H76NO10P</t>
  </si>
  <si>
    <t xml:space="preserve">PS(35:2)</t>
  </si>
  <si>
    <t xml:space="preserve">21413</t>
  </si>
  <si>
    <t xml:space="preserve">HMDB0112328</t>
  </si>
  <si>
    <t xml:space="preserve">77816</t>
  </si>
  <si>
    <t xml:space="preserve">LMGP03010152</t>
  </si>
  <si>
    <t xml:space="preserve">52925262</t>
  </si>
  <si>
    <t xml:space="preserve">C(O)(=O)[C@@]([H])(N)COP(OC[C@]([H])(OC(CCCCCCCCC/C=C\C/C=C\CCCCC)=O)COC(CCCCCCCCCCCCCC)=O)(=O)O</t>
  </si>
  <si>
    <t xml:space="preserve">XPBBWSROBWCHFF-CAWRKHGTSA-N</t>
  </si>
  <si>
    <t xml:space="preserve">819.14701</t>
  </si>
  <si>
    <t xml:space="preserve">C37H34O20</t>
  </si>
  <si>
    <t xml:space="preserve">Apigenin 4'-[feruloyl-(-&gt;2)-glucuronyl-(1-&gt;2)-glucuronide]</t>
  </si>
  <si>
    <t xml:space="preserve">61702</t>
  </si>
  <si>
    <t xml:space="preserve">HMDB0038295</t>
  </si>
  <si>
    <t xml:space="preserve">93019</t>
  </si>
  <si>
    <t xml:space="preserve">131752325</t>
  </si>
  <si>
    <t xml:space="preserve">COC1=C(O)C=CC(\C=C\C(=O)OC2C(OC3C(OC4=CC=C(C=C4)C4=CC(=O)C5=C(O)C=C(O)C=C5O4)OC(C(O)C3O)C(O)=O)OC(C(O)C2O)C(O)=O)=C1</t>
  </si>
  <si>
    <t xml:space="preserve">LNCLTICCQWMCNS-YCRREMRBSA-N</t>
  </si>
  <si>
    <t xml:space="preserve">819.53431</t>
  </si>
  <si>
    <t xml:space="preserve">C45H83O8P</t>
  </si>
  <si>
    <t xml:space="preserve">PA(42:3); Phosphatidate(42:3)</t>
  </si>
  <si>
    <t xml:space="preserve">135259; 134960</t>
  </si>
  <si>
    <t xml:space="preserve">HMDB0115552; HMDB0114972</t>
  </si>
  <si>
    <t xml:space="preserve">131822238; 131821943</t>
  </si>
  <si>
    <t xml:space="preserve">[H][C@@](COC(=O)CCCCCCCCC\C=C/C\C=C/CCCCC)(COP(O)(O)=O)OC(=O)CCCCCCCCCCC\C=C/CCCCCCCC; [H][C@@](COC(=O)CCCCCCC\C=C/C\C=C/CCCCC)(COP(O)(O)=O)OC(=O)CCCCCCCCCCCCC\C=C/CCCCCCCC</t>
  </si>
  <si>
    <t xml:space="preserve">RHDSACDZHVGYJR-YJIJRROJSA-N; ZAVMWXIKLTWFGR-XDCQSBOWSA-N</t>
  </si>
  <si>
    <t xml:space="preserve">820.53279</t>
  </si>
  <si>
    <t xml:space="preserve">C49H78NO8P</t>
  </si>
  <si>
    <t xml:space="preserve">PE(44:10)</t>
  </si>
  <si>
    <t xml:space="preserve">20961</t>
  </si>
  <si>
    <t xml:space="preserve">HMDB0009605</t>
  </si>
  <si>
    <t xml:space="preserve">60994</t>
  </si>
  <si>
    <t xml:space="preserve">LMGP02011272</t>
  </si>
  <si>
    <t xml:space="preserve">52923868</t>
  </si>
  <si>
    <t xml:space="preserve">[C@](COP(=O)(O)OCCN)([H])(OC(CC/C=C\C/C=C\C/C=C\C/C=C\C/C=C\C/C=C\CC)=O)COC(CCCCC/C=C\C/C=C\C/C=C\C/C=C\CCCCC)=O</t>
  </si>
  <si>
    <t xml:space="preserve">AKHBLRYFRJWEOC-JUIVBTPUSA-N</t>
  </si>
  <si>
    <t xml:space="preserve">821.54664</t>
  </si>
  <si>
    <t xml:space="preserve">C26H37NO3</t>
  </si>
  <si>
    <t xml:space="preserve">Fesoterodine</t>
  </si>
  <si>
    <t xml:space="preserve">53676</t>
  </si>
  <si>
    <t xml:space="preserve">HMDB0015648</t>
  </si>
  <si>
    <t xml:space="preserve">85568</t>
  </si>
  <si>
    <t xml:space="preserve">775715</t>
  </si>
  <si>
    <t xml:space="preserve">6918558</t>
  </si>
  <si>
    <t xml:space="preserve">286930-03-8</t>
  </si>
  <si>
    <t xml:space="preserve">CC(C)N(CC[C@H](C1=CC=CC=C1)C1=C(OC(=O)C(C)C)C=CC(CO)=C1)C(C)C</t>
  </si>
  <si>
    <t xml:space="preserve">DCCSDBARQIPTGU-HSZRJFAPSA-N</t>
  </si>
  <si>
    <t xml:space="preserve">824.11954</t>
  </si>
  <si>
    <t xml:space="preserve">C27H35N9O15P2</t>
  </si>
  <si>
    <t xml:space="preserve">FADH</t>
  </si>
  <si>
    <t xml:space="preserve">47447</t>
  </si>
  <si>
    <t xml:space="preserve">HMDB0001197</t>
  </si>
  <si>
    <t xml:space="preserve">6073</t>
  </si>
  <si>
    <t xml:space="preserve">C01352</t>
  </si>
  <si>
    <t xml:space="preserve">17877</t>
  </si>
  <si>
    <t xml:space="preserve">446013</t>
  </si>
  <si>
    <t xml:space="preserve">1910-41-4</t>
  </si>
  <si>
    <t xml:space="preserve">CC1=CC2=C(C=C1C)N(C[C@H](O)[C@H](O)[C@H](O)COP(O)(=O)OP(O)(=O)OC[C@H]1O[C@H]([C@H](O)[C@@H]1O)N1C=NC3=C1N=CN=C3N)C1=C(N2)C(=O)NC(=O)N1</t>
  </si>
  <si>
    <t xml:space="preserve">YPZRHBJKEMOYQH-UYBVJOGSSA-N</t>
  </si>
  <si>
    <t xml:space="preserve">Flavin nucleotides</t>
  </si>
  <si>
    <t xml:space="preserve">826.54974</t>
  </si>
  <si>
    <t xml:space="preserve">C46H82NO7P</t>
  </si>
  <si>
    <t xml:space="preserve">PC(20:5)</t>
  </si>
  <si>
    <t xml:space="preserve">49713</t>
  </si>
  <si>
    <t xml:space="preserve">HMDB0008457</t>
  </si>
  <si>
    <t xml:space="preserve">59903</t>
  </si>
  <si>
    <t xml:space="preserve">88894</t>
  </si>
  <si>
    <t xml:space="preserve">53479053</t>
  </si>
  <si>
    <t xml:space="preserve">CCCCCC\C=C/CCCCCCCC\C=C/OC(COC(=O)CCC\C=C/C\C=C/C\C=C/C\C=C/CCCCC)COP([O-])(=O)OCC[N+](C)(C)C</t>
  </si>
  <si>
    <t xml:space="preserve">BKCKPUXEOILIKW-YNZCAZTGSA-N</t>
  </si>
  <si>
    <t xml:space="preserve">827.17786</t>
  </si>
  <si>
    <t xml:space="preserve">C17H22N2O6S2</t>
  </si>
  <si>
    <t xml:space="preserve">Apratastat</t>
  </si>
  <si>
    <t xml:space="preserve">203610</t>
  </si>
  <si>
    <t xml:space="preserve">HMDB0248530</t>
  </si>
  <si>
    <t xml:space="preserve">9888017</t>
  </si>
  <si>
    <t xml:space="preserve">CC1(C)SCCN(C1C(=O)NO)S(=O)(=O)C1=CC=C(OCC#CCO)C=C1</t>
  </si>
  <si>
    <t xml:space="preserve">MAVDNGWEBZTACC-UHFFFAOYSA-N</t>
  </si>
  <si>
    <t xml:space="preserve">829.57049</t>
  </si>
  <si>
    <t xml:space="preserve">C49H83O8P</t>
  </si>
  <si>
    <t xml:space="preserve">Phosphatidate(46:7)</t>
  </si>
  <si>
    <t xml:space="preserve">135184</t>
  </si>
  <si>
    <t xml:space="preserve">HMDB0115427</t>
  </si>
  <si>
    <t xml:space="preserve">131822165</t>
  </si>
  <si>
    <t xml:space="preserve">[H][C@@](COC(=O)CC\C=C/C\C=C/C\C=C/C\C=C/C\C=C/C\C=C/CC)(COP(O)(O)=O)OC(=O)CCCCCCCCCCCCC\C=C/CCCCCCCC</t>
  </si>
  <si>
    <t xml:space="preserve">VFKAFHGEGPCVLJ-MFAMLEMHSA-N</t>
  </si>
  <si>
    <t xml:space="preserve">830.58499</t>
  </si>
  <si>
    <t xml:space="preserve">C46H86NO7P</t>
  </si>
  <si>
    <t xml:space="preserve">PC(20:3)</t>
  </si>
  <si>
    <t xml:space="preserve">49673</t>
  </si>
  <si>
    <t xml:space="preserve">HMDB0008359</t>
  </si>
  <si>
    <t xml:space="preserve">59805</t>
  </si>
  <si>
    <t xml:space="preserve">89130</t>
  </si>
  <si>
    <t xml:space="preserve">53478939</t>
  </si>
  <si>
    <t xml:space="preserve">CCCCCC\C=C/CCCCCCCC\C=C/OC(COC(=O)CCCCCCCCC\C=C/C\C=C/CCCCC)COP([O-])(=O)OCC[N+](C)(C)C</t>
  </si>
  <si>
    <t xml:space="preserve">JWQATZSUGKZPPL-GHQGZNKKSA-N</t>
  </si>
  <si>
    <t xml:space="preserve">831.50076</t>
  </si>
  <si>
    <t xml:space="preserve">C41H79O13P</t>
  </si>
  <si>
    <t xml:space="preserve">PI(32:0)</t>
  </si>
  <si>
    <t xml:space="preserve">50428</t>
  </si>
  <si>
    <t xml:space="preserve">HMDB0009778</t>
  </si>
  <si>
    <t xml:space="preserve">[H][C@@](COC(=O)CCCCCCCCCCCCCCC)(COP(O)(=O)O[C@H]1C(O)C(O)C(O)[C@@H](O)C1O)OC(=O)CCCCCCCCCCCCCCC</t>
  </si>
  <si>
    <t xml:space="preserve">IBUKXRINTKQBRQ-NBURIUCMSA-N</t>
  </si>
  <si>
    <t xml:space="preserve">832.50294</t>
  </si>
  <si>
    <t xml:space="preserve">C44H78NO10P</t>
  </si>
  <si>
    <t xml:space="preserve">PS(38:4)</t>
  </si>
  <si>
    <t xml:space="preserve">50800</t>
  </si>
  <si>
    <t xml:space="preserve">HMDB0010165</t>
  </si>
  <si>
    <t xml:space="preserve">61542</t>
  </si>
  <si>
    <t xml:space="preserve">C02737</t>
  </si>
  <si>
    <t xml:space="preserve">90041</t>
  </si>
  <si>
    <t xml:space="preserve">53480354</t>
  </si>
  <si>
    <t xml:space="preserve">[H][C@](N)(COP(O)(=O)OC[C@@]([H])(COC(=O)CCCCCCCCCCCCCCCCC)OC(=O)CCCCCC\C=C/C\C=C/C\C=C/C\C=C/CC)C(O)=O</t>
  </si>
  <si>
    <t xml:space="preserve">IULWELDCBXQXED-DWOSIAKHSA-N</t>
  </si>
  <si>
    <t xml:space="preserve">833.51513</t>
  </si>
  <si>
    <t xml:space="preserve">C44H79O10P</t>
  </si>
  <si>
    <t xml:space="preserve">PG(38:4)</t>
  </si>
  <si>
    <t xml:space="preserve">23446</t>
  </si>
  <si>
    <t xml:space="preserve">HMDB0010581</t>
  </si>
  <si>
    <t xml:space="preserve">61856</t>
  </si>
  <si>
    <t xml:space="preserve">LMGP04010968</t>
  </si>
  <si>
    <t xml:space="preserve">89091</t>
  </si>
  <si>
    <t xml:space="preserve">52927231</t>
  </si>
  <si>
    <t xml:space="preserve">[H][C@](O)(CO)COP(OC[C@]([H])(OC(CCCCC/C=C\C/C=C\C/C=C\C/C=C\CCCCC)=O)COC(CCCCCCCCCCCCCCC)=O)(=O)O</t>
  </si>
  <si>
    <t xml:space="preserve">OJGRJXYPAAIUAW-YGUNRICGSA-N</t>
  </si>
  <si>
    <t xml:space="preserve">835.13852</t>
  </si>
  <si>
    <t xml:space="preserve">C16H23IN2O3</t>
  </si>
  <si>
    <t xml:space="preserve">Epidepride</t>
  </si>
  <si>
    <t xml:space="preserve">206413</t>
  </si>
  <si>
    <t xml:space="preserve">HMDB0251845</t>
  </si>
  <si>
    <t xml:space="preserve">14665495</t>
  </si>
  <si>
    <t xml:space="preserve">CCN1CCCC1CNC(=O)C1=CC(I)=CC(OC)=C1OC</t>
  </si>
  <si>
    <t xml:space="preserve">APNNSBJHVTUORL-UHFFFAOYSA-N</t>
  </si>
  <si>
    <t xml:space="preserve">Methoxybenzenes</t>
  </si>
  <si>
    <t xml:space="preserve">836.52749</t>
  </si>
  <si>
    <t xml:space="preserve">C49H76NO8P</t>
  </si>
  <si>
    <t xml:space="preserve">PE(44:11)</t>
  </si>
  <si>
    <t xml:space="preserve">50313</t>
  </si>
  <si>
    <t xml:space="preserve">HMDB0009639</t>
  </si>
  <si>
    <t xml:space="preserve">61028</t>
  </si>
  <si>
    <t xml:space="preserve">53479935</t>
  </si>
  <si>
    <t xml:space="preserve">[H][C@@](COC(=O)CC\C=C/C\C=C/C\C=C/C\C=C/C\C=C/CCCCC)(COP(O)(=O)OCCN)OC(=O)CC\C=C/C\C=C/C\C=C/C\C=C/C\C=C/C\C=C/CC</t>
  </si>
  <si>
    <t xml:space="preserve">IWZCRDQSSLJDNV-CXJUXISASA-N</t>
  </si>
  <si>
    <t xml:space="preserve">839.49533</t>
  </si>
  <si>
    <t xml:space="preserve">C45H76O12S</t>
  </si>
  <si>
    <t xml:space="preserve">Sulfoquinovosyl diglyceride</t>
  </si>
  <si>
    <t xml:space="preserve">212087</t>
  </si>
  <si>
    <t xml:space="preserve">HMDB0258600</t>
  </si>
  <si>
    <t xml:space="preserve">CCCCCCCCCCCCCCCC(=O)OC(COC1OC(CS(O)(=O)=O)C(O)C(O)C1O)COC(=O)CCCC=CCC=CCC=CCC=CCC=CCC</t>
  </si>
  <si>
    <t xml:space="preserve">IIDPUWZBYVLQEU-UHFFFAOYSA-N</t>
  </si>
  <si>
    <t xml:space="preserve">Glycosylglycerols</t>
  </si>
  <si>
    <t xml:space="preserve">840.50250</t>
  </si>
  <si>
    <t xml:space="preserve">C43H74NO10P</t>
  </si>
  <si>
    <t xml:space="preserve">PE(DiMe(11,3)/DiMe(9,3)); PE(DiMe(9,3)/DiMe(11,3)); PE(DiMe(9,3)/DiMe(9,5))</t>
  </si>
  <si>
    <t xml:space="preserve">83084; 83108; 83112</t>
  </si>
  <si>
    <t xml:space="preserve">HMDB0061474; HMDB0061498; HMDB0061502</t>
  </si>
  <si>
    <t xml:space="preserve">CCCC1=C(C)C(C)=C(CCCCCCCCCCC(=O)OC[C@H](COP(O)(=O)OCCN)OC(=O)CCCCCCCCC2=C(C)C(C)=C(CCC)O2)O1; CCCC1=C(C)C(C)=C(CCCCCCCCCCC(=O)O[C@H](COC(=O)CCCCCCCCC2=C(C)C(C)=C(CCC)O2)COP(O)(=O)OCCN)O1; CCCCCC1=C(C)C(C)=C(CCCCCCCCC(=O)O[C@H](COC(=O)CCCCCCCCC2=C(C)C(C)=C(CCC)O2)COP(O)(=O)OCCN)O1</t>
  </si>
  <si>
    <t xml:space="preserve">IKURMHUPQRXPBN-DIPNUNPCSA-N; RLPARTUZNJZBQS-DIPNUNPCSA-N; VCEAAWSDLGGTJV-DIPNUNPCSA-N</t>
  </si>
  <si>
    <t xml:space="preserve">840.57840</t>
  </si>
  <si>
    <t xml:space="preserve">C45H82NO8P</t>
  </si>
  <si>
    <t xml:space="preserve">PE(40:4); PC(37:4)</t>
  </si>
  <si>
    <t xml:space="preserve">20889; 18688</t>
  </si>
  <si>
    <t xml:space="preserve">HMDB0009009; HMDB0007955</t>
  </si>
  <si>
    <t xml:space="preserve">60429; 59405</t>
  </si>
  <si>
    <t xml:space="preserve">LMGP02011200; LMGP01011429</t>
  </si>
  <si>
    <t xml:space="preserve">74484; </t>
  </si>
  <si>
    <t xml:space="preserve">52924901; 52922340</t>
  </si>
  <si>
    <t xml:space="preserve">[C@](COP(=O)(O)OCCN)([H])(OC(CCCCC/C=C\C/C=C\C/C=C\C/C=C\CCCCC)=O)COC(CCCCCCCCCCCCCCCCC)=O; [C@](COP(=O)([O-])OCC[N+](C)(C)C)([H])(OC(CCCCC/C=C\C/C=C\C/C=C\C/C=C\CCCCC)=O)COC(CCCCCCCCCCCCCC)=O</t>
  </si>
  <si>
    <t xml:space="preserve">HNFSZKRUPTYBOQ-ZDYOIFAYSA-N; SZXZIQLLCQQFGE-LITGPGMESA-N</t>
  </si>
  <si>
    <t xml:space="preserve">841.51119</t>
  </si>
  <si>
    <t xml:space="preserve">C44H70N8O6</t>
  </si>
  <si>
    <t xml:space="preserve">Inhibitor CC</t>
  </si>
  <si>
    <t xml:space="preserve">213475</t>
  </si>
  <si>
    <t xml:space="preserve">HMDB0260354</t>
  </si>
  <si>
    <t xml:space="preserve">CC(C)C(NC(=O)N(C)CC1=CC=CC=N1)C(=O)NC(CC1CCCCC1)C(O)C(O)C(CC1CCCCC1)NC(=O)C(NC(=O)N(C)CC1=CC=CC=N1)C(C)C</t>
  </si>
  <si>
    <t xml:space="preserve">GOFBMDJZIXCQGV-UHFFFAOYSA-N</t>
  </si>
  <si>
    <t xml:space="preserve">842.52237</t>
  </si>
  <si>
    <t xml:space="preserve">C42H81NO11S</t>
  </si>
  <si>
    <t xml:space="preserve">3-Sulfogalactosylceramide (O-d36:1)</t>
  </si>
  <si>
    <t xml:space="preserve">51990</t>
  </si>
  <si>
    <t xml:space="preserve">HMDB0012314</t>
  </si>
  <si>
    <t xml:space="preserve">41622</t>
  </si>
  <si>
    <t xml:space="preserve">C06125</t>
  </si>
  <si>
    <t xml:space="preserve">5771775</t>
  </si>
  <si>
    <t xml:space="preserve">244215-65-4</t>
  </si>
  <si>
    <t xml:space="preserve">CCCCCCCCCCCCCCCCCC(=O)N[C@@]([H])(CO[C@@H]1O[C@H](CO)[C@H](O)C(OS(=O)(O)=O)C1O)[C@@](O)([H])\C=C\CCCCCCCCCCCCC</t>
  </si>
  <si>
    <t xml:space="preserve">GQQZXRPXBDJABR-XMDONHODSA-N</t>
  </si>
  <si>
    <t xml:space="preserve">843.17226</t>
  </si>
  <si>
    <t xml:space="preserve">C42H38O20</t>
  </si>
  <si>
    <t xml:space="preserve">Sennoside A; Sennoside B</t>
  </si>
  <si>
    <t xml:space="preserve">34969; 34970</t>
  </si>
  <si>
    <t xml:space="preserve">HMDB0034317; HMDB0002783</t>
  </si>
  <si>
    <t xml:space="preserve">2405; 324864</t>
  </si>
  <si>
    <t xml:space="preserve">LMPK13040016; LMPK13040017</t>
  </si>
  <si>
    <t xml:space="preserve">C10404; C13526</t>
  </si>
  <si>
    <t xml:space="preserve">9112; 34975</t>
  </si>
  <si>
    <t xml:space="preserve">73111; 91440</t>
  </si>
  <si>
    <t xml:space="preserve">81-27-6; 128-57-4</t>
  </si>
  <si>
    <t xml:space="preserve">[C@@]1([H])(C2C=CC=C(O[C@H]3[C@H](O)[C@H]([C@H](O)[C@@H](CO)O3)O)C=2C(=O)C2C(O)=CC(C(=O)O)=CC1=2)[C@]1([H])C2C=CC=C(O[C@H]3[C@H](O)[C@H]([C@H](O)[C@@H](CO)O3)O)C=2C(=O)C2C(O)=CC(C(=O)O)=CC1=2; [C@]1([H])(C2C=CC=C(O[C@H]3[C@H](O)[C@H]([C@H](O)[C@@H](CO)O3)O)C=2C(=O)C2C(O)=CC(C(=O)O)=CC1=2)[C@]1([H])C2C=CC=C(O[C@H]3[C@H](O)[C@H]([C@H](O)[C@@H](CO)O3)O)C=2C(=O)C2C(O)=CC(C(=O)O)=CC1=2</t>
  </si>
  <si>
    <t xml:space="preserve">IPQVTOJGNYVQEO-KGFNBKMBSA-N; IPQVTOJGNYVQEO-AIFLABODSA-N</t>
  </si>
  <si>
    <t xml:space="preserve">Anthracenes; Anthracenes</t>
  </si>
  <si>
    <t xml:space="preserve">Anthracenecarboxylic acids and derivatives; Anthracenecarboxylic acids and derivatives</t>
  </si>
  <si>
    <t xml:space="preserve">843.53389</t>
  </si>
  <si>
    <t xml:space="preserve">C25H34N4O2</t>
  </si>
  <si>
    <t xml:space="preserve">Cyclohexanecarboxamide, n-[2-[4-(2-methoxyphenyl)-1-piperazinyl]ethyl]-n-2-pyridinyl-</t>
  </si>
  <si>
    <t xml:space="preserve">213113</t>
  </si>
  <si>
    <t xml:space="preserve">HMDB0259890</t>
  </si>
  <si>
    <t xml:space="preserve">COC1=CC=CC=C1N1CCN(CCN(C(=O)C2CCCCC2)C2=CC=CC=N2)CC1</t>
  </si>
  <si>
    <t xml:space="preserve">SBPRIAGPYFYCRT-UHFFFAOYSA-N</t>
  </si>
  <si>
    <t xml:space="preserve">844.56384</t>
  </si>
  <si>
    <t xml:space="preserve">C46H84NO8P</t>
  </si>
  <si>
    <t xml:space="preserve">PC(38:4)</t>
  </si>
  <si>
    <t xml:space="preserve">18275</t>
  </si>
  <si>
    <t xml:space="preserve">HMDB0007988</t>
  </si>
  <si>
    <t xml:space="preserve">59436</t>
  </si>
  <si>
    <t xml:space="preserve">LMGP01010642</t>
  </si>
  <si>
    <t xml:space="preserve">84573</t>
  </si>
  <si>
    <t xml:space="preserve">24778732</t>
  </si>
  <si>
    <t xml:space="preserve">[C@](COP(=O)([O-])OCC[N+](C)(C)C)([H])(OC(CCCCC/C=C\C/C=C\C/C=C\C/C=C\CCCCC)=O)COC(CCCCCCCCCCCCCCC)=O</t>
  </si>
  <si>
    <t xml:space="preserve">IRWRFKUTKSUFST-MDYGELLQSA-N</t>
  </si>
  <si>
    <t xml:space="preserve">846.13319</t>
  </si>
  <si>
    <t xml:space="preserve">C26H42N7O18P3S</t>
  </si>
  <si>
    <t xml:space="preserve">2-Methylacetoacetyl-CoA</t>
  </si>
  <si>
    <t xml:space="preserve">47421</t>
  </si>
  <si>
    <t xml:space="preserve">HMDB0001157</t>
  </si>
  <si>
    <t xml:space="preserve">C03344</t>
  </si>
  <si>
    <t xml:space="preserve">15476</t>
  </si>
  <si>
    <t xml:space="preserve">6712-01-2</t>
  </si>
  <si>
    <t xml:space="preserve">C[C@@H](C(C)=O)C(=O)SCCNC(=O)CCNC(=O)[C@H](O)C(C)(C)COP(O)(=O)OP(O)(=O)OC[C@H]1O[C@H]([C@H](O)[C@@H]1OP(O)(O)=O)N1C=NC2=C1N=CN=C2N</t>
  </si>
  <si>
    <t xml:space="preserve">NHNODHRSCRALBF-XSSXAYJJSA-N</t>
  </si>
  <si>
    <t xml:space="preserve">Fatty acyl thioesters</t>
  </si>
  <si>
    <t xml:space="preserve">846.57649</t>
  </si>
  <si>
    <t xml:space="preserve">C46H86NO8P</t>
  </si>
  <si>
    <t xml:space="preserve">PC(38:3)</t>
  </si>
  <si>
    <t xml:space="preserve">18755</t>
  </si>
  <si>
    <t xml:space="preserve">HMDB0008020</t>
  </si>
  <si>
    <t xml:space="preserve">59468</t>
  </si>
  <si>
    <t xml:space="preserve">LMGP01011496</t>
  </si>
  <si>
    <t xml:space="preserve">74479</t>
  </si>
  <si>
    <t xml:space="preserve">52922473</t>
  </si>
  <si>
    <t xml:space="preserve">[C@](COP(=O)([O-])OCC[N+](C)(C)C)([H])(OC(CCCCCCCCCCC/C=C\C/C=C\CCCCC)=O)COC(CCCCCCC/C=C\CCCCCC)=O</t>
  </si>
  <si>
    <t xml:space="preserve">IHEXWEKEFCKFEL-UTIGHQPQSA-N</t>
  </si>
  <si>
    <t xml:space="preserve">847.49383</t>
  </si>
  <si>
    <t xml:space="preserve">C50H75O10P</t>
  </si>
  <si>
    <t xml:space="preserve">PG(44:12)</t>
  </si>
  <si>
    <t xml:space="preserve">23455</t>
  </si>
  <si>
    <t xml:space="preserve">HMDB0116605</t>
  </si>
  <si>
    <t xml:space="preserve">79802</t>
  </si>
  <si>
    <t xml:space="preserve">LMGP04010977</t>
  </si>
  <si>
    <t xml:space="preserve">52927240</t>
  </si>
  <si>
    <t xml:space="preserve">[H][C@](O)(CO)COP(OC[C@]([H])(OC(CC/C=C\C/C=C\C/C=C\C/C=C\C/C=C\C/C=C\CC)=O)COC(CC/C=C\C/C=C\C/C=C\C/C=C\C/C=C\C/C=C\CC)=O)(=O)O</t>
  </si>
  <si>
    <t xml:space="preserve">XACKZSRNTPEYBU-ZGXYWNPTSA-N</t>
  </si>
  <si>
    <t xml:space="preserve">849.14931</t>
  </si>
  <si>
    <t xml:space="preserve">C38H36O21</t>
  </si>
  <si>
    <t xml:space="preserve">Chrysoeriol 7-[feruloyl-(-&gt;2)-glucuronyl-(1-&gt;2)-glucuronide]; Tricin 7-[p-coumaroyl-(-&gt;2)-glucuronyl-(1-&gt;2)-glucuronide]</t>
  </si>
  <si>
    <t xml:space="preserve">63168; 63141</t>
  </si>
  <si>
    <t xml:space="preserve">HMDB0039932; HMDB0039905</t>
  </si>
  <si>
    <t xml:space="preserve">94475; 94448</t>
  </si>
  <si>
    <t xml:space="preserve">131752760; 131752753</t>
  </si>
  <si>
    <t xml:space="preserve">380468-53-1; </t>
  </si>
  <si>
    <t xml:space="preserve">COC1=C(O)C=CC(\C=C\C(=O)OC2C(OC3C(OC4=CC(O)=C5C(=O)C=C(OC5=C4)C4=CC(OC)=C(O)C=C4)OC(C(O)C3O)C(O)=O)OC(C(O)C2O)C(O)=O)=C1; COC1=CC(=CC(OC)=C1O)C1=CC(=O)C2=C(O)C=C(OC3OC(C(O)C(O)C3OC3OC(C(O)C(O)C3OC(=O)\C=C\C3=CC=C(O)C=C3)C(O)=O)C(O)=O)C=C2O1</t>
  </si>
  <si>
    <t xml:space="preserve">CQSOKHCNRZFEOH-XBXARRHUSA-N; NBUOZEVVFWDVHF-VMPITWQZSA-N</t>
  </si>
  <si>
    <t xml:space="preserve">Flavonoid glycosides; Flavonoid glycosides</t>
  </si>
  <si>
    <t xml:space="preserve">850.52098</t>
  </si>
  <si>
    <t xml:space="preserve">C12H2Cl8</t>
  </si>
  <si>
    <t xml:space="preserve">2,2',3,3',4,5,6,6'-Octachlorobiphenyl; 2,2',3,3',4,4',5,6'-Octachlorobiphenyl; 2,2',3,3',4,4',5,5'-Octachlorobiphenyl</t>
  </si>
  <si>
    <t xml:space="preserve">200792; 201996; 200791</t>
  </si>
  <si>
    <t xml:space="preserve">HMDB0245361; HMDB0246667; HMDB0245360</t>
  </si>
  <si>
    <t xml:space="preserve">40480; 39253; 37251</t>
  </si>
  <si>
    <t xml:space="preserve">ClC1=CC=C(Cl)C(=C1Cl)C1=C(Cl)C(Cl)=C(Cl)C(Cl)=C1Cl; ClC1=CC(Cl)=C(C(Cl)=C1Cl)C1=CC(Cl)=C(Cl)C(Cl)=C1Cl; ClC1=CC(=C(Cl)C(Cl)=C1Cl)C1=CC(Cl)=C(Cl)C(Cl)=C1Cl</t>
  </si>
  <si>
    <t xml:space="preserve">HHXNVASVVVNNDG-UHFFFAOYSA-N; BQFCCUSDZLKBJG-UHFFFAOYSA-N; DTMRKGRREZAYAP-UHFFFAOYSA-N</t>
  </si>
  <si>
    <t xml:space="preserve">Biphenyls and derivatives; Biphenyls and derivatives; Biphenyls and derivatives</t>
  </si>
  <si>
    <t xml:space="preserve">851.52693</t>
  </si>
  <si>
    <t xml:space="preserve">C50H79O10P</t>
  </si>
  <si>
    <t xml:space="preserve">PG(44:10)</t>
  </si>
  <si>
    <t xml:space="preserve">136277</t>
  </si>
  <si>
    <t xml:space="preserve">HMDB0116618</t>
  </si>
  <si>
    <t xml:space="preserve">131823255</t>
  </si>
  <si>
    <t xml:space="preserve">[H][C@](O)(CO)COP(O)(=O)OC[C@@]([H])(COC(=O)CC\C=C/C\C=C/C\C=C/C\C=C/C\C=C/CCCCC)OC(=O)CC\C=C/C\C=C/C\C=C/C\C=C/C\C=C/CCCCC</t>
  </si>
  <si>
    <t xml:space="preserve">CZOCCWRPXOTSIM-GWXFZNBXSA-N</t>
  </si>
  <si>
    <t xml:space="preserve">852.14221</t>
  </si>
  <si>
    <t xml:space="preserve">C25H42N7O18P3S</t>
  </si>
  <si>
    <t xml:space="preserve">(S)-3-hydroxybutanoyl-CoA; (S)-3-Hydroxyisobutyryl-CoA; 3-Hydroxybutyryl-CoA</t>
  </si>
  <si>
    <t xml:space="preserve">7984; 47366; 7979</t>
  </si>
  <si>
    <t xml:space="preserve">HMDB0303997; HMDB0001052; HMDB0001166</t>
  </si>
  <si>
    <t xml:space="preserve">; 453; 63261</t>
  </si>
  <si>
    <t xml:space="preserve">LMFA07050153; ; LMFA07050148</t>
  </si>
  <si>
    <t xml:space="preserve">C01144; C06000; C03561</t>
  </si>
  <si>
    <t xml:space="preserve">15453; 28259; 15452</t>
  </si>
  <si>
    <t xml:space="preserve">9543037; 88; 11966146</t>
  </si>
  <si>
    <t xml:space="preserve">; 319440-43-2; 21804-29-5</t>
  </si>
  <si>
    <t xml:space="preserve">[C@@H]1([C@H](O)[C@H](OP(=O)(O)O)[C@@H](COP(O)(=O)OP(O)(=O)OCC(C)([C@@H](O)C(=O)NCCC(=O)NCCSC(C[C@@H](O)C)=O)C)O1)N1C=NC2C(N)=NC=NC1=2; CC(CO)C(=O)SCCNC(=O)CCNC(=O)C(O)C(C)(C)COP(O)(=O)OP(O)(=O)OCC1OC(C(O)C1OP(O)(O)=O)N1C=NC2=C(N)N=CN=C12; [C@@H]1([C@H](O)[C@H](OP(=O)(O)O)[C@@H](COP(O)(=O)OP(O)(=O)OCC(C)([C@@H](O)C(=O)NCCC(=O)NCCSC(C[C@H](O)C)=O)C)O1)N1C=NC2C(N)=NC=NC1=2</t>
  </si>
  <si>
    <t xml:space="preserve">QHHKKMYHDBRONY-VKBDFPRVSA-N; WWEOGFZEFHPUAM-UHFFFAOYSA-N; QHHKKMYHDBRONY-WZZMXTMRSA-N</t>
  </si>
  <si>
    <t xml:space="preserve">Fatty acyl thioesters; Fatty acyl thioesters; Fatty acyl thioesters</t>
  </si>
  <si>
    <t xml:space="preserve">854.53190</t>
  </si>
  <si>
    <t xml:space="preserve">C44H84NO10P</t>
  </si>
  <si>
    <t xml:space="preserve">PS(38:1)</t>
  </si>
  <si>
    <t xml:space="preserve">132689</t>
  </si>
  <si>
    <t xml:space="preserve">HMDB0112307</t>
  </si>
  <si>
    <t xml:space="preserve">131819709</t>
  </si>
  <si>
    <t xml:space="preserve">[H][C@](N)(COP(O)(=O)OC[C@@]([H])(COC(=O)CCCCCCCCCCCCC)OC(=O)CCCCCCCCCCCCC\C=C/CCCCCCCC)C(O)=O</t>
  </si>
  <si>
    <t xml:space="preserve">YATWWORSTFWFGZ-ALFANBORSA-N</t>
  </si>
  <si>
    <t xml:space="preserve">855.50839</t>
  </si>
  <si>
    <t xml:space="preserve">C42H82O13P2</t>
  </si>
  <si>
    <t xml:space="preserve">PGP(36:1)</t>
  </si>
  <si>
    <t xml:space="preserve">52317</t>
  </si>
  <si>
    <t xml:space="preserve">HMDB0013505</t>
  </si>
  <si>
    <t xml:space="preserve">53481823</t>
  </si>
  <si>
    <t xml:space="preserve">CCCCCCCCCCCCCCCCCC(=O)OC[C@]([H])(COP(=O)(O)OC[C@@]([H])(O)COP(=O)(O)O)OC(=O)CCCCCCCCC\C=C/CCCCCC</t>
  </si>
  <si>
    <t xml:space="preserve">YATWIYWYMGEZHA-KBTQSRGQSA-N</t>
  </si>
  <si>
    <t xml:space="preserve">Glycerophosphoglycerophosphates</t>
  </si>
  <si>
    <t xml:space="preserve">856.50462</t>
  </si>
  <si>
    <t xml:space="preserve">C46H78NO10P</t>
  </si>
  <si>
    <t xml:space="preserve">PS(40:6)</t>
  </si>
  <si>
    <t xml:space="preserve">21301</t>
  </si>
  <si>
    <t xml:space="preserve">HMDB0010167</t>
  </si>
  <si>
    <t xml:space="preserve">40825</t>
  </si>
  <si>
    <t xml:space="preserve">LMGP03010040</t>
  </si>
  <si>
    <t xml:space="preserve">79098</t>
  </si>
  <si>
    <t xml:space="preserve">24779546</t>
  </si>
  <si>
    <t xml:space="preserve">C(O)(=O)[C@@]([H])(N)COP(OC[C@]([H])(OC(CC/C=C\C/C=C\C/C=C\C/C=C\C/C=C\C/C=C\CC)=O)COC(CCCCCCCCCCCCCCCCC)=O)(=O)O</t>
  </si>
  <si>
    <t xml:space="preserve">LYYHRRPTEXPVOR-SYEOQEKUSA-N</t>
  </si>
  <si>
    <t xml:space="preserve">857.18406</t>
  </si>
  <si>
    <t xml:space="preserve">C39H38O22</t>
  </si>
  <si>
    <t xml:space="preserve">Tricin 7-[feruloyl-(-&gt;2)-glucuronyl-(1-&gt;2)-glucuronide]</t>
  </si>
  <si>
    <t xml:space="preserve">63142</t>
  </si>
  <si>
    <t xml:space="preserve">HMDB0039906</t>
  </si>
  <si>
    <t xml:space="preserve">94449</t>
  </si>
  <si>
    <t xml:space="preserve">131752754</t>
  </si>
  <si>
    <t xml:space="preserve">COC1=CC(=CC(OC)=C1O)C1=CC(=O)C2=C(O)C=C(OC3OC(C(O)C(O)C3OC3OC(C(O)C(O)C3OC(=O)\C=C\C3=CC(OC)=C(O)C=C3)C(O)=O)C(O)=O)C=C2O1</t>
  </si>
  <si>
    <t xml:space="preserve">JYRTYJUTHIUANS-FNORWQNLSA-N</t>
  </si>
  <si>
    <t xml:space="preserve">857.51879</t>
  </si>
  <si>
    <t xml:space="preserve">C45H79O13P</t>
  </si>
  <si>
    <t xml:space="preserve">PI(36:4); Phosphatidylinositol(36:4)</t>
  </si>
  <si>
    <t xml:space="preserve">24673; 210319</t>
  </si>
  <si>
    <t xml:space="preserve">HMDB0009789; HMDB0256468</t>
  </si>
  <si>
    <t xml:space="preserve">LMGP06010958; </t>
  </si>
  <si>
    <t xml:space="preserve">73209; </t>
  </si>
  <si>
    <t xml:space="preserve">52928411; 75961280</t>
  </si>
  <si>
    <t xml:space="preserve">88587-97-7; </t>
  </si>
  <si>
    <t xml:space="preserve">[C@]([H])(OC(CCC/C=C\C/C=C\C/C=C\C/C=C\CCCCC)=O)(COP(=O)(O)O[C@H]1[C@H](O)[C@@H](O)[C@H](O)[C@@H](O)[C@H]1O)COC(CCCCCCCCCCCCCCC)=O; CCCCCCCCCCCCCCCC(=O)OCC(COP(O)(=O)OC1C(O)C(O)C(O)C(O)C1O)OC(=O)CCCC=CCC=CCC=CCC=CCCCCC</t>
  </si>
  <si>
    <t xml:space="preserve">KIQYUSYSJTUGFZ-LSLODQAYSA-N; KIQYUSYSJTUGFZ-UHFFFAOYSA-N</t>
  </si>
  <si>
    <t xml:space="preserve">Lipids and lipid-like molecules; Unclassified</t>
  </si>
  <si>
    <t xml:space="preserve">Glycerophospholipids; Unclassified</t>
  </si>
  <si>
    <t xml:space="preserve">Glycerophosphoinositols; Unclassified</t>
  </si>
  <si>
    <t xml:space="preserve">858.62591</t>
  </si>
  <si>
    <t xml:space="preserve">C46H88NO8P</t>
  </si>
  <si>
    <t xml:space="preserve">PC(38:2)</t>
  </si>
  <si>
    <t xml:space="preserve">49573</t>
  </si>
  <si>
    <t xml:space="preserve">HMDB0007927</t>
  </si>
  <si>
    <t xml:space="preserve">59377</t>
  </si>
  <si>
    <t xml:space="preserve">53478637</t>
  </si>
  <si>
    <t xml:space="preserve">CCCCCCCC\C=C/CCCCCCCCCCCCCC(=O)O[C@]([H])(COC(=O)CCCCCCC\C=C/CCCC)COP([O-])(=O)OCC[N+](C)(C)C</t>
  </si>
  <si>
    <t xml:space="preserve">ODKRDLFMXDISEG-BERHWORVSA-N</t>
  </si>
  <si>
    <t xml:space="preserve">859.53544</t>
  </si>
  <si>
    <t xml:space="preserve">C45H81O13P</t>
  </si>
  <si>
    <t xml:space="preserve">PI(36:3)</t>
  </si>
  <si>
    <t xml:space="preserve">50435</t>
  </si>
  <si>
    <t xml:space="preserve">HMDB0009787</t>
  </si>
  <si>
    <t xml:space="preserve">88391</t>
  </si>
  <si>
    <t xml:space="preserve">[H][C@@](COC(=O)CCCCCCCCCCCCCCC)(COP(O)(=O)O[C@H]1C(O)C(O)C(O)[C@@H](O)C1O)OC(=O)CCC\C=C/C\C=C/C\C=C/CCCCCCCC</t>
  </si>
  <si>
    <t xml:space="preserve">QQCJRPYWJFBHNN-DAXZNSEHSA-N</t>
  </si>
  <si>
    <t xml:space="preserve">860.53828</t>
  </si>
  <si>
    <t xml:space="preserve">C48H80NO10P</t>
  </si>
  <si>
    <t xml:space="preserve">PS(42:7)</t>
  </si>
  <si>
    <t xml:space="preserve">21818</t>
  </si>
  <si>
    <t xml:space="preserve">HMDB0112564</t>
  </si>
  <si>
    <t xml:space="preserve">78221</t>
  </si>
  <si>
    <t xml:space="preserve">LMGP03010557</t>
  </si>
  <si>
    <t xml:space="preserve">52925667</t>
  </si>
  <si>
    <t xml:space="preserve">C(O)(=O)[C@@]([H])(N)COP(OC[C@]([H])(OC(CC/C=C\C/C=C\C/C=C\C/C=C\C/C=C\C/C=C\CC)=O)COC(CCCCCCCCC/C=C\CCCCCCCC)=O)(=O)O</t>
  </si>
  <si>
    <t xml:space="preserve">MUZCZBHSMGVMMH-JIHIPKGJSA-N</t>
  </si>
  <si>
    <t xml:space="preserve">865.13012</t>
  </si>
  <si>
    <t xml:space="preserve">C22H18Cl2FNO3</t>
  </si>
  <si>
    <t xml:space="preserve">beta-Cyfluthrin</t>
  </si>
  <si>
    <t xml:space="preserve">204123</t>
  </si>
  <si>
    <t xml:space="preserve">HMDB0249116</t>
  </si>
  <si>
    <t xml:space="preserve">68744</t>
  </si>
  <si>
    <t xml:space="preserve">C10982</t>
  </si>
  <si>
    <t xml:space="preserve">4034</t>
  </si>
  <si>
    <t xml:space="preserve">104926</t>
  </si>
  <si>
    <t xml:space="preserve">68359-37-5</t>
  </si>
  <si>
    <t xml:space="preserve">CC1(C)C(C=C(Cl)Cl)C1C(=O)OC(C#N)C1=CC(OC2=CC=CC=C2)=C(F)C=C1</t>
  </si>
  <si>
    <t xml:space="preserve">QQODLKZGRKWIFG-UHFFFAOYSA-N</t>
  </si>
  <si>
    <t xml:space="preserve">865.50666</t>
  </si>
  <si>
    <t xml:space="preserve">C48H77O10P</t>
  </si>
  <si>
    <t xml:space="preserve">PG(42:9)</t>
  </si>
  <si>
    <t xml:space="preserve">136268</t>
  </si>
  <si>
    <t xml:space="preserve">HMDB0116602</t>
  </si>
  <si>
    <t xml:space="preserve">131823246</t>
  </si>
  <si>
    <t xml:space="preserve">[H][C@](O)(CO)COP(O)(=O)OC[C@@]([H])(COC(=O)CC\C=C/C\C=C/C\C=C/C\C=C/C\C=C/C\C=C/CC)OC(=O)CCC\C=C/C\C=C/C\C=C/CCCCCCCC</t>
  </si>
  <si>
    <t xml:space="preserve">JRLUANGXKLWRCT-DMWRYGQISA-N</t>
  </si>
  <si>
    <t xml:space="preserve">866.13271</t>
  </si>
  <si>
    <t xml:space="preserve">C29H42N7O17P3S</t>
  </si>
  <si>
    <t xml:space="preserve">Phenylacetyl-CoA</t>
  </si>
  <si>
    <t xml:space="preserve">48748</t>
  </si>
  <si>
    <t xml:space="preserve">HMDB0006503</t>
  </si>
  <si>
    <t xml:space="preserve">58433</t>
  </si>
  <si>
    <t xml:space="preserve">C00582</t>
  </si>
  <si>
    <t xml:space="preserve">15537</t>
  </si>
  <si>
    <t xml:space="preserve">165620</t>
  </si>
  <si>
    <t xml:space="preserve">7532-39-0</t>
  </si>
  <si>
    <t xml:space="preserve">CC(C)(COP(O)(=O)OP(O)(=O)OC[C@H]1O[C@H]([C@H](O)[C@@H]1OP(O)(O)=O)N1C=NC2=C(N)N=CN=C12)[C@@H](O)C(=O)NCCC(=O)NCCSC(=O)CC1=CC=CC=C1</t>
  </si>
  <si>
    <t xml:space="preserve">ZIGIFDRJFZYEEQ-CECATXLMSA-N</t>
  </si>
  <si>
    <t xml:space="preserve">866.49998</t>
  </si>
  <si>
    <t xml:space="preserve">C49H75NO13</t>
  </si>
  <si>
    <t xml:space="preserve">Emamectin</t>
  </si>
  <si>
    <t xml:space="preserve">206353</t>
  </si>
  <si>
    <t xml:space="preserve">HMDB0251763</t>
  </si>
  <si>
    <t xml:space="preserve">53394848</t>
  </si>
  <si>
    <t xml:space="preserve">CCC(C)C1OC2(CC3CC(CC=C(C)C(OC4CC(OC)C(OC5CC(OC)C(NC)C(C)O5)C(C)O4)C(C)C=CC=C4COC5C(O)C(C)=CC(C(=O)O3)C45O)O2)C=CC1C</t>
  </si>
  <si>
    <t xml:space="preserve">CXEGAUYXQAKHKJ-UHFFFAOYSA-N</t>
  </si>
  <si>
    <t xml:space="preserve">867.14980</t>
  </si>
  <si>
    <t xml:space="preserve">C43H32O20</t>
  </si>
  <si>
    <t xml:space="preserve">Theaflavin-3,3'-digallate; Theaflavin 3,3'-digallate</t>
  </si>
  <si>
    <t xml:space="preserve">212389; 55345</t>
  </si>
  <si>
    <t xml:space="preserve">HMDB0258961; HMDB0030551</t>
  </si>
  <si>
    <t xml:space="preserve">; 975367</t>
  </si>
  <si>
    <t xml:space="preserve">; 3589471</t>
  </si>
  <si>
    <t xml:space="preserve">; 30462-35-2</t>
  </si>
  <si>
    <t xml:space="preserve">OC1CC2=C(O)C=C(O)C=C2OC1C1=CC(O)=C(OC(=O)C2=CC(O)=C(O)C(O)=C2)C2=C1C=C(C=C(OC(=O)C1=CC(O)=C(O)C(O)=C1)C2=O)C1OC2=CC(O)=CC(O)=C2CC1O; OC1=CC(O)=C2CC(OC(=O)C3=CC(O)=C(O)C(O)=C3)C(OC2=C1)C1=CC(O)=C(O)C2=C1C=C(C=C(O)C2=O)C1OC2=CC(O)=CC(O)=C2CC1OC(=O)C1=CC(O)=C(O)C(O)=C1</t>
  </si>
  <si>
    <t xml:space="preserve">FJYGFTHLNNSVPY-UHFFFAOYSA-N; ZEASWHWETFMWCV-UHFFFAOYSA-N</t>
  </si>
  <si>
    <t xml:space="preserve">Flavans; Flavans</t>
  </si>
  <si>
    <t xml:space="preserve">871.18712</t>
  </si>
  <si>
    <t xml:space="preserve">C20H20O11</t>
  </si>
  <si>
    <t xml:space="preserve">Homomangiferin; Isochinomin; Taxifolin 3-arabinoside</t>
  </si>
  <si>
    <t xml:space="preserve">64357; 64253; 64507</t>
  </si>
  <si>
    <t xml:space="preserve">HMDB0041258; HMDB0041147; HMDB0041418</t>
  </si>
  <si>
    <t xml:space="preserve">; 95575; 95816</t>
  </si>
  <si>
    <t xml:space="preserve">12310472; 75253041; 131753138</t>
  </si>
  <si>
    <t xml:space="preserve">21794-66-1; 83118-66-5; </t>
  </si>
  <si>
    <t xml:space="preserve">COC1=CC2=C(C(O)=C1C1OC(CO)C(O)C(O)C1O)C(=O)C1=C(O2)C=C(O)C(O)=C1; COC1=C(C2OC(CO)C(O)C(O)C2O)C2=C(C(O)=C1)C(=O)C1=C(O2)C=C(O)C(O)=C1; OC[C@@H]1O[C@@H](OC2C(OC3=C(C(O)=CC(O)=C3)C2=O)C2=CC=C(O)C(O)=C2)[C@H](O)[C@H]1O</t>
  </si>
  <si>
    <t xml:space="preserve">HDPSXKXQSOVYLL-UHFFFAOYSA-N; VXVIYGXUCPLQBI-UHFFFAOYSA-N; PPDQWYOCNSWEMD-KLDLVKBWSA-N</t>
  </si>
  <si>
    <t xml:space="preserve">Organoheterocyclic compounds; Organoheterocyclic compounds; Phenylpropanoids and polyketides</t>
  </si>
  <si>
    <t xml:space="preserve">Benzopyrans; Benzopyrans; Flavonoids</t>
  </si>
  <si>
    <t xml:space="preserve">1-benzopyrans; 1-benzopyrans; Flavonoid glycosides</t>
  </si>
  <si>
    <t xml:space="preserve">878.51896</t>
  </si>
  <si>
    <t xml:space="preserve">C49H80NO8P</t>
  </si>
  <si>
    <t xml:space="preserve">PE(44:9)</t>
  </si>
  <si>
    <t xml:space="preserve">50279</t>
  </si>
  <si>
    <t xml:space="preserve">HMDB0009603</t>
  </si>
  <si>
    <t xml:space="preserve">60992</t>
  </si>
  <si>
    <t xml:space="preserve">53479901</t>
  </si>
  <si>
    <t xml:space="preserve">[H][C@@](COC(=O)CCCCC\C=C/C\C=C/C\C=C/C\C=C/CCCCC)(COP(O)(=O)OCCN)OC(=O)CC\C=C/C\C=C/C\C=C/C\C=C/C\C=C/CCCCC</t>
  </si>
  <si>
    <t xml:space="preserve">HFJDOZKEVDKDAO-NJJQQFSTSA-N</t>
  </si>
  <si>
    <t xml:space="preserve">879.49479</t>
  </si>
  <si>
    <t xml:space="preserve">C42H74O16</t>
  </si>
  <si>
    <t xml:space="preserve">Notoginsenoside J</t>
  </si>
  <si>
    <t xml:space="preserve">56230</t>
  </si>
  <si>
    <t xml:space="preserve">HMDB0031757</t>
  </si>
  <si>
    <t xml:space="preserve">87923</t>
  </si>
  <si>
    <t xml:space="preserve">131752523</t>
  </si>
  <si>
    <t xml:space="preserve">CC(C)(O)C(O)CCC(C)(OC1OC(CO)C(O)C(O)C1O)C1CCC2(C)C1C(O)CC1C3(C)CCC(O)C(C)(C)C3C(CC21C)OC1OC(CO)C(O)C(O)C1O</t>
  </si>
  <si>
    <t xml:space="preserve">YFXPRCDUBFSHJY-UHFFFAOYSA-N</t>
  </si>
  <si>
    <t xml:space="preserve">880.15248</t>
  </si>
  <si>
    <t xml:space="preserve">C30H44N7O17P3S</t>
  </si>
  <si>
    <t xml:space="preserve">3-Phenylpropanoyl-CoA</t>
  </si>
  <si>
    <t xml:space="preserve">210304</t>
  </si>
  <si>
    <t xml:space="preserve">HMDB0256446</t>
  </si>
  <si>
    <t xml:space="preserve">25202290</t>
  </si>
  <si>
    <t xml:space="preserve">CC(C)(COP(O)(=O)OP(O)(=O)OCC1OC(C(O)C1OP(O)(O)=O)N1C=NC2=C1N=CN=C2N)C(O)C(=O)NCCC(=O)NCCSC(=O)CCC1=CC=CC=C1</t>
  </si>
  <si>
    <t xml:space="preserve">HYSDRCZPYSOWME-UHFFFAOYSA-N</t>
  </si>
  <si>
    <t xml:space="preserve">881.50061</t>
  </si>
  <si>
    <t xml:space="preserve">C45H68N6O9</t>
  </si>
  <si>
    <t xml:space="preserve">Dolastatin 15</t>
  </si>
  <si>
    <t xml:space="preserve">206189</t>
  </si>
  <si>
    <t xml:space="preserve">HMDB0251577</t>
  </si>
  <si>
    <t xml:space="preserve">357989</t>
  </si>
  <si>
    <t xml:space="preserve">COC1=CC(=O)N(C1CC1=CC=CC=C1)C(=O)C(OC(=O)C1CCCN1C(=O)C1CCCN1C(=O)C(C(C)C)N(C)C(=O)C(NC(=O)C(C(C)C)N(C)C)C(C)C)C(C)C</t>
  </si>
  <si>
    <t xml:space="preserve">LQKSHSFQQRCAFW-UHFFFAOYSA-N</t>
  </si>
  <si>
    <t xml:space="preserve">882.12686</t>
  </si>
  <si>
    <t xml:space="preserve">C24H38N7O18P3S</t>
  </si>
  <si>
    <t xml:space="preserve">Malonyl-CoA semialdehyde</t>
  </si>
  <si>
    <t xml:space="preserve">47839</t>
  </si>
  <si>
    <t xml:space="preserve">HMDB0002170</t>
  </si>
  <si>
    <t xml:space="preserve">6523</t>
  </si>
  <si>
    <t xml:space="preserve">C05989</t>
  </si>
  <si>
    <t xml:space="preserve">440865</t>
  </si>
  <si>
    <t xml:space="preserve">6244-93-5</t>
  </si>
  <si>
    <t xml:space="preserve">CC(C)(COP(O)(=O)OP(O)(=O)OC[C@H]1O[C@H]([C@H](O)[C@@H]1OP(O)(O)=O)N1C=NC2=C1N=CN=C2N)C(O)C(=O)NCCC(=O)NCCSC(=O)CC=O</t>
  </si>
  <si>
    <t xml:space="preserve">NMEYBPUHJHMRHU-UXYNFSPESA-N</t>
  </si>
  <si>
    <t xml:space="preserve">888.08681</t>
  </si>
  <si>
    <t xml:space="preserve">C24H38N7O19P3S</t>
  </si>
  <si>
    <t xml:space="preserve">Malonyl-CoA</t>
  </si>
  <si>
    <t xml:space="preserve">8143</t>
  </si>
  <si>
    <t xml:space="preserve">HMDB0001175</t>
  </si>
  <si>
    <t xml:space="preserve">LMFA07050345</t>
  </si>
  <si>
    <t xml:space="preserve">C00083</t>
  </si>
  <si>
    <t xml:space="preserve">15531</t>
  </si>
  <si>
    <t xml:space="preserve">644066</t>
  </si>
  <si>
    <t xml:space="preserve">524-14-1</t>
  </si>
  <si>
    <t xml:space="preserve">[C@@H]1([C@H](O)[C@H](OP(=O)(O)O)[C@@H](COP(O)(=O)OP(O)(=O)OCC(C)([C@@H](O)C(=O)NCCC(=O)NCCSC(=O)CC(O)=O)C)O1)N1C=NC2C(N)=NC=NC1=2</t>
  </si>
  <si>
    <t xml:space="preserve">LTYOQGRJFJAKNA-DVVLENMVSA-N</t>
  </si>
  <si>
    <t xml:space="preserve">891.26993</t>
  </si>
  <si>
    <t xml:space="preserve">C19H26O12</t>
  </si>
  <si>
    <t xml:space="preserve">Monotropeoside; Lucuminic acid</t>
  </si>
  <si>
    <t xml:space="preserve">255933; 58927</t>
  </si>
  <si>
    <t xml:space="preserve">HMDB0303042; HMDB0035007</t>
  </si>
  <si>
    <t xml:space="preserve">; 90367</t>
  </si>
  <si>
    <t xml:space="preserve">; 168248</t>
  </si>
  <si>
    <t xml:space="preserve">; 85260329</t>
  </si>
  <si>
    <t xml:space="preserve">; 190323-48-9</t>
  </si>
  <si>
    <t xml:space="preserve">[H][C@@]1(O)CO[C@@]([H])(OC[C@@]2([H])O[C@@]([H])(OC3=CC=CC=C3C(=O)OC)[C@]([H])(O)[C@@]([H])(O)[C@]2([H])O)[C@]([H])(O)[C@@]1([H])O; OC1COC(OCC2OC(OC(C(O)=O)C3=CC=CC=C3)C(O)C(O)C2O)C(O)C1O</t>
  </si>
  <si>
    <t xml:space="preserve">VHUNCYDAXJGCLO-AHMNSWSSSA-N; DUZCTLMSDUOYAW-UHFFFAOYSA-N</t>
  </si>
  <si>
    <t xml:space="preserve">895.17953</t>
  </si>
  <si>
    <t xml:space="preserve">C39H42N2O20</t>
  </si>
  <si>
    <t xml:space="preserve">Betanidin 5-[E-feruloyl-(-&gt;5)-apiosyl-(1-&gt;2)-glucoside]; 15-Epibetanidin 5-[E-feruloyl-(-&gt;3)-apiosyl-(1-&gt;2)-glucoside]</t>
  </si>
  <si>
    <t xml:space="preserve">60701; 63135</t>
  </si>
  <si>
    <t xml:space="preserve">HMDB0037052; HMDB0039899</t>
  </si>
  <si>
    <t xml:space="preserve">92030; 94442</t>
  </si>
  <si>
    <t xml:space="preserve">131752133; 55296251</t>
  </si>
  <si>
    <t xml:space="preserve">290313-64-3; </t>
  </si>
  <si>
    <t xml:space="preserve">COC1=C([O-])C=CC(\C=C\C(=O)OCC2(O)COC(OC3C(O)C(O)C(CO)OC3OC3=C(O)C=C4C(CC(C(O)=O)\[N+]4=C\C=C4/CC(NC(=C4)C(O)=O)C(O)=O)=C3)C2O)=C1; COC1=C([O-])C=CC(\C=C\C(=O)OC2(CO)COC(OC3C(O)C(O)C(CO)OC3OC3=C(O)C=C4C(CC(C(O)=O)\[N+]4=C\C=C4/CC(NC(=C4)C(O)=O)C(O)=O)=C3)C2O)=C1</t>
  </si>
  <si>
    <t xml:space="preserve">KNQKLMDWXLOVGM-UHFFFAOYSA-N; TWFHWAJPRJAJTL-UHFFFAOYSA-N</t>
  </si>
  <si>
    <t xml:space="preserve">Alkaloids and derivatives; Alkaloids and derivatives</t>
  </si>
  <si>
    <t xml:space="preserve">Betalains; Betalains</t>
  </si>
  <si>
    <t xml:space="preserve">Betacyanins and derivatives; Betacyanins and derivatives</t>
  </si>
  <si>
    <t xml:space="preserve">897.38715</t>
  </si>
  <si>
    <t xml:space="preserve">C25H27N3O5</t>
  </si>
  <si>
    <t xml:space="preserve">Iberdomide; Ethyl n-allyl-n-[(e)-2-methyl-3-[4-(4-amidinophenoxycarbonyl)-phenyl]propenoyl]amino acetate</t>
  </si>
  <si>
    <t xml:space="preserve">207678; 204901</t>
  </si>
  <si>
    <t xml:space="preserve">HMDB0253324; HMDB0250062</t>
  </si>
  <si>
    <t xml:space="preserve">53328043; 177357</t>
  </si>
  <si>
    <t xml:space="preserve">O=C1N(CC2=C1C=CC=C2OCC1=CC=C(CN2CCOCC2)C=C1)C1CCC(=O)NC1=O; CCOC(=O)CN(CC=C)C(=O)C(C)=CC1=CC=C(C=C1)C(=O)OC1=CC=C(C=C1)C(N)=N</t>
  </si>
  <si>
    <t xml:space="preserve">IXZOHGPZAQLIBH-UHFFFAOYSA-N; PTCNGRBWQCYOSG-UHFFFAOYSA-N</t>
  </si>
  <si>
    <t xml:space="preserve">Organoheterocyclic compounds; Phenylpropanoids and polyketides</t>
  </si>
  <si>
    <t xml:space="preserve">Isoindoles and derivatives; Depsides and depsidones</t>
  </si>
  <si>
    <t xml:space="preserve">Isoindolines; Unclassified</t>
  </si>
  <si>
    <t xml:space="preserve">899.20971</t>
  </si>
  <si>
    <t xml:space="preserve">C22H24Cl2N2O4</t>
  </si>
  <si>
    <t xml:space="preserve">Isrib</t>
  </si>
  <si>
    <t xml:space="preserve">208022</t>
  </si>
  <si>
    <t xml:space="preserve">HMDB0253718</t>
  </si>
  <si>
    <t xml:space="preserve">ClC1=CC=C(OCC(=O)NC2CCC(CC2)NC(=O)COC2=CC=C(Cl)C=C2)C=C1</t>
  </si>
  <si>
    <t xml:space="preserve">HJGMCDHQPXTGAV-UHFFFAOYSA-N</t>
  </si>
  <si>
    <t xml:space="preserve">901.18021</t>
  </si>
  <si>
    <t xml:space="preserve">C17H25NO9S2</t>
  </si>
  <si>
    <t xml:space="preserve">4-Phenylbutyl glucosinolate</t>
  </si>
  <si>
    <t xml:space="preserve">61802</t>
  </si>
  <si>
    <t xml:space="preserve">HMDB0038415</t>
  </si>
  <si>
    <t xml:space="preserve">93113</t>
  </si>
  <si>
    <t xml:space="preserve">169658</t>
  </si>
  <si>
    <t xml:space="preserve">131752363</t>
  </si>
  <si>
    <t xml:space="preserve">76265-26-4</t>
  </si>
  <si>
    <t xml:space="preserve">OCC1OC(S\C(CCCCC2=CC=CC=C2)=N\OS(O)(=O)=O)C(O)C(O)C1O</t>
  </si>
  <si>
    <t xml:space="preserve">PJZFULXMEGMUDK-QGOAFFKASA-N</t>
  </si>
  <si>
    <t xml:space="preserve">907.52932</t>
  </si>
  <si>
    <t xml:space="preserve">C28H38O5</t>
  </si>
  <si>
    <t xml:space="preserve">Withanolide B</t>
  </si>
  <si>
    <t xml:space="preserve">54878</t>
  </si>
  <si>
    <t xml:space="preserve">HMDB0030020</t>
  </si>
  <si>
    <t xml:space="preserve">C00828</t>
  </si>
  <si>
    <t xml:space="preserve">78277</t>
  </si>
  <si>
    <t xml:space="preserve">5282367</t>
  </si>
  <si>
    <t xml:space="preserve">56973-41-2</t>
  </si>
  <si>
    <t xml:space="preserve">CC(C1CCC2C3C4OC4C4(O)CC=CC(=O)C4(C)C3CCC12C)C1CC(C)=C(C)C(=O)O1</t>
  </si>
  <si>
    <t xml:space="preserve">ZTEVDTFJUUJBLP-UHFFFAOYSA-N</t>
  </si>
  <si>
    <t xml:space="preserve">909.15432</t>
  </si>
  <si>
    <t xml:space="preserve">C45H36O22</t>
  </si>
  <si>
    <t xml:space="preserve">Oolonghomobisflavan B; Oolonghomobisflavan A</t>
  </si>
  <si>
    <t xml:space="preserve">62863; 62862</t>
  </si>
  <si>
    <t xml:space="preserve">HMDB0039600; HMDB0039599</t>
  </si>
  <si>
    <t xml:space="preserve">94158; 94157</t>
  </si>
  <si>
    <t xml:space="preserve">14520995; 14520989</t>
  </si>
  <si>
    <t xml:space="preserve">126715-88-6; 126737-60-8</t>
  </si>
  <si>
    <t xml:space="preserve">OC1=CC(=CC(O)=C1O)C1OC2=C(CC1OC(=O)C1=CC(O)=C(O)C(O)=C1)C(O)=C(CC1=C3OC(C(CC3=C(O)C=C1O)OC(=O)C1=CC(O)=C(O)C(O)=C1)C1=CC(O)=C(O)C(O)=C1)C(O)=C2; OC1=CC(=CC(O)=C1O)C1OC2=C(CC3=C4OC(C(CC4=C(O)C=C3O)OC(=O)C3=CC(O)=C(O)C(O)=C3)C3=CC(O)=C(O)C(O)=C3)C(O)=CC(O)=C2CC1OC(=O)C1=CC(O)=C(O)C(O)=C1</t>
  </si>
  <si>
    <t xml:space="preserve">FKRUMFFNBGSGGM-UHFFFAOYSA-N; BJFGFQSYHAXQPO-UHFFFAOYSA-N</t>
  </si>
  <si>
    <t xml:space="preserve">910.18088</t>
  </si>
  <si>
    <t xml:space="preserve">C27H46N7O17P3S</t>
  </si>
  <si>
    <t xml:space="preserve">CoA(6:0)</t>
  </si>
  <si>
    <t xml:space="preserve">8127</t>
  </si>
  <si>
    <t xml:space="preserve">HMDB0002845</t>
  </si>
  <si>
    <t xml:space="preserve">459</t>
  </si>
  <si>
    <t xml:space="preserve">LMFA07050328</t>
  </si>
  <si>
    <t xml:space="preserve">C05270</t>
  </si>
  <si>
    <t xml:space="preserve">27540</t>
  </si>
  <si>
    <t xml:space="preserve">449118</t>
  </si>
  <si>
    <t xml:space="preserve">5060-32-2</t>
  </si>
  <si>
    <t xml:space="preserve">[C@@H]1([C@H](O)[C@H](OP(=O)(O)O)[C@@H](COP(O)(=O)OP(O)(=O)OCC(C)([C@@H](O)C(=O)NCCC(=O)NCCSC(CCCCC)=O)C)O1)N1C=NC2C(N)=NC=NC1=2</t>
  </si>
  <si>
    <t xml:space="preserve">OEXFMSFODMQEPE-HDRQGHTBSA-N</t>
  </si>
  <si>
    <t xml:space="preserve">914.19641</t>
  </si>
  <si>
    <t xml:space="preserve">C31H50N7O18P3S</t>
  </si>
  <si>
    <t xml:space="preserve">3-Oxoheptanoyl-CoA</t>
  </si>
  <si>
    <t xml:space="preserve">7950</t>
  </si>
  <si>
    <t xml:space="preserve">HMDB0062370</t>
  </si>
  <si>
    <t xml:space="preserve">64068</t>
  </si>
  <si>
    <t xml:space="preserve">LMFA07050118</t>
  </si>
  <si>
    <t xml:space="preserve">C11421</t>
  </si>
  <si>
    <t xml:space="preserve">212</t>
  </si>
  <si>
    <t xml:space="preserve">11966312</t>
  </si>
  <si>
    <t xml:space="preserve">[C@@H]1([C@H](O)[C@H](OP(=O)(O)O)[C@@H](COP(O)(=O)OP(O)(=O)OCC(C)(C)[C@@H](O)C(=O)NCCC(=O)NCCSC(C[C@H](CCC(=O)C)C(=C)C)=O)O1)N1C=NC2C(N)=NC=NC1=2</t>
  </si>
  <si>
    <t xml:space="preserve">VMTHAXKUEKKCEY-PNPVFPMQSA-N</t>
  </si>
  <si>
    <t xml:space="preserve">915.60461</t>
  </si>
  <si>
    <t xml:space="preserve">C28H42O5</t>
  </si>
  <si>
    <t xml:space="preserve">Pubesenolide</t>
  </si>
  <si>
    <t xml:space="preserve">57922</t>
  </si>
  <si>
    <t xml:space="preserve">HMDB0033728</t>
  </si>
  <si>
    <t xml:space="preserve">89500</t>
  </si>
  <si>
    <t xml:space="preserve">5317761</t>
  </si>
  <si>
    <t xml:space="preserve">98569-64-3</t>
  </si>
  <si>
    <t xml:space="preserve">CC(C1CCC2C3CC=C4CC(O)CC(O)C4(C)C3CCC12C)C1CC(C)=C(CO)C(=O)O1</t>
  </si>
  <si>
    <t xml:space="preserve">FYYIHVSEGVWNCF-UHFFFAOYSA-N</t>
  </si>
  <si>
    <t xml:space="preserve">916.17321</t>
  </si>
  <si>
    <t xml:space="preserve">C28H48N7O18P3S</t>
  </si>
  <si>
    <t xml:space="preserve">3-hydroxyheptanoyl-CoA</t>
  </si>
  <si>
    <t xml:space="preserve">254533</t>
  </si>
  <si>
    <t xml:space="preserve">HMDB0301434</t>
  </si>
  <si>
    <t xml:space="preserve">CCCCC(O)CC(=O)SCCNC(=O)CCNC(=O)C(O)C(C)(C)COP(O)(=O)OP(O)(=O)OCC1OC(C(O)C1OP(O)(O)=O)N1C=NC2=C1N=CN=C2N</t>
  </si>
  <si>
    <t xml:space="preserve">VISQBWUSDZWVMM-UHFFFAOYSA-N</t>
  </si>
  <si>
    <t xml:space="preserve">917.15403</t>
  </si>
  <si>
    <t xml:space="preserve">C32H43N8O17P3S</t>
  </si>
  <si>
    <t xml:space="preserve">3-Indoleacryloyl-CoA</t>
  </si>
  <si>
    <t xml:space="preserve">198609</t>
  </si>
  <si>
    <t xml:space="preserve">HMDB0242103</t>
  </si>
  <si>
    <t xml:space="preserve">6449959</t>
  </si>
  <si>
    <t xml:space="preserve">[H]\C(=C(\[H])C1=CNC2=CC=CC=C12)C(=O)SCCN=C(O)CCN=C(O)[C@]([H])(O)C(C)(C)COP(O)(=O)OP(O)(=O)OC[C@@]1([H])O[C@@]([H])(N2C=NC3=C(N)N=CN=C23)[C@]([H])(O)[C@]1([H])OP(O)(O)=O</t>
  </si>
  <si>
    <t xml:space="preserve">LQFMEOXXQRDBPP-BTOWARJYSA-N</t>
  </si>
  <si>
    <t xml:space="preserve">926.17359</t>
  </si>
  <si>
    <t xml:space="preserve">C27H46N7O18P3S</t>
  </si>
  <si>
    <t xml:space="preserve">3S-hydroxy-hexanoyl-CoA; (S)-Hydroxyhexanoyl-CoA</t>
  </si>
  <si>
    <t xml:space="preserve">83504; 7986</t>
  </si>
  <si>
    <t xml:space="preserve">HMDB0062262; HMDB0003942</t>
  </si>
  <si>
    <t xml:space="preserve">36649; </t>
  </si>
  <si>
    <t xml:space="preserve">; LMFA07050156</t>
  </si>
  <si>
    <t xml:space="preserve">C05268; C05268</t>
  </si>
  <si>
    <t xml:space="preserve">; 28276</t>
  </si>
  <si>
    <t xml:space="preserve">16061162; 11966160</t>
  </si>
  <si>
    <t xml:space="preserve">; 79171-47-4</t>
  </si>
  <si>
    <t xml:space="preserve">[H][C@](O)(CCC)CC(=O)SCCN=C(O)CCN=C(O)[C@]([H])(O)C(C)(C)COP(O)(=O)OP(O)(=O)OC[C@@]1([H])O[C@@]([H])(N2C=NC3=C(N)N=CN=C23)C([H])(O)[C@@]1([H])OP(O)(O)=O; [C@@H]1([C@H](O)[C@H](OP(=O)(O)O)[C@@H](COP(O)(=O)OP(O)(=O)OCC(C)([C@@H](O)C(=O)NCCC(=O)NCCSC(C[C@H](CCC)O)=O)C)O1)N1C=NC2C(N)=NC=NC1=2</t>
  </si>
  <si>
    <t xml:space="preserve">VAAHKRMGOFIORX-HQMSTBIRSA-N; VAAHKRMGOFIORX-IKTBLOROSA-N</t>
  </si>
  <si>
    <t xml:space="preserve">Fatty acyl thioesters; Fatty acyl thioesters</t>
  </si>
  <si>
    <t xml:space="preserve">927.36151</t>
  </si>
  <si>
    <t xml:space="preserve">C24H32O7S</t>
  </si>
  <si>
    <t xml:space="preserve">Eremosulphoxinolide A; Eremopetasitenin B2</t>
  </si>
  <si>
    <t xml:space="preserve">64614; 55620</t>
  </si>
  <si>
    <t xml:space="preserve">HMDB0041532; HMDB0030901</t>
  </si>
  <si>
    <t xml:space="preserve">; 87269</t>
  </si>
  <si>
    <t xml:space="preserve">131753161; 131752438</t>
  </si>
  <si>
    <t xml:space="preserve">182127-79-3; 189100-15-0</t>
  </si>
  <si>
    <t xml:space="preserve">C\C=C(/C)C(=O)OC1C2=C(C)C(=O)OC2CC2CCC(OC(=O)\C=C\S(C)=O)C(C)C12C; CS\C=C/C(=O)OC1CCC2CC34OC3(C(C)C(=O)O4)C(OC(=O)C(\C)=C\C)C2(C)C1C</t>
  </si>
  <si>
    <t xml:space="preserve">VIUDBOBKMBZVGZ-DTICODAZSA-N; DDMWYCBISCBTIJ-PCGFSOLGSA-N</t>
  </si>
  <si>
    <t xml:space="preserve">Prenol lipids; Naphthofurans</t>
  </si>
  <si>
    <t xml:space="preserve">Terpene lactones; Unclassified</t>
  </si>
  <si>
    <t xml:space="preserve">928.19797</t>
  </si>
  <si>
    <t xml:space="preserve">C29H50N7O17P3S</t>
  </si>
  <si>
    <t xml:space="preserve">Octanoyl-CoA</t>
  </si>
  <si>
    <t xml:space="preserve">47380</t>
  </si>
  <si>
    <t xml:space="preserve">HMDB0001070</t>
  </si>
  <si>
    <t xml:space="preserve">5982</t>
  </si>
  <si>
    <t xml:space="preserve">C01944</t>
  </si>
  <si>
    <t xml:space="preserve">15533</t>
  </si>
  <si>
    <t xml:space="preserve">380</t>
  </si>
  <si>
    <t xml:space="preserve">1264-52-4</t>
  </si>
  <si>
    <t xml:space="preserve">CCCCCCCC(=O)SCCNC(=O)CCNC(=O)C(O)C(C)(C)COP(O)(=O)OP(O)(=O)OCC1OC(C(O)C1OP(O)(O)=O)N1C=NC2=C(N)N=CN=C12</t>
  </si>
  <si>
    <t xml:space="preserve">KQMZYOXOBSXMII-UHFFFAOYSA-N</t>
  </si>
  <si>
    <t xml:space="preserve">929.37048</t>
  </si>
  <si>
    <t xml:space="preserve">C25H27N3O6</t>
  </si>
  <si>
    <t xml:space="preserve">Biotripyrrin-b; Biotripyrrin-a</t>
  </si>
  <si>
    <t xml:space="preserve">48057; 48056</t>
  </si>
  <si>
    <t xml:space="preserve">HMDB0003324; HMDB0003323</t>
  </si>
  <si>
    <t xml:space="preserve">; 6881</t>
  </si>
  <si>
    <t xml:space="preserve">131750328; 10298558</t>
  </si>
  <si>
    <t xml:space="preserve">158598-18-6; 158649-79-7</t>
  </si>
  <si>
    <t xml:space="preserve">[H]\C(C1=C(C)C(CCC(O)=O)=C(N1)C(\[H])=C1/N=C(O)C(C)=C1CCC(O)=O)=C1/N=C(O)C(C=C)=C1C; CC1=C(CCC(O)=O)\C(NC1=O)=C/C1=C(CCC(O)=O)C(C)=C(N1)\C=C1\NC(=O)C(C)=C1C=C</t>
  </si>
  <si>
    <t xml:space="preserve">PMIYFUGIVLGYIZ-YDSWVFJZSA-N; DXWHHYOVLWSVQD-WOEXBRBNSA-N</t>
  </si>
  <si>
    <t xml:space="preserve">Pyrroles; Pyrroles</t>
  </si>
  <si>
    <t xml:space="preserve">Substituted pyrroles; Substituted pyrroles</t>
  </si>
  <si>
    <t xml:space="preserve">930.21880</t>
  </si>
  <si>
    <t xml:space="preserve">C32H54N7O18P3S</t>
  </si>
  <si>
    <t xml:space="preserve">3-Oxo-4(R),8-dimethyl-nonanoyl-CoA</t>
  </si>
  <si>
    <t xml:space="preserve">82138</t>
  </si>
  <si>
    <t xml:space="preserve">HMDB0060160</t>
  </si>
  <si>
    <t xml:space="preserve">131769856</t>
  </si>
  <si>
    <t xml:space="preserve">CC(C)CCC[C@@H](C)C(=O)CC(=O)SCCN=C(O)CCN=C(O)[C@@H](O)C(C)(C)COP(O)(=O)OP(O)(=O)OC[C@@H]1O[C@@H]([C@H](O)[C@@H]1OP(O)(O)=O)N1C=NC2=C(N)N=CN=C12</t>
  </si>
  <si>
    <t xml:space="preserve">YMYLLQAUKBJHAS-RMJAONIFSA-N</t>
  </si>
  <si>
    <t xml:space="preserve">931.18925</t>
  </si>
  <si>
    <t xml:space="preserve">C43H42O22</t>
  </si>
  <si>
    <t xml:space="preserve">Carthamin</t>
  </si>
  <si>
    <t xml:space="preserve">58052</t>
  </si>
  <si>
    <t xml:space="preserve">HMDB0033898</t>
  </si>
  <si>
    <t xml:space="preserve">71447</t>
  </si>
  <si>
    <t xml:space="preserve">C16941</t>
  </si>
  <si>
    <t xml:space="preserve">137185914</t>
  </si>
  <si>
    <t xml:space="preserve">36338-96-2</t>
  </si>
  <si>
    <t xml:space="preserve">OCC1OC(C(O)C(O)C1O)C1(O)C(O)=C(\C=C2/C(=O)C(C(=O)\C=C\C3=CC=C(O)C=C3)=C(O)C(O)(C3OC(CO)C(O)C(O)C3O)C2=O)C(=O)C(C(=O)\C=C\C2=CC=C(O)C=C2)=C1O</t>
  </si>
  <si>
    <t xml:space="preserve">WLYGSPLCNKYESI-CAMZRRETSA-N</t>
  </si>
  <si>
    <t xml:space="preserve">931.49487</t>
  </si>
  <si>
    <t xml:space="preserve">C45H74O17</t>
  </si>
  <si>
    <t xml:space="preserve">Tuberoside D; b-Chlorogenin 3-[2'',4''-dirhamnosylglucoside]; Desglucoparillin</t>
  </si>
  <si>
    <t xml:space="preserve">58349; 60010; 61774</t>
  </si>
  <si>
    <t xml:space="preserve">HMDB0034304; HMDB0036245; HMDB0038382</t>
  </si>
  <si>
    <t xml:space="preserve">; 91390; 93090</t>
  </si>
  <si>
    <t xml:space="preserve">73020465; 72964728; 418709</t>
  </si>
  <si>
    <t xml:space="preserve">234771-06-3; 256642-44-1; 11025-83-5</t>
  </si>
  <si>
    <t xml:space="preserve">CC1C2C(CC3C4CCC5CC(OC6OC(CO)C(OC7OC(C)C(O)C(O)C7O)C(O)C6OC6OC(C)C(O)C(O)C6O)C(O)CC5(C)C4CCC23C)OC11CCC(C)CO1; CC1C2C(CC3C4CC(O)C5CC(CCC5(C)C4CCC23C)OC2OC(CO)C(OC3OC(C)C(O)C(O)C3O)C(O)C2OC2OC(C)C(O)C(O)C2O)OC11CCC(C)CO1; CC1C2C(CC3C4CCC5CC(CCC5(C)C4CCC23C)OC2OC(COC3OC(CO)C(O)C(O)C3O)C(OC3OC(C)C(O)C(O)C3O)C(O)C2O)OC11CCC(C)CO1</t>
  </si>
  <si>
    <t xml:space="preserve">PTMUTMGEBGQTEJ-UHFFFAOYSA-N; AXDIWOQMQMPLJH-UHFFFAOYSA-N; UBMCTHWOOSUTHL-UHFFFAOYSA-N</t>
  </si>
  <si>
    <t xml:space="preserve">Steroidal glycosides; Steroidal glycosides; Steroidal glycosides</t>
  </si>
  <si>
    <t xml:space="preserve">941.16787</t>
  </si>
  <si>
    <t xml:space="preserve">C20H17N5O7S</t>
  </si>
  <si>
    <t xml:space="preserve">4-(2,6-Dioxo-1-propyl-2,3,6,7-tetrahydro-1H-purin-8-yl)-benzenesulfonic acid 4-nitro-phenyl ester</t>
  </si>
  <si>
    <t xml:space="preserve">204902</t>
  </si>
  <si>
    <t xml:space="preserve">HMDB0250063</t>
  </si>
  <si>
    <t xml:space="preserve">10050439</t>
  </si>
  <si>
    <t xml:space="preserve">CCCN1C(=O)NC2=C(NC(=N2)C2=CC=C(C=C2)S(=O)(=O)OC2=CC=C(C=C2)[N+]([O-])=O)C1=O</t>
  </si>
  <si>
    <t xml:space="preserve">GRIXSFHJKXADFX-UHFFFAOYSA-N</t>
  </si>
  <si>
    <t xml:space="preserve">941.39690</t>
  </si>
  <si>
    <t xml:space="preserve">C25H25N7O3</t>
  </si>
  <si>
    <t xml:space="preserve">Dabigatran</t>
  </si>
  <si>
    <t xml:space="preserve">205515</t>
  </si>
  <si>
    <t xml:space="preserve">HMDB0250817</t>
  </si>
  <si>
    <t xml:space="preserve">452309</t>
  </si>
  <si>
    <t xml:space="preserve">70752</t>
  </si>
  <si>
    <t xml:space="preserve">216210</t>
  </si>
  <si>
    <t xml:space="preserve">CN1C(CNC2=CC=C(C=C2)C(N)=N)=NC2=C1C=CC(=C2)C(=O)N(CCC(O)=O)C1=CC=CC=N1</t>
  </si>
  <si>
    <t xml:space="preserve">YBSJFWOBGCMAKL-UHFFFAOYSA-N</t>
  </si>
  <si>
    <t xml:space="preserve">953.51193</t>
  </si>
  <si>
    <t xml:space="preserve">C47H80O18</t>
  </si>
  <si>
    <t xml:space="preserve">Notoginsenoside R1</t>
  </si>
  <si>
    <t xml:space="preserve">59245</t>
  </si>
  <si>
    <t xml:space="preserve">HMDB0035363</t>
  </si>
  <si>
    <t xml:space="preserve">4483635</t>
  </si>
  <si>
    <t xml:space="preserve">80418-24-2</t>
  </si>
  <si>
    <t xml:space="preserve">CC(C)=CCCC(C)(OC1OC(CO)C(O)C(O)C1O)C1CCC2(C)C1C(O)CC1C3(C)CCC(O)C(C)(C)C3C(CC21C)OC1OC(CO)C(O)C(O)C1OC1OCC(O)C(O)C1O</t>
  </si>
  <si>
    <t xml:space="preserve">LLPWNQMSUYAGQI-UHFFFAOYSA-N</t>
  </si>
  <si>
    <t xml:space="preserve">957.15345</t>
  </si>
  <si>
    <t xml:space="preserve">C16H17N9O5S2</t>
  </si>
  <si>
    <t xml:space="preserve">(6R,7R)-7-[[2-(2-Amino-1,3-thiazol-4-yl)-2-methoxyiminoacetyl]amino]-3-[(5-methyltetrazol-2-yl)methyl]-8-oxo-5-thia-1-azabicyclo[4.2.0]oct-2-ene-2-carboxylic acid</t>
  </si>
  <si>
    <t xml:space="preserve">202720</t>
  </si>
  <si>
    <t xml:space="preserve">HMDB0247499</t>
  </si>
  <si>
    <t xml:space="preserve">54486399</t>
  </si>
  <si>
    <t xml:space="preserve">CON=C(C(=O)NC1C2SCC(CN3N=NC(C)=N3)=C(N2C1=O)C(O)=O)C1=CSC(N)=N1</t>
  </si>
  <si>
    <t xml:space="preserve">XSPUSVIQHBDITA-UHFFFAOYSA-N</t>
  </si>
  <si>
    <t xml:space="preserve">957.38568</t>
  </si>
  <si>
    <t xml:space="preserve">C23H25N7O5</t>
  </si>
  <si>
    <t xml:space="preserve">3-{[(Benzo[1,3]dioxol-5-ylmethyl)-carbamoyl]-methyl}-4-(2-imidazol-1-yl-pyrimidin-4-yl)-piperazine-1-carboxylic acid methyl ester</t>
  </si>
  <si>
    <t xml:space="preserve">204820</t>
  </si>
  <si>
    <t xml:space="preserve">HMDB0249963</t>
  </si>
  <si>
    <t xml:space="preserve">COC(=O)N1CCN(C(CC(=O)NCC2=CC3=C(OCO3)C=C2)C1)C1=NC(=NC=C1)N1C=CN=C1</t>
  </si>
  <si>
    <t xml:space="preserve">NVYMEDQKBQMAKF-UHFFFAOYSA-N</t>
  </si>
  <si>
    <t xml:space="preserve">959.18362</t>
  </si>
  <si>
    <t xml:space="preserve">C45H38O21</t>
  </si>
  <si>
    <t xml:space="preserve">Gallocatechin-(4alpha-&gt;8)-gallocatechin-(4alpha-&gt;8)-gallocatechin</t>
  </si>
  <si>
    <t xml:space="preserve">63555</t>
  </si>
  <si>
    <t xml:space="preserve">HMDB0040378</t>
  </si>
  <si>
    <t xml:space="preserve">94890</t>
  </si>
  <si>
    <t xml:space="preserve">172852</t>
  </si>
  <si>
    <t xml:space="preserve">71664720</t>
  </si>
  <si>
    <t xml:space="preserve">87402-90-2</t>
  </si>
  <si>
    <t xml:space="preserve">O[C@H]1CC2=C(O[C@@H]1C1=CC(O)=C(O)C(O)=C1)C([C@H]1[C@H](O)[C@H](OC3=C1C(O)=CC(O)=C3[C@H]1[C@H](O)[C@H](OC3=C1C(O)=CC(O)=C3)C1=CC(O)=C(O)C(O)=C1)C1=CC(O)=C(O)C(O)=C1)=C(O)C=C2O</t>
  </si>
  <si>
    <t xml:space="preserve">NVTLDVSBUJGIAD-QHBXHTPSSA-N</t>
  </si>
  <si>
    <t xml:space="preserve">961.59702</t>
  </si>
  <si>
    <t xml:space="preserve">C55H92O7P2</t>
  </si>
  <si>
    <t xml:space="preserve">Undecaprenyl diphosphate</t>
  </si>
  <si>
    <t xml:space="preserve">37493</t>
  </si>
  <si>
    <t xml:space="preserve">HMDB0001469</t>
  </si>
  <si>
    <t xml:space="preserve">3706</t>
  </si>
  <si>
    <t xml:space="preserve">LMPR03030004</t>
  </si>
  <si>
    <t xml:space="preserve">C03543</t>
  </si>
  <si>
    <t xml:space="preserve">17047</t>
  </si>
  <si>
    <t xml:space="preserve">5280604</t>
  </si>
  <si>
    <t xml:space="preserve">23-13-2</t>
  </si>
  <si>
    <t xml:space="preserve">P(=O)(O)(OP(=O)(O)O)OC/C=C(\C)/CC/C=C(\C)/CC/C=C(\C)/CC/C=C(\C)/CC/C=C(\C)/CC/C=C(\C)/CC/C=C(\C)/CC/C=C(\C)/CC/C=C(\C)/CC/C=C(\C)/CC/C=C(\C)/C</t>
  </si>
  <si>
    <t xml:space="preserve">NTXGVHCCXVHYCL-RDQGWRCRSA-N</t>
  </si>
  <si>
    <t xml:space="preserve">Polyprenols</t>
  </si>
  <si>
    <t xml:space="preserve">966.17422</t>
  </si>
  <si>
    <t xml:space="preserve">C29H46N7O19P3S</t>
  </si>
  <si>
    <t xml:space="preserve">(2Z)-oct-2-enedioyl-CoA</t>
  </si>
  <si>
    <t xml:space="preserve">254560</t>
  </si>
  <si>
    <t xml:space="preserve">HMDB0301461</t>
  </si>
  <si>
    <t xml:space="preserve">CC(C)(COP(O)(=O)OP(O)(=O)OCC1OC(C(O)C1OP(O)(O)=O)N1C=NC2=C1N=CN=C2N)C(O)C(=O)NCCC(=O)NCCSC(=O)C=CCCCCC(O)=O</t>
  </si>
  <si>
    <t xml:space="preserve">UUCJVAJRAMBJMP-UHFFFAOYSA-N</t>
  </si>
  <si>
    <t xml:space="preserve">967.16956</t>
  </si>
  <si>
    <t xml:space="preserve">C20H20O14</t>
  </si>
  <si>
    <t xml:space="preserve">1,6-di-O-Galloylglucose</t>
  </si>
  <si>
    <t xml:space="preserve">255810</t>
  </si>
  <si>
    <t xml:space="preserve">HMDB0302910</t>
  </si>
  <si>
    <t xml:space="preserve">66112</t>
  </si>
  <si>
    <t xml:space="preserve">C04101</t>
  </si>
  <si>
    <t xml:space="preserve">15723</t>
  </si>
  <si>
    <t xml:space="preserve">440221</t>
  </si>
  <si>
    <t xml:space="preserve">[H][C@]1(COC(=O)C2=CC(O)=C(O)C(O)=C2)O[C@@]([H])(OC(=O)C2=CC(O)=C(O)C(O)=C2)[C@]([H])(O)[C@@]([H])(O)[C@]1([H])O</t>
  </si>
  <si>
    <t xml:space="preserve">LYGRISUQIZNHGM-IVABAYMNSA-N</t>
  </si>
  <si>
    <t xml:space="preserve">975.51991</t>
  </si>
  <si>
    <t xml:space="preserve">C48H80O20</t>
  </si>
  <si>
    <t xml:space="preserve">(3b,16a,20R)-3,16,20,22,25-Pentahydroxy-5-cucurbiten-11-one 3-[rhamnosyl-(1-&gt;4)-[glucosyl-(1-&gt;6)]-glucoside]</t>
  </si>
  <si>
    <t xml:space="preserve">59226</t>
  </si>
  <si>
    <t xml:space="preserve">HMDB0035344</t>
  </si>
  <si>
    <t xml:space="preserve">90644</t>
  </si>
  <si>
    <t xml:space="preserve">131751715</t>
  </si>
  <si>
    <t xml:space="preserve">251102-63-3</t>
  </si>
  <si>
    <t xml:space="preserve">CC1OC(OC2C(COC3OC(CO)C(O)C(O)C3O)OC(OC3CCC4C(=CCC5C6(C)CC(O)C(C(C)(O)C(O)CCC(C)(C)O)C6(C)CC(=O)C45C)C3(C)C)C(O)C2O)C(O)C(O)C1O</t>
  </si>
  <si>
    <t xml:space="preserve">SDJJKTYFMLJFRO-UHFFFAOYSA-N</t>
  </si>
  <si>
    <t xml:space="preserve">975.61148</t>
  </si>
  <si>
    <t xml:space="preserve">C29H44O6</t>
  </si>
  <si>
    <t xml:space="preserve">Antcin K</t>
  </si>
  <si>
    <t xml:space="preserve">204761</t>
  </si>
  <si>
    <t xml:space="preserve">HMDB0249891</t>
  </si>
  <si>
    <t xml:space="preserve">76008041</t>
  </si>
  <si>
    <t xml:space="preserve">CC(CCC(=C)C(C)C(O)=O)C1CCC2C3=C(C(=O)CC12C)C1(C)CCC(O)C(C)(O)C1CC3O</t>
  </si>
  <si>
    <t xml:space="preserve">RWTLLOHEXIZDCG-UHFFFAOYSA-N</t>
  </si>
  <si>
    <t xml:space="preserve">Bile acids, alcohols and derivatives</t>
  </si>
  <si>
    <t xml:space="preserve">979.13219</t>
  </si>
  <si>
    <t xml:space="preserve">C19H18N6O6S2</t>
  </si>
  <si>
    <t xml:space="preserve">Mandol</t>
  </si>
  <si>
    <t xml:space="preserve">204817</t>
  </si>
  <si>
    <t xml:space="preserve">HMDB0249959</t>
  </si>
  <si>
    <t xml:space="preserve">2615</t>
  </si>
  <si>
    <t xml:space="preserve">CN1N=NN=C1SCC1=C(N2C(SC1)C(NC(=O)C(OC=O)C1=CC=CC=C1)C2=O)C(O)=O</t>
  </si>
  <si>
    <t xml:space="preserve">RRJHESVQVSRQEX-UHFFFAOYSA-N</t>
  </si>
  <si>
    <t xml:space="preserve">981.57598</t>
  </si>
  <si>
    <t xml:space="preserve">C51H84O15</t>
  </si>
  <si>
    <t xml:space="preserve">1,2-Di-(9Z,12Z,15Z-octadecatrienoyl)-3-(Galactosyl-alpha-1-6-Galactosyl-beta-1)-glycerol</t>
  </si>
  <si>
    <t xml:space="preserve">51166</t>
  </si>
  <si>
    <t xml:space="preserve">HMDB0011127</t>
  </si>
  <si>
    <t xml:space="preserve">61990</t>
  </si>
  <si>
    <t xml:space="preserve">142243</t>
  </si>
  <si>
    <t xml:space="preserve">53480666</t>
  </si>
  <si>
    <t xml:space="preserve">[H][C@](CO[C@@H]1O[C@H](CO[C@@H]2O[C@H](CO)[C@H](O)C(O)C2O)[C@H](O)C(O)C1O)(COC(=O)CCCCCCC\C=C/C\C=C/C\C=C/CC)OC(=O)CCCCCCC\C=C/C\C=C/C\C=C/CC</t>
  </si>
  <si>
    <t xml:space="preserve">KDYAPQVYJXUQNY-JTADZIJASA-N</t>
  </si>
  <si>
    <t xml:space="preserve">998.14213</t>
  </si>
  <si>
    <t xml:space="preserve">C32H42N7O19P3S</t>
  </si>
  <si>
    <t xml:space="preserve">1,4-dihydroxy-2-naphthoyl-CoA</t>
  </si>
  <si>
    <t xml:space="preserve">256839</t>
  </si>
  <si>
    <t xml:space="preserve">HMDB0304010</t>
  </si>
  <si>
    <t xml:space="preserve">63987</t>
  </si>
  <si>
    <t xml:space="preserve">C15547</t>
  </si>
  <si>
    <t xml:space="preserve">44140569</t>
  </si>
  <si>
    <t xml:space="preserve">[H][C@](O)(C(O)=NCCC(O)=NCCSC(=O)C1=C(O)C2=CC=CC=C2C(O)=C1)C(C)(C)COP(O)(=O)OP(O)(=O)OC[C@@]1([H])O[C@@]([H])(N2C=NC3=C(N)N=CN=C23)[C@]([H])(O)[C@]1([H])OP(O)(O)=O</t>
  </si>
  <si>
    <t xml:space="preserve">PYTINLGPKDJURZ-HSJNEKGZSA-N</t>
  </si>
  <si>
    <t xml:space="preserve">1003.16320</t>
  </si>
  <si>
    <t xml:space="preserve">C27H18O10</t>
  </si>
  <si>
    <t xml:space="preserve">Garciduol B</t>
  </si>
  <si>
    <t xml:space="preserve">64472</t>
  </si>
  <si>
    <t xml:space="preserve">HMDB0041381</t>
  </si>
  <si>
    <t xml:space="preserve">95784</t>
  </si>
  <si>
    <t xml:space="preserve">101689964</t>
  </si>
  <si>
    <t xml:space="preserve">176257-86-6</t>
  </si>
  <si>
    <t xml:space="preserve">COC1=C(C(O)=C(C(=O)C2=CC(O)=CC=C2)C(O)=C1)C1=CC(O)=C2OC3=C(C=CC=C3O)C(=O)C2=C1O</t>
  </si>
  <si>
    <t xml:space="preserve">XKZFGJPNYONQOM-UHFFFAOYSA-N</t>
  </si>
  <si>
    <t xml:space="preserve">1012.20666</t>
  </si>
  <si>
    <t xml:space="preserve">C33H54N7O19P3S</t>
  </si>
  <si>
    <t xml:space="preserve">Dodec-2-enedioyl-CoA</t>
  </si>
  <si>
    <t xml:space="preserve">254116</t>
  </si>
  <si>
    <t xml:space="preserve">HMDB0301017</t>
  </si>
  <si>
    <t xml:space="preserve">CC(C)(COP(O)(=O)OP(O)(=O)OCC1OC(C(O)C1OP(O)(O)=O)N1C=NC2=C1N=CN=C2N)C(O)C(=O)NCCC(=O)NCCSC(=O)C=CCCCCCCCCC(O)=O</t>
  </si>
  <si>
    <t xml:space="preserve">HDHLFIYFSWIQDJ-UHFFFAOYSA-N</t>
  </si>
  <si>
    <t xml:space="preserve">1013.58309</t>
  </si>
  <si>
    <t xml:space="preserve">C52H82N6O14</t>
  </si>
  <si>
    <t xml:space="preserve">Didemnin C</t>
  </si>
  <si>
    <t xml:space="preserve">205869</t>
  </si>
  <si>
    <t xml:space="preserve">HMDB0251221</t>
  </si>
  <si>
    <t xml:space="preserve">CCC(C)C1NC(=O)C(NC(=O)C(CC(C)C)N(C)C(=O)C(C)O)C(C)OC(=O)C(CC2=CC=C(OC)C=C2)N(C)C(=O)C2CCCN2C(=O)C(CC(C)C)NC(=O)C(C)C(=O)C(OC(=O)CC1O)C(C)C</t>
  </si>
  <si>
    <t xml:space="preserve">ZRSXZCRRAOVIJD-UHFFFAOYSA-N</t>
  </si>
  <si>
    <t xml:space="preserve">1025.18916</t>
  </si>
  <si>
    <t xml:space="preserve">C44H44O27</t>
  </si>
  <si>
    <t xml:space="preserve">Chrysoeriol 7-[feruloyl-(-&gt;2)-glucuronyl-(1-&gt;2)-glucuronyl-(1-&gt;3)-glucuronide]</t>
  </si>
  <si>
    <t xml:space="preserve">63169</t>
  </si>
  <si>
    <t xml:space="preserve">HMDB0039933</t>
  </si>
  <si>
    <t xml:space="preserve">94476</t>
  </si>
  <si>
    <t xml:space="preserve">131752761</t>
  </si>
  <si>
    <t xml:space="preserve">380468-63-3</t>
  </si>
  <si>
    <t xml:space="preserve">COC1=C(O)C=CC(\C=C\C(=O)OC2C(OC3C(OC4C(O)C(OC5=CC(O)=C6C(=O)C=C(OC6=C5)C5=CC(OC)=C(O)C=C5)OC(C4O)C(O)=O)OC(C(O)C3O)C(O)=O)OC(C(O)C2O)C(O)=O)=C1</t>
  </si>
  <si>
    <t xml:space="preserve">LTLVGBOSZMAIHB-XBXARRHUSA-N</t>
  </si>
  <si>
    <t xml:space="preserve">1031.76386</t>
  </si>
  <si>
    <t xml:space="preserve">C32H52O5</t>
  </si>
  <si>
    <t xml:space="preserve">22-Acetylpriverogenin B</t>
  </si>
  <si>
    <t xml:space="preserve">58639</t>
  </si>
  <si>
    <t xml:space="preserve">HMDB0034645</t>
  </si>
  <si>
    <t xml:space="preserve">90107</t>
  </si>
  <si>
    <t xml:space="preserve">73819433</t>
  </si>
  <si>
    <t xml:space="preserve">26339-94-6</t>
  </si>
  <si>
    <t xml:space="preserve">CC(=O)OC1CC(C)(C)CC2C11COC22CCC3C4(C)CCC(O)C(C)(C)C4CCC3(C)C2(C)CC1O</t>
  </si>
  <si>
    <t xml:space="preserve">ASSAYFMXRNLTCY-UHFFFAOYSA-N</t>
  </si>
  <si>
    <t xml:space="preserve">1037.56664</t>
  </si>
  <si>
    <t xml:space="preserve">C49H94O17P2</t>
  </si>
  <si>
    <t xml:space="preserve">CL(40:0)</t>
  </si>
  <si>
    <t xml:space="preserve">136531</t>
  </si>
  <si>
    <t xml:space="preserve">HMDB0116899</t>
  </si>
  <si>
    <t xml:space="preserve">131823508</t>
  </si>
  <si>
    <t xml:space="preserve">[H][C@](O)(COP(O)(=O)OC[C@@]([H])(COC(=O)CCCCCCC)OC(=O)CCCCCCC)COP(O)(=O)OC[C@@]([H])(COC(=O)CCCCCCCCCCC)OC(=O)CCCCCCCCCCC</t>
  </si>
  <si>
    <t xml:space="preserve">ZCSPAWFKTIIFJW-DZRFKLJISA-N</t>
  </si>
  <si>
    <t xml:space="preserve">Glycerophosphoglycerophosphoglycerols</t>
  </si>
  <si>
    <t xml:space="preserve">1041.16404</t>
  </si>
  <si>
    <t xml:space="preserve">C14H25N3O14P2</t>
  </si>
  <si>
    <t xml:space="preserve">4-(cytidine 5'-diphospho)-2-C-methyl-D-erythritol</t>
  </si>
  <si>
    <t xml:space="preserve">256989</t>
  </si>
  <si>
    <t xml:space="preserve">HMDB0304166</t>
  </si>
  <si>
    <t xml:space="preserve">64014</t>
  </si>
  <si>
    <t xml:space="preserve">C11435</t>
  </si>
  <si>
    <t xml:space="preserve">16578</t>
  </si>
  <si>
    <t xml:space="preserve">443199</t>
  </si>
  <si>
    <t xml:space="preserve">[H][C@@](O)(COP(O)(=O)OP(O)(=O)OC[C@@]1([H])O[C@@]([H])(N2C=CC(=N)N=C2O)[C@]([H])(O)[C@]1([H])O)[C@@](C)(O)CO</t>
  </si>
  <si>
    <t xml:space="preserve">YFAUKWZNPVBCFF-XHIBXCGHSA-N</t>
  </si>
  <si>
    <t xml:space="preserve">1044.57759</t>
  </si>
  <si>
    <t xml:space="preserve">C49H91N3O15P2</t>
  </si>
  <si>
    <t xml:space="preserve">CDDG(P-37:0)</t>
  </si>
  <si>
    <t xml:space="preserve">135756</t>
  </si>
  <si>
    <t xml:space="preserve">HMDB0116079</t>
  </si>
  <si>
    <t xml:space="preserve">131822735</t>
  </si>
  <si>
    <t xml:space="preserve">[H][C@@](COC(=O)CCCCCCCCC(C)CC)(COP(O)(=O)OP(O)(=O)OC[C@H]1O[C@H](C(O)[C@H]1O)N1C=CC(N)=NC1=O)OC(=O)CCCCCCCCCCCCCCCCCCCCC(C)C</t>
  </si>
  <si>
    <t xml:space="preserve">MMZGUBROIXXHLG-ZHIQHEIOSA-N</t>
  </si>
  <si>
    <t xml:space="preserve">CDP-glycerols</t>
  </si>
  <si>
    <t xml:space="preserve">1050.16588</t>
  </si>
  <si>
    <t xml:space="preserve">C30H38N15O19P3</t>
  </si>
  <si>
    <t xml:space="preserve">Oligoadenylate</t>
  </si>
  <si>
    <t xml:space="preserve">209857</t>
  </si>
  <si>
    <t xml:space="preserve">HMDB0255951</t>
  </si>
  <si>
    <t xml:space="preserve">12851677</t>
  </si>
  <si>
    <t xml:space="preserve">NC1=NC=NC2=C1N=CN2C1OC(COP(O)(=O)OC2C(O)C(COP(O)(=O)OC3C(O)C(COP(O)(O)=O)OC3N3C=NC4=C3N=CN=C4N)OC2N2C=NC3=C2N=CN=C3N)C(O)C1O</t>
  </si>
  <si>
    <t xml:space="preserve">SIIZPVYVXNXXQG-UHFFFAOYSA-N</t>
  </si>
  <si>
    <t xml:space="preserve">1052.14503</t>
  </si>
  <si>
    <t xml:space="preserve">C30H38N15O22P3</t>
  </si>
  <si>
    <t xml:space="preserve">Guanine polynucleotide</t>
  </si>
  <si>
    <t xml:space="preserve">210497</t>
  </si>
  <si>
    <t xml:space="preserve">HMDB0256676</t>
  </si>
  <si>
    <t xml:space="preserve">NC1=NC2=C(N=CN2C2OC(COP(O)(=O)OC3C(COP(O)(=O)OC4C(COP(O)(O)=O)OC(C4O)N4C=NC5=C4N=C(N)NC5=O)OC(C3O)N3C=NC4=C3N=C(N)NC4=O)C(O)C2O)C(=O)N1</t>
  </si>
  <si>
    <t xml:space="preserve">KEVLGSSAAXSHJQ-UHFFFAOYSA-N</t>
  </si>
  <si>
    <t xml:space="preserve">Oligonucleotides</t>
  </si>
  <si>
    <t xml:space="preserve">1058.57452</t>
  </si>
  <si>
    <t xml:space="preserve">C50H93N3O15P2</t>
  </si>
  <si>
    <t xml:space="preserve">CDDG(P-38:0)</t>
  </si>
  <si>
    <t xml:space="preserve">135744</t>
  </si>
  <si>
    <t xml:space="preserve">HMDB0116067</t>
  </si>
  <si>
    <t xml:space="preserve">131822723</t>
  </si>
  <si>
    <t xml:space="preserve">[H][C@@](COC(=O)CCCCCCCCC(C)CC)(COP(O)(=O)OP(O)(=O)OC[C@H]1O[C@H](C(O)[C@H]1O)N1C=CC(N)=NC1=O)OC(=O)CCCCCCCCCCCCCCCCCCCCC(C)CC</t>
  </si>
  <si>
    <t xml:space="preserve">CEYZZWRBBBSGJV-JCEXZQBGSA-N</t>
  </si>
  <si>
    <t xml:space="preserve">1063.56576</t>
  </si>
  <si>
    <t xml:space="preserve">C50H80N8O17</t>
  </si>
  <si>
    <t xml:space="preserve">Pneumocandin B0</t>
  </si>
  <si>
    <t xml:space="preserve">210478</t>
  </si>
  <si>
    <t xml:space="preserve">HMDB0256654</t>
  </si>
  <si>
    <t xml:space="preserve">15115604</t>
  </si>
  <si>
    <t xml:space="preserve">CCC(C)CC(C)CCCCCCCCC(=O)NC1CC(O)C(O)NC(=O)C2C(O)CCN2C(=O)C(NC(=O)C(NC(=O)C2CC(O)CN2C(=O)C(NC1=O)C(C)O)C(O)C(O)C1=CC=C(O)C=C1)C(O)CC(N)=O</t>
  </si>
  <si>
    <t xml:space="preserve">DQXPFAADCTZLNL-UHFFFAOYSA-N</t>
  </si>
  <si>
    <t xml:space="preserve">1086.58313</t>
  </si>
  <si>
    <t xml:space="preserve">C53H87NO19</t>
  </si>
  <si>
    <t xml:space="preserve">TYLVALOSIN</t>
  </si>
  <si>
    <t xml:space="preserve">212725</t>
  </si>
  <si>
    <t xml:space="preserve">HMDB0259334</t>
  </si>
  <si>
    <t xml:space="preserve">76418621</t>
  </si>
  <si>
    <t xml:space="preserve">CCC1OC(=O)CC(OC(C)=O)C(C)C(OC2OC(C)C(OC3CC(C)(O)C(OC(=O)CC(C)C)C(C)O3)C(C2O)N(C)C)C(CC=O)CC(C)C(=O)C=CC(C)=CC1COC1OC(C)C(O)C(OC)C1OC</t>
  </si>
  <si>
    <t xml:space="preserve">KCJJINQANFZSAM-UHFFFAOYSA-N</t>
  </si>
  <si>
    <t xml:space="preserve">1087.32169</t>
  </si>
  <si>
    <t xml:space="preserve">C24H32O12S</t>
  </si>
  <si>
    <t xml:space="preserve">Estriol 3-sulfate 16-glucuronide</t>
  </si>
  <si>
    <t xml:space="preserve">50917</t>
  </si>
  <si>
    <t xml:space="preserve">HMDB0010356</t>
  </si>
  <si>
    <t xml:space="preserve">61671</t>
  </si>
  <si>
    <t xml:space="preserve">C03033</t>
  </si>
  <si>
    <t xml:space="preserve">88727</t>
  </si>
  <si>
    <t xml:space="preserve">151223</t>
  </si>
  <si>
    <t xml:space="preserve">4661-65-8</t>
  </si>
  <si>
    <t xml:space="preserve">[H][C@@]12C[C@@H](OC3O[C@@H]([C@@H](O)[C@H](O)[C@H]3O)C(O)=O)[C@H](O)[C@@]1(C)CC[C@]1([H])C3=C(CC[C@@]21[H])C=C(OS(O)(=O)=O)C=C3</t>
  </si>
  <si>
    <t xml:space="preserve">ATNWFRGUDKUYOG-SUPAOECSSA-N</t>
  </si>
  <si>
    <t xml:space="preserve">1087.61017</t>
  </si>
  <si>
    <t xml:space="preserve">C31H44O8</t>
  </si>
  <si>
    <t xml:space="preserve">Meproscillarin</t>
  </si>
  <si>
    <t xml:space="preserve">208572</t>
  </si>
  <si>
    <t xml:space="preserve">HMDB0254457</t>
  </si>
  <si>
    <t xml:space="preserve">23447013</t>
  </si>
  <si>
    <t xml:space="preserve">COC1C(C)OC(OC2CCC3(C)C4CCC5(C)C(CCC5(O)C4CCC3=C2)C2=COC(=O)C=C2)C(O)C1O</t>
  </si>
  <si>
    <t xml:space="preserve">RKWPZPDLTYBKCL-UHFFFAOYSA-N</t>
  </si>
  <si>
    <t xml:space="preserve">1089.31003</t>
  </si>
  <si>
    <t xml:space="preserve">C22H29FN3O10P</t>
  </si>
  <si>
    <t xml:space="preserve">Adafosbuvir</t>
  </si>
  <si>
    <t xml:space="preserve">212933</t>
  </si>
  <si>
    <t xml:space="preserve">HMDB0259659</t>
  </si>
  <si>
    <t xml:space="preserve">123473753</t>
  </si>
  <si>
    <t xml:space="preserve">CC(C)OC(=O)C(C)NP(=O)(OCC1(F)OC(N2C=CC(=O)NC2=O)C(C)(O)C1O)OC1=CC=CC=C1</t>
  </si>
  <si>
    <t xml:space="preserve">NIJYGVDQZBBONK-UHFFFAOYSA-N</t>
  </si>
  <si>
    <t xml:space="preserve">1095.14082</t>
  </si>
  <si>
    <t xml:space="preserve">C51H38O29</t>
  </si>
  <si>
    <t xml:space="preserve">Guavin D</t>
  </si>
  <si>
    <t xml:space="preserve">62557</t>
  </si>
  <si>
    <t xml:space="preserve">HMDB0039270</t>
  </si>
  <si>
    <t xml:space="preserve">93859</t>
  </si>
  <si>
    <t xml:space="preserve">73814547</t>
  </si>
  <si>
    <t xml:space="preserve">107937-15-5</t>
  </si>
  <si>
    <t xml:space="preserve">CC(=O)OC1COC(=O)C2=C(C(O)=C(O)C(O)=C2)C2=C(O)C(O)=C(O)C=C2C(=O)OC1C1OC(=O)C2=C3C4C5=C(C(C1OC5=O)C1=C(O)C=C(O)C5=C1OC(C(O)C5)C1=CC(O)=C(O)C=C1)C(=O)C(O)(O)C4(O)OC3=C(O)C(O)=C2</t>
  </si>
  <si>
    <t xml:space="preserve">NCAYOGILTZXFSF-UHFFFAOYSA-N</t>
  </si>
  <si>
    <t xml:space="preserve">Complex tannins</t>
  </si>
  <si>
    <t xml:space="preserve">1097.27506</t>
  </si>
  <si>
    <t xml:space="preserve">C24H27N3O10S</t>
  </si>
  <si>
    <t xml:space="preserve">p-O-glucuronide rosiglitazone; o-O-glucuronide rosiglitazone</t>
  </si>
  <si>
    <t xml:space="preserve">82719; 82714</t>
  </si>
  <si>
    <t xml:space="preserve">HMDB0060862; HMDB0060857</t>
  </si>
  <si>
    <t xml:space="preserve">78069861; 131769977</t>
  </si>
  <si>
    <t xml:space="preserve">CN(CCOC1=CC=C(CC2SC(=O)NC2=O)C=C1)C1=CC=C(OC2OC(C(O)C(O)C2O)C(O)=O)C=N1; CN(CCOC1=CC=C(CC2SC(=O)NC2=O)C=C1)C1=C(OC2OC(C(O)C(O)C2O)C(O)=O)C=CC=N1</t>
  </si>
  <si>
    <t xml:space="preserve">QGESYIGEZXWVIN-UHFFFAOYSA-N; YDRMOALONMVDNG-UHFFFAOYSA-N</t>
  </si>
  <si>
    <t xml:space="preserve">1101.17970</t>
  </si>
  <si>
    <t xml:space="preserve">C18H26N5O9PS2</t>
  </si>
  <si>
    <t xml:space="preserve">Lipoyl-GMP</t>
  </si>
  <si>
    <t xml:space="preserve">52407</t>
  </si>
  <si>
    <t xml:space="preserve">HMDB0013617</t>
  </si>
  <si>
    <t xml:space="preserve">53481910</t>
  </si>
  <si>
    <t xml:space="preserve">O[C@@H]1[C@@H](COP(O)(O)=O)O[C@H]([C@@H]1O)N1C=NC2=C1N=C(NC(=O)CCCCC1CCSS1)NC2=O</t>
  </si>
  <si>
    <t xml:space="preserve">DVZGUOFXTLKZTJ-LQLSJNDNSA-N</t>
  </si>
  <si>
    <t xml:space="preserve">1102.29111</t>
  </si>
  <si>
    <t xml:space="preserve">C41H64N7O18P3S</t>
  </si>
  <si>
    <t xml:space="preserve">(8Z,11Z,14Z,17Z)-3-Oxoicosatetraenoyl-CoA</t>
  </si>
  <si>
    <t xml:space="preserve">7964</t>
  </si>
  <si>
    <t xml:space="preserve">HMDB0062354</t>
  </si>
  <si>
    <t xml:space="preserve">LMFA07050133</t>
  </si>
  <si>
    <t xml:space="preserve">71574</t>
  </si>
  <si>
    <t xml:space="preserve">70698358</t>
  </si>
  <si>
    <t xml:space="preserve">C(CC(=O)CCCC/C=C\C/C=C\C/C=C\C/C=C\CC)(=O)SCCNC(=O)CCNC([C@H](O)C(C)(C)COP(O)(=O)OP(O)(=O)OC[C@@H]1[C@@H](OP(=O)(O)O)[C@@H](O)[C@@H](O1)N1C=NC2C(N)=NC=NC1=2)=O</t>
  </si>
  <si>
    <t xml:space="preserve">VVLBCJHQULSXJN-QWOXCLFSSA-N</t>
  </si>
  <si>
    <t xml:space="preserve">1107.58924</t>
  </si>
  <si>
    <t xml:space="preserve">C54H92O23</t>
  </si>
  <si>
    <t xml:space="preserve">Ginsenoside Rb1</t>
  </si>
  <si>
    <t xml:space="preserve">59713</t>
  </si>
  <si>
    <t xml:space="preserve">HMDB0035892</t>
  </si>
  <si>
    <t xml:space="preserve">91096</t>
  </si>
  <si>
    <t xml:space="preserve">432524</t>
  </si>
  <si>
    <t xml:space="preserve">41753-43-9</t>
  </si>
  <si>
    <t xml:space="preserve">CC(C)=CCCC(C)(OC1OC(COC2OC(CO)C(O)C(O)C2O)C(O)C(O)C1O)C1CCC2(C)C1C(O)CC1C3(C)CCC(OC4OC(CO)C(O)C(O)C4OC4OC(CO)C(O)C(O)C4O)C(C)(C)C3CCC21C</t>
  </si>
  <si>
    <t xml:space="preserve">GZYPWOGIYAIIPV-UHFFFAOYSA-N</t>
  </si>
  <si>
    <t xml:space="preserve">1111.56735</t>
  </si>
  <si>
    <t xml:space="preserve">C58H84N2O19</t>
  </si>
  <si>
    <t xml:space="preserve">Partricin</t>
  </si>
  <si>
    <t xml:space="preserve">210016</t>
  </si>
  <si>
    <t xml:space="preserve">HMDB0256135</t>
  </si>
  <si>
    <t xml:space="preserve">125242</t>
  </si>
  <si>
    <t xml:space="preserve">CC(CCC(O)CC(=O)C1=CC=C(N)C=C1)C1OC(=O)CC(O)CC(=O)CC(O)CC(O)CC(O)CC(O)CC2(O)CC(O)C(C(CC(OC3OC(C)C(O)C(N)C3O)C=CC=CC=CC=CC=CC=CC=CC1C)O2)C(O)=O</t>
  </si>
  <si>
    <t xml:space="preserve">NVJUPMZQNWDHTL-UHFFFAOYSA-N</t>
  </si>
  <si>
    <t xml:space="preserve">1117.13067</t>
  </si>
  <si>
    <t xml:space="preserve">C15H23N5O14P2</t>
  </si>
  <si>
    <t xml:space="preserve">Phosphoribosyl-AMP; Adenosine diphosphate ribose</t>
  </si>
  <si>
    <t xml:space="preserve">51962; 47433</t>
  </si>
  <si>
    <t xml:space="preserve">HMDB0012276; HMDB0001178</t>
  </si>
  <si>
    <t xml:space="preserve">3596; 3595</t>
  </si>
  <si>
    <t xml:space="preserve">C02741; C00301</t>
  </si>
  <si>
    <t xml:space="preserve">18374; 16960</t>
  </si>
  <si>
    <t xml:space="preserve">11988267; 192</t>
  </si>
  <si>
    <t xml:space="preserve">1109-75-7; 20762-30-5</t>
  </si>
  <si>
    <t xml:space="preserve">O[C@@H]1[C@@H](COP(O)(O)=O)O[C@H]([C@@H]1O)N1C=NC2=C1N=CN([C@@H]1O[C@H](COP(O)(O)=O)[C@@H](O)[C@H]1O)C2=N; NC1=C2N=CN(C3OC(COP(O)(=O)OP(O)(=O)OCC4OC(O)C(O)C4O)C(O)C3O)C2=NC=N1</t>
  </si>
  <si>
    <t xml:space="preserve">RTQMRTSPTLIIHM-KEOHHSTQSA-N; SRNWOUGRCWSEMX-UHFFFAOYSA-N</t>
  </si>
  <si>
    <t xml:space="preserve">Purine ribonucleotides; Purine nucleotide sugars</t>
  </si>
  <si>
    <t xml:space="preserve">1125.57660</t>
  </si>
  <si>
    <t xml:space="preserve">C59H86N2O19</t>
  </si>
  <si>
    <t xml:space="preserve">Partricin A; Mepartricin B</t>
  </si>
  <si>
    <t xml:space="preserve">210017; 208566</t>
  </si>
  <si>
    <t xml:space="preserve">HMDB0256136; HMDB0254450</t>
  </si>
  <si>
    <t xml:space="preserve">CNC1=CC=C(C=C1)C(=O)CC(O)CCC(C)C1OC(=O)CC(O)CC(=O)CC(O)CC(O)CC(O)CC(O)CC2(O)CC(O)C(C(CC(OC3OC(C)C(O)C(N)C3O)C=CC=CC=CC=CC=CC=CC=CC1C)O2)C(O)=O; COC(=O)C1C(O)CC2(O)CC(O)CC(O)CC(O)CC(O)CC(=O)CC(O)CC(=O)OC(C(C)CCC(O)CC(=O)C3=CC=C(N)C=C3)C(C)C=CC=CC=CC=CC=CC=CC=CC(CC1O2)OC1OC(C)C(O)C(N)C1O</t>
  </si>
  <si>
    <t xml:space="preserve">PILBMRSRDPAALN-UHFFFAOYSA-N; GIDIUOCSTCGLRW-UHFFFAOYSA-N</t>
  </si>
  <si>
    <t xml:space="preserve">1130.60736</t>
  </si>
  <si>
    <t xml:space="preserve">C57H87N7O15</t>
  </si>
  <si>
    <t xml:space="preserve">Dehydrodidemnin B</t>
  </si>
  <si>
    <t xml:space="preserve">205628</t>
  </si>
  <si>
    <t xml:space="preserve">HMDB0250948</t>
  </si>
  <si>
    <t xml:space="preserve">73313844</t>
  </si>
  <si>
    <t xml:space="preserve">CCC(C)C1NC(=O)C(NC(=O)C(CC(C)C)N(C)C(=O)C2CCCN2C(=O)C(C)=O)C(C)OC(=O)C(CC2=CC=C(OC)C=C2)N(C)C(=O)C2CCCN2C(=O)C(CC(C)C)NC(=O)C(C)C(=O)C(OC(=O)CC1O)C(C)C</t>
  </si>
  <si>
    <t xml:space="preserve">UUSZLLQJYRSZIS-UHFFFAOYSA-N</t>
  </si>
  <si>
    <t xml:space="preserve">1132.30863</t>
  </si>
  <si>
    <t xml:space="preserve">C43H68N7O18P3S</t>
  </si>
  <si>
    <t xml:space="preserve">3-Oxo-docosa-10,13,16,19-all-cis-tetraenoyl-CoA; 3(S)-Hydroxy-docosa-7,10,13,16,19-all-cis-pentaenoyl-CoA; 3-Oxo-docosa-7,10,13,16-all-cis-tetraenoyl-CoA</t>
  </si>
  <si>
    <t xml:space="preserve">82168; 82169; 82170</t>
  </si>
  <si>
    <t xml:space="preserve">HMDB0060204; HMDB0060205; HMDB0060206</t>
  </si>
  <si>
    <t xml:space="preserve">131769880; 131769881; 131769882</t>
  </si>
  <si>
    <t xml:space="preserve">CC\C=C/C\C=C/C\C=C/C\C=C/CCCCCCC(=O)CC(=O)SCCN=C(O)CCN=C(O)[C@H](O)C(C)(C)COP(O)(=O)OP(O)(=O)OC[C@@H]1O[C@@H]([C@H](O)[C@@H]1OP(O)(O)=O)N1C=NC2=C(N)N=CN=C12; CC\C=C/C\C=C/C\C=C/C\C=C/C\C=C/CCC[C@H](O)CC(=O)SCCN=C(O)CCN=C(O)[C@H](O)C(C)(C)COP(O)(=O)OP(O)(=O)OC[C@@H]1O[C@@H]([C@H](O)[C@@H]1OP(O)(O)=O)N1C=NC2=C(N)N=CN=C12; CCCCC\C=C/C\C=C/C\C=C/C\C=C/CCCC(=O)CC(=O)SCCN=C(O)CCN=C(O)[C@H](O)C(C)(C)COP(O)(=O)OP(O)(=O)OC[C@@H]1O[C@@H]([C@H](O)[C@@H]1OP(O)(O)=O)N1C=NC2=C(N)N=CN=C12</t>
  </si>
  <si>
    <t xml:space="preserve">MUBUSEARPWRSQN-XMTMOFKOSA-N; KIDYDCLNVXONEF-DXMJZDBTSA-N; VMAJWSSWCPBIJY-XTVXXYAESA-N</t>
  </si>
  <si>
    <t xml:space="preserve">1138.11083</t>
  </si>
  <si>
    <t xml:space="preserve">C76H148O6</t>
  </si>
  <si>
    <t xml:space="preserve">TG(73:0)</t>
  </si>
  <si>
    <t xml:space="preserve">90333</t>
  </si>
  <si>
    <t xml:space="preserve">HMDB0069509</t>
  </si>
  <si>
    <t xml:space="preserve">131776646</t>
  </si>
  <si>
    <t xml:space="preserve">[H][C@](COC(=O)CCCCCCCCCCCCCCCCCCCCC(C)C)(COC(=O)CCCCCCCCCCCCCCCCCCCCC(C)CC)OC(=O)CCCCCCCCCCCCCCCCCCCCC(C)C</t>
  </si>
  <si>
    <t xml:space="preserve">BIDWUDPYIUODNV-JWWNQNKGSA-N</t>
  </si>
  <si>
    <t xml:space="preserve">1141.19028</t>
  </si>
  <si>
    <t xml:space="preserve">C20H29NO14S2</t>
  </si>
  <si>
    <t xml:space="preserve">4-O-alpha-L-Rhamnopyranosylglucosinalbin</t>
  </si>
  <si>
    <t xml:space="preserve">60007</t>
  </si>
  <si>
    <t xml:space="preserve">HMDB0036242</t>
  </si>
  <si>
    <t xml:space="preserve">91387</t>
  </si>
  <si>
    <t xml:space="preserve">131751923</t>
  </si>
  <si>
    <t xml:space="preserve">74542-19-1</t>
  </si>
  <si>
    <t xml:space="preserve">CC1OC(OC2=CC=C(C\C(SC3OC(CO)C(O)C(O)C3O)=N/OS(O)(=O)=O)C=C2)C(O)C(O)C1O</t>
  </si>
  <si>
    <t xml:space="preserve">DMPSBIMDSBBEQA-CIAFOILYSA-N</t>
  </si>
  <si>
    <t xml:space="preserve">1147.47080</t>
  </si>
  <si>
    <t xml:space="preserve">C57H65F5N10O8</t>
  </si>
  <si>
    <t xml:space="preserve">Pibrentasvir</t>
  </si>
  <si>
    <t xml:space="preserve">210369</t>
  </si>
  <si>
    <t xml:space="preserve">HMDB0256528</t>
  </si>
  <si>
    <t xml:space="preserve">76668718</t>
  </si>
  <si>
    <t xml:space="preserve">COC(C)C(NC(=O)OC)C(=O)N1CCCC1C1=NC2=C(N1)C=C(C1CCC(N1C1=CC(F)=C(N3CCC(CC3)C3=CC=C(F)C=C3)C(F)=C1)C1=CC3=C(C=C1F)N=C(N3)C1CCCN1C(=O)C(NC(=O)OC)C(C)OC)C(F)=C2</t>
  </si>
  <si>
    <t xml:space="preserve">VJYSBPDEJWLKKJ-UHFFFAOYSA-N</t>
  </si>
  <si>
    <t xml:space="preserve">1151.62310</t>
  </si>
  <si>
    <t xml:space="preserve">C48H82N16O14</t>
  </si>
  <si>
    <t xml:space="preserve">Polymyxin</t>
  </si>
  <si>
    <t xml:space="preserve">210503</t>
  </si>
  <si>
    <t xml:space="preserve">HMDB0256685</t>
  </si>
  <si>
    <t xml:space="preserve">21863028</t>
  </si>
  <si>
    <t xml:space="preserve">CC(C)CC1NC(=O)C(CC2=CC=CC=C2)NC(=O)C(CCN)NC(=O)C(CCNC(=O)C(NC(=O)C(CCN)NC(=O)C(CCN)NC1=O)C(C)O)NC(=O)C(CCN)NC(=O)C(NC(=O)C(CCN)NC(O)=O)C(C)O</t>
  </si>
  <si>
    <t xml:space="preserve">WGRSQPZAOZIPGC-UHFFFAOYSA-N</t>
  </si>
  <si>
    <t xml:space="preserve">1173.22522</t>
  </si>
  <si>
    <t xml:space="preserve">C60H48O24</t>
  </si>
  <si>
    <t xml:space="preserve">Cinnamtannin B2; Cinnamtannin D2</t>
  </si>
  <si>
    <t xml:space="preserve">61187; 61188</t>
  </si>
  <si>
    <t xml:space="preserve">HMDB0037668; HMDB0037669</t>
  </si>
  <si>
    <t xml:space="preserve">71827; 71830</t>
  </si>
  <si>
    <t xml:space="preserve">C17629; C17633</t>
  </si>
  <si>
    <t xml:space="preserve">; 81231</t>
  </si>
  <si>
    <t xml:space="preserve">6442730; 46173959</t>
  </si>
  <si>
    <t xml:space="preserve">88038-12-4; 97233-47-1</t>
  </si>
  <si>
    <t xml:space="preserve">O[C@@H]1CC2=C(O)C=C(O)C([C@@H]3[C@@H](O)[C@H](OC4=C5[C@@H]6[C@@H](O)[C@](OC5=CC(O)=C34)(OC3=C([C@@H]4[C@@H](O)[C@H](OC5=CC(O)=CC(O)=C45)C4=CC=C(O)C(O)=C4)C(O)=CC(O)=C63)C3=CC=C(O)C(O)=C3)C3=CC=C(O)C(O)=C3)=C2O[C@@H]1C1=CC=C(O)C(O)=C1; O[C@H]1CC2=C(O)C=C(O)C([C@@H]3[C@@H](O)[C@H](OC4=C5[C@@H]6[C@@H](O)[C@](OC5=CC(O)=C34)(OC3=C([C@@H]4[C@@H](O)[C@H](OC5=CC(O)=CC(O)=C45)C4=CC=C(O)C(O)=C4)C(O)=CC(O)=C63)C3=CC=C(O)C(O)=C3)C3=CC=C(O)C(O)=C3)=C2O[C@@H]1C1=CC=C(O)C(O)=C1</t>
  </si>
  <si>
    <t xml:space="preserve">QRQAODSINXAOBF-UKTWWWBFSA-N; QRQAODSINXAOBF-BITWWPEZSA-N</t>
  </si>
  <si>
    <t xml:space="preserve">Biflavonoids and polyflavonoids; Biflavonoids and polyflavonoids</t>
  </si>
  <si>
    <t xml:space="preserve">1173.62883</t>
  </si>
  <si>
    <t xml:space="preserve">C26H45N5O10</t>
  </si>
  <si>
    <t xml:space="preserve">Glu-Ile-Leu-Asp-Val</t>
  </si>
  <si>
    <t xml:space="preserve">207196</t>
  </si>
  <si>
    <t xml:space="preserve">HMDB0252757</t>
  </si>
  <si>
    <t xml:space="preserve">85047242</t>
  </si>
  <si>
    <t xml:space="preserve">CCC(C)C(NC(=O)C(N)CCC(O)=O)C(=O)NC(CC(C)C)C(=O)NC(CC(O)=O)C(=O)NC(C(C)C)C(O)=O</t>
  </si>
  <si>
    <t xml:space="preserve">VPKCCODFKUZEMT-UHFFFAOYSA-N</t>
  </si>
  <si>
    <t xml:space="preserve">1174.64430</t>
  </si>
  <si>
    <t xml:space="preserve">C61H87N13O12</t>
  </si>
  <si>
    <t xml:space="preserve">AcOrn[Oic(2),(alphaMe)Phe(5),dbetaNal(7),Ile(8)]desArg(9)-bradykinin</t>
  </si>
  <si>
    <t xml:space="preserve">210834</t>
  </si>
  <si>
    <t xml:space="preserve">HMDB0257071</t>
  </si>
  <si>
    <t xml:space="preserve">CCC(C)C(NC(=O)C(CC1=CC2=CC=CC=C2C=C1)NC(=O)C(CO)NC(=O)C(C)(CC1=CC=CC=C1)NC(=O)CNC(=O)C1CCCN1C(=O)C1CC2CCCCC2N1C(=O)C(CCCN=C(N)N)NC(=O)C(CCCN)NC(C)=O)C(O)=O</t>
  </si>
  <si>
    <t xml:space="preserve">JDPPVMXSBUBLMX-UHFFFAOYSA-N</t>
  </si>
  <si>
    <t xml:space="preserve">1175.61171</t>
  </si>
  <si>
    <t xml:space="preserve">C59H82N14O13</t>
  </si>
  <si>
    <t xml:space="preserve">Val-val-tyr-pro-trp-thr-gln-arg-phe</t>
  </si>
  <si>
    <t xml:space="preserve">212990</t>
  </si>
  <si>
    <t xml:space="preserve">HMDB0259743</t>
  </si>
  <si>
    <t xml:space="preserve">17977743</t>
  </si>
  <si>
    <t xml:space="preserve">CC(C)C(N)C(=O)NC(C(C)C)C(=O)NC(CC1=CC=C(O)C=C1)C(=O)N1CCCC1C(=O)NC(CC1=CNC2=CC=CC=C12)C(=O)NC(C(C)O)C(=O)NC(CCC(N)=O)C(=O)NC(CCCN=C(N)N)C(=O)NC(CC1=CC=CC=C1)C(O)=O</t>
  </si>
  <si>
    <t xml:space="preserve">FFBBHLKDMHCFTH-UHFFFAOYSA-N</t>
  </si>
  <si>
    <t xml:space="preserve">1184.14539</t>
  </si>
  <si>
    <t xml:space="preserve">C78H152O6</t>
  </si>
  <si>
    <t xml:space="preserve">TG(75:0)</t>
  </si>
  <si>
    <t xml:space="preserve">91424</t>
  </si>
  <si>
    <t xml:space="preserve">HMDB0070600</t>
  </si>
  <si>
    <t xml:space="preserve">131777521</t>
  </si>
  <si>
    <t xml:space="preserve">[H]C(COC(=O)CCCCCCCCCCCCCCCCCCCCC(C)CC)(COC(=O)CCCCCCCCCCCCCCCCCCCCC(C)CC)OC(=O)CCCCCCCCCCCCCCCCCCCCC(C)CC</t>
  </si>
  <si>
    <t xml:space="preserve">LIJFMRDWODJKRV-UHFFFAOYSA-N</t>
  </si>
  <si>
    <t xml:space="preserve">1191.10613</t>
  </si>
  <si>
    <t xml:space="preserve">C23H13F9N4O3S</t>
  </si>
  <si>
    <t xml:space="preserve">Xct790</t>
  </si>
  <si>
    <t xml:space="preserve">213144</t>
  </si>
  <si>
    <t xml:space="preserve">HMDB0259925</t>
  </si>
  <si>
    <t xml:space="preserve">71433862</t>
  </si>
  <si>
    <t xml:space="preserve">COC1=C(OCC2=C(C=C(C=C2)C(F)(F)F)C(F)(F)F)C=CC(C=C(C#N)C(=O)NC2=NN=C(S2)C(F)(F)F)=C1</t>
  </si>
  <si>
    <t xml:space="preserve">HQFNFOOGGLSBBT-UHFFFAOYSA-N</t>
  </si>
  <si>
    <t xml:space="preserve">Cinnamic acid amides</t>
  </si>
  <si>
    <t xml:space="preserve">ID-num</t>
  </si>
  <si>
    <t xml:space="preserve">cidlink</t>
  </si>
  <si>
    <t xml:space="preserve">1-1</t>
  </si>
  <si>
    <t xml:space="preserve">2-1</t>
  </si>
  <si>
    <t xml:space="preserve">3-1</t>
  </si>
  <si>
    <t xml:space="preserve">4-1</t>
  </si>
  <si>
    <t xml:space="preserve">2-Aminoethane-1,1,1-triol</t>
  </si>
  <si>
    <t xml:space="preserve">HMDB0247334</t>
  </si>
  <si>
    <t xml:space="preserve">17840933</t>
  </si>
  <si>
    <t xml:space="preserve">NCC(O)(O)O</t>
  </si>
  <si>
    <t xml:space="preserve">HKLYDUXIXBVZOQ-UHFFFAOYSA-N</t>
  </si>
  <si>
    <t xml:space="preserve">Orthocarboxylic acid derivatives</t>
  </si>
  <si>
    <t xml:space="preserve">4-2</t>
  </si>
  <si>
    <t xml:space="preserve">Tri-hydroxymethylaminomethane</t>
  </si>
  <si>
    <t xml:space="preserve">HMDB0259134</t>
  </si>
  <si>
    <t xml:space="preserve">CNC(O)(O)O</t>
  </si>
  <si>
    <t xml:space="preserve">FYFFGSSZFBZTAH-UHFFFAOYSA-N</t>
  </si>
  <si>
    <t xml:space="preserve">Ortho acids</t>
  </si>
  <si>
    <t xml:space="preserve">5-1</t>
  </si>
  <si>
    <t xml:space="preserve">6-1</t>
  </si>
  <si>
    <t xml:space="preserve">Isovaleric acid</t>
  </si>
  <si>
    <t xml:space="preserve">HMDB0000718</t>
  </si>
  <si>
    <t xml:space="preserve">109</t>
  </si>
  <si>
    <t xml:space="preserve">LMFA01020181</t>
  </si>
  <si>
    <t xml:space="preserve">C08262</t>
  </si>
  <si>
    <t xml:space="preserve">28484</t>
  </si>
  <si>
    <t xml:space="preserve">10430</t>
  </si>
  <si>
    <t xml:space="preserve">503-74-2</t>
  </si>
  <si>
    <t xml:space="preserve">CC(C)CC(=O)O</t>
  </si>
  <si>
    <t xml:space="preserve">GWYFCOCPABKNJV-UHFFFAOYSA-N</t>
  </si>
  <si>
    <t xml:space="preserve">6-2</t>
  </si>
  <si>
    <t xml:space="preserve">Ethylmethylacetic acid</t>
  </si>
  <si>
    <t xml:space="preserve">HMDB0002176</t>
  </si>
  <si>
    <t xml:space="preserve">108</t>
  </si>
  <si>
    <t xml:space="preserve">LMFA01020072</t>
  </si>
  <si>
    <t xml:space="preserve">C18319</t>
  </si>
  <si>
    <t xml:space="preserve">37070</t>
  </si>
  <si>
    <t xml:space="preserve">8314</t>
  </si>
  <si>
    <t xml:space="preserve">116-53-0</t>
  </si>
  <si>
    <t xml:space="preserve">C(C)C(C)C(=O)O</t>
  </si>
  <si>
    <t xml:space="preserve">WLAMNBDJUVNPJU-UHFFFAOYSA-N</t>
  </si>
  <si>
    <t xml:space="preserve">6-3</t>
  </si>
  <si>
    <t xml:space="preserve">Valeric acid</t>
  </si>
  <si>
    <t xml:space="preserve">HMDB0000892</t>
  </si>
  <si>
    <t xml:space="preserve">110</t>
  </si>
  <si>
    <t xml:space="preserve">LMFA01010005</t>
  </si>
  <si>
    <t xml:space="preserve">C00803</t>
  </si>
  <si>
    <t xml:space="preserve">17418</t>
  </si>
  <si>
    <t xml:space="preserve">7991</t>
  </si>
  <si>
    <t xml:space="preserve">109-52-4</t>
  </si>
  <si>
    <t xml:space="preserve">CCCCC(=O)O</t>
  </si>
  <si>
    <t xml:space="preserve">NQPDZGIKBAWPEJ-UHFFFAOYSA-N</t>
  </si>
  <si>
    <t xml:space="preserve">7-1</t>
  </si>
  <si>
    <t xml:space="preserve">Acetone cyanohydrin</t>
  </si>
  <si>
    <t xml:space="preserve">HMDB0060427</t>
  </si>
  <si>
    <t xml:space="preserve">63623</t>
  </si>
  <si>
    <t xml:space="preserve">C02659</t>
  </si>
  <si>
    <t xml:space="preserve">15348</t>
  </si>
  <si>
    <t xml:space="preserve">6406</t>
  </si>
  <si>
    <t xml:space="preserve">75-86-5</t>
  </si>
  <si>
    <t xml:space="preserve">CC(C)(O)C#N</t>
  </si>
  <si>
    <t xml:space="preserve">MWFMGBPGAXYFAR-UHFFFAOYSA-N</t>
  </si>
  <si>
    <t xml:space="preserve">7-2</t>
  </si>
  <si>
    <t xml:space="preserve">2-Pyrrolidinone</t>
  </si>
  <si>
    <t xml:space="preserve">HMDB0002039</t>
  </si>
  <si>
    <t xml:space="preserve">6452</t>
  </si>
  <si>
    <t xml:space="preserve">C11118</t>
  </si>
  <si>
    <t xml:space="preserve">36592</t>
  </si>
  <si>
    <t xml:space="preserve">12025</t>
  </si>
  <si>
    <t xml:space="preserve">616-45-5</t>
  </si>
  <si>
    <t xml:space="preserve">O=C1CCCN1</t>
  </si>
  <si>
    <t xml:space="preserve">HNJBEVLQSNELDL-UHFFFAOYSA-N</t>
  </si>
  <si>
    <t xml:space="preserve">Pyrrolidines</t>
  </si>
  <si>
    <t xml:space="preserve">Pyrrolidones</t>
  </si>
  <si>
    <t xml:space="preserve">8-1</t>
  </si>
  <si>
    <t xml:space="preserve">But-2-enoic acid</t>
  </si>
  <si>
    <t xml:space="preserve">HMDB0010720</t>
  </si>
  <si>
    <t xml:space="preserve">34861</t>
  </si>
  <si>
    <t xml:space="preserve">LMFA01030195</t>
  </si>
  <si>
    <t xml:space="preserve">C01771</t>
  </si>
  <si>
    <t xml:space="preserve">41131</t>
  </si>
  <si>
    <t xml:space="preserve">637090</t>
  </si>
  <si>
    <t xml:space="preserve">3724-65-0</t>
  </si>
  <si>
    <t xml:space="preserve">C(=C/C)\C(=O)O</t>
  </si>
  <si>
    <t xml:space="preserve">LDHQCZJRKDOVOX-NSCUHMNNSA-N</t>
  </si>
  <si>
    <t xml:space="preserve">8-2</t>
  </si>
  <si>
    <t xml:space="preserve">gamma-Butyrolactone</t>
  </si>
  <si>
    <t xml:space="preserve">HMDB0000549</t>
  </si>
  <si>
    <t xml:space="preserve">5533</t>
  </si>
  <si>
    <t xml:space="preserve">LMFA07040004</t>
  </si>
  <si>
    <t xml:space="preserve">C01770</t>
  </si>
  <si>
    <t xml:space="preserve">42639</t>
  </si>
  <si>
    <t xml:space="preserve">7302</t>
  </si>
  <si>
    <t xml:space="preserve">96-48-0</t>
  </si>
  <si>
    <t xml:space="preserve">C1(OCCC1)=O</t>
  </si>
  <si>
    <t xml:space="preserve">YEJRWHAVMIAJKC-UHFFFAOYSA-N</t>
  </si>
  <si>
    <t xml:space="preserve">8-3</t>
  </si>
  <si>
    <t xml:space="preserve">Diacetyl</t>
  </si>
  <si>
    <t xml:space="preserve">HMDB0003407</t>
  </si>
  <si>
    <t xml:space="preserve">6921</t>
  </si>
  <si>
    <t xml:space="preserve">LMFA12000012</t>
  </si>
  <si>
    <t xml:space="preserve">C00741</t>
  </si>
  <si>
    <t xml:space="preserve">16583</t>
  </si>
  <si>
    <t xml:space="preserve">650</t>
  </si>
  <si>
    <t xml:space="preserve">431-03-8</t>
  </si>
  <si>
    <t xml:space="preserve">CC(=O)C(=O)C</t>
  </si>
  <si>
    <t xml:space="preserve">QSJXEFYPDANLFS-UHFFFAOYSA-N</t>
  </si>
  <si>
    <t xml:space="preserve">9-1</t>
  </si>
  <si>
    <t xml:space="preserve">Ketene</t>
  </si>
  <si>
    <t xml:space="preserve">HMDB0252013</t>
  </si>
  <si>
    <t xml:space="preserve">326950</t>
  </si>
  <si>
    <t xml:space="preserve">48003</t>
  </si>
  <si>
    <t xml:space="preserve">10038</t>
  </si>
  <si>
    <t xml:space="preserve">C=C=O</t>
  </si>
  <si>
    <t xml:space="preserve">CCGKOQOJPYTBIH-UHFFFAOYSA-N</t>
  </si>
  <si>
    <t xml:space="preserve">Ketenes</t>
  </si>
  <si>
    <t xml:space="preserve">9-2</t>
  </si>
  <si>
    <t xml:space="preserve">Ethynol</t>
  </si>
  <si>
    <t xml:space="preserve">HMDB0252091</t>
  </si>
  <si>
    <t xml:space="preserve">123441</t>
  </si>
  <si>
    <t xml:space="preserve">OC#C</t>
  </si>
  <si>
    <t xml:space="preserve">QFXZANXYUCUTQH-UHFFFAOYSA-N</t>
  </si>
  <si>
    <t xml:space="preserve">Ynols</t>
  </si>
  <si>
    <t xml:space="preserve">10-1</t>
  </si>
  <si>
    <t xml:space="preserve">11-1</t>
  </si>
  <si>
    <t xml:space="preserve">12-1</t>
  </si>
  <si>
    <t xml:space="preserve">Cibulins</t>
  </si>
  <si>
    <t xml:space="preserve">HMDB0030299</t>
  </si>
  <si>
    <t xml:space="preserve">86871</t>
  </si>
  <si>
    <t xml:space="preserve">91018</t>
  </si>
  <si>
    <t xml:space="preserve">20514207</t>
  </si>
  <si>
    <t xml:space="preserve">CCCSO</t>
  </si>
  <si>
    <t xml:space="preserve">LYNBNVDYPNEWHG-UHFFFAOYSA-N</t>
  </si>
  <si>
    <t xml:space="preserve">Organosulfenic acids and derivatives</t>
  </si>
  <si>
    <t xml:space="preserve">Organosulfenic acids</t>
  </si>
  <si>
    <t xml:space="preserve">12-2</t>
  </si>
  <si>
    <t xml:space="preserve">2-(Methylthio)ethanol</t>
  </si>
  <si>
    <t xml:space="preserve">HMDB0032425</t>
  </si>
  <si>
    <t xml:space="preserve">88449</t>
  </si>
  <si>
    <t xml:space="preserve">63861</t>
  </si>
  <si>
    <t xml:space="preserve">78925</t>
  </si>
  <si>
    <t xml:space="preserve">5271-38-5</t>
  </si>
  <si>
    <t xml:space="preserve">CSCCO</t>
  </si>
  <si>
    <t xml:space="preserve">WBBPRCNXBQTYLF-UHFFFAOYSA-N</t>
  </si>
  <si>
    <t xml:space="preserve">Dialkylthioethers</t>
  </si>
  <si>
    <t xml:space="preserve">13-1</t>
  </si>
  <si>
    <t xml:space="preserve">14-1</t>
  </si>
  <si>
    <t xml:space="preserve">15-1</t>
  </si>
  <si>
    <t xml:space="preserve">2-Hydroxypyrazine</t>
  </si>
  <si>
    <t xml:space="preserve">HMDB0245166</t>
  </si>
  <si>
    <t xml:space="preserve">335338</t>
  </si>
  <si>
    <t xml:space="preserve">72758</t>
  </si>
  <si>
    <t xml:space="preserve">O=C1NC=CN=C1</t>
  </si>
  <si>
    <t xml:space="preserve">HUTNOYOBQPAKIA-UHFFFAOYSA-N</t>
  </si>
  <si>
    <t xml:space="preserve">Pyrazines</t>
  </si>
  <si>
    <t xml:space="preserve">15-2</t>
  </si>
  <si>
    <t xml:space="preserve">3(2H)-Pyridazinone</t>
  </si>
  <si>
    <t xml:space="preserve">HMDB0246116</t>
  </si>
  <si>
    <t xml:space="preserve">68153</t>
  </si>
  <si>
    <t xml:space="preserve">O=C1NN=CC=C1</t>
  </si>
  <si>
    <t xml:space="preserve">AAILEWXSEQLMNI-UHFFFAOYSA-N</t>
  </si>
  <si>
    <t xml:space="preserve">Pyridazines and derivatives</t>
  </si>
  <si>
    <t xml:space="preserve">15-3</t>
  </si>
  <si>
    <t xml:space="preserve">5-Hydroxypyrimidine</t>
  </si>
  <si>
    <t xml:space="preserve">HMDB0246813</t>
  </si>
  <si>
    <t xml:space="preserve">565855</t>
  </si>
  <si>
    <t xml:space="preserve">OC1=CN=CN=C1</t>
  </si>
  <si>
    <t xml:space="preserve">LTXJLQINBYSQFU-UHFFFAOYSA-N</t>
  </si>
  <si>
    <t xml:space="preserve">16-1</t>
  </si>
  <si>
    <t xml:space="preserve">1,2-Dichloroethane</t>
  </si>
  <si>
    <t xml:space="preserve">HMDB0029571</t>
  </si>
  <si>
    <t xml:space="preserve">66520</t>
  </si>
  <si>
    <t xml:space="preserve">C06752</t>
  </si>
  <si>
    <t xml:space="preserve">27789</t>
  </si>
  <si>
    <t xml:space="preserve">11</t>
  </si>
  <si>
    <t xml:space="preserve">107-06-2</t>
  </si>
  <si>
    <t xml:space="preserve">ClCCCl</t>
  </si>
  <si>
    <t xml:space="preserve">WSLDOOZREJYCGB-UHFFFAOYSA-N</t>
  </si>
  <si>
    <t xml:space="preserve">16-2</t>
  </si>
  <si>
    <t xml:space="preserve">1,1-Dichloroethane</t>
  </si>
  <si>
    <t xml:space="preserve">HMDB0244020</t>
  </si>
  <si>
    <t xml:space="preserve">72092</t>
  </si>
  <si>
    <t xml:space="preserve">C18247</t>
  </si>
  <si>
    <t xml:space="preserve">6365</t>
  </si>
  <si>
    <t xml:space="preserve">75-34-3</t>
  </si>
  <si>
    <t xml:space="preserve">CC(Cl)Cl</t>
  </si>
  <si>
    <t xml:space="preserve">SCYULBFZEHDVBN-UHFFFAOYSA-N</t>
  </si>
  <si>
    <t xml:space="preserve">17-1</t>
  </si>
  <si>
    <t xml:space="preserve">Acetic acid</t>
  </si>
  <si>
    <t xml:space="preserve">HMDB0000042</t>
  </si>
  <si>
    <t xml:space="preserve">3206</t>
  </si>
  <si>
    <t xml:space="preserve">LMFA01010002</t>
  </si>
  <si>
    <t xml:space="preserve">C00033</t>
  </si>
  <si>
    <t xml:space="preserve">15366</t>
  </si>
  <si>
    <t xml:space="preserve">176</t>
  </si>
  <si>
    <t xml:space="preserve">64-19-7</t>
  </si>
  <si>
    <t xml:space="preserve">CC(=O)O</t>
  </si>
  <si>
    <t xml:space="preserve">QTBSBXVTEAMEQO-UHFFFAOYSA-N</t>
  </si>
  <si>
    <t xml:space="preserve">Carboxylic acids</t>
  </si>
  <si>
    <t xml:space="preserve">17-2</t>
  </si>
  <si>
    <t xml:space="preserve">Glycolaldehyde</t>
  </si>
  <si>
    <t xml:space="preserve">HMDB0003344</t>
  </si>
  <si>
    <t xml:space="preserve">3205</t>
  </si>
  <si>
    <t xml:space="preserve">C00266</t>
  </si>
  <si>
    <t xml:space="preserve">17071</t>
  </si>
  <si>
    <t xml:space="preserve">756</t>
  </si>
  <si>
    <t xml:space="preserve">141-46-8</t>
  </si>
  <si>
    <t xml:space="preserve">OCC=O</t>
  </si>
  <si>
    <t xml:space="preserve">WGCNASOHLSPBMP-UHFFFAOYSA-N</t>
  </si>
  <si>
    <t xml:space="preserve">18-1</t>
  </si>
  <si>
    <t xml:space="preserve">19-1</t>
  </si>
  <si>
    <t xml:space="preserve">Erythrose</t>
  </si>
  <si>
    <t xml:space="preserve">HMDB0002649</t>
  </si>
  <si>
    <t xml:space="preserve">289</t>
  </si>
  <si>
    <t xml:space="preserve">C01796</t>
  </si>
  <si>
    <t xml:space="preserve">23956</t>
  </si>
  <si>
    <t xml:space="preserve">439574</t>
  </si>
  <si>
    <t xml:space="preserve">1758-51-6</t>
  </si>
  <si>
    <t xml:space="preserve">[H][C@@]1(O)COC([H])(O)[C@]1([H])O</t>
  </si>
  <si>
    <t xml:space="preserve">FMAORJIQYMIRHF-HERZVMAMSA-N</t>
  </si>
  <si>
    <t xml:space="preserve">19-2</t>
  </si>
  <si>
    <t xml:space="preserve">L-Erythrulose</t>
  </si>
  <si>
    <t xml:space="preserve">HMDB0006293</t>
  </si>
  <si>
    <t xml:space="preserve">58385</t>
  </si>
  <si>
    <t xml:space="preserve">C02045</t>
  </si>
  <si>
    <t xml:space="preserve">27913</t>
  </si>
  <si>
    <t xml:space="preserve">5460032</t>
  </si>
  <si>
    <t xml:space="preserve">533-50-6</t>
  </si>
  <si>
    <t xml:space="preserve">OC[C@H](O)C(=O)CO</t>
  </si>
  <si>
    <t xml:space="preserve">UQPHVQVXLPRNCX-VKHMYHEASA-N</t>
  </si>
  <si>
    <t xml:space="preserve">20-1</t>
  </si>
  <si>
    <t xml:space="preserve">21-1</t>
  </si>
  <si>
    <t xml:space="preserve">L-alpha-Aminobutyric acid</t>
  </si>
  <si>
    <t xml:space="preserve">HMDB0000452</t>
  </si>
  <si>
    <t xml:space="preserve">35945</t>
  </si>
  <si>
    <t xml:space="preserve">LMFA01100034</t>
  </si>
  <si>
    <t xml:space="preserve">C02356</t>
  </si>
  <si>
    <t xml:space="preserve">35619</t>
  </si>
  <si>
    <t xml:space="preserve">80283</t>
  </si>
  <si>
    <t xml:space="preserve">1492-24-6</t>
  </si>
  <si>
    <t xml:space="preserve">[C@H](N)(CC)C(=O)O</t>
  </si>
  <si>
    <t xml:space="preserve">QWCKQJZIFLGMSD-VKHMYHEASA-N</t>
  </si>
  <si>
    <t xml:space="preserve">21-2</t>
  </si>
  <si>
    <t xml:space="preserve">gamma-Aminobutyric acid</t>
  </si>
  <si>
    <t xml:space="preserve">HMDB0000112</t>
  </si>
  <si>
    <t xml:space="preserve">LMFA01100039</t>
  </si>
  <si>
    <t xml:space="preserve">C00334</t>
  </si>
  <si>
    <t xml:space="preserve">16865</t>
  </si>
  <si>
    <t xml:space="preserve">119</t>
  </si>
  <si>
    <t xml:space="preserve">56-12-2</t>
  </si>
  <si>
    <t xml:space="preserve">C(CCN)C(=O)O</t>
  </si>
  <si>
    <t xml:space="preserve">BTCSSZJGUNDROE-UHFFFAOYSA-N</t>
  </si>
  <si>
    <t xml:space="preserve">21-3</t>
  </si>
  <si>
    <t xml:space="preserve">D-alpha-Aminobutyric acid</t>
  </si>
  <si>
    <t xml:space="preserve">HMDB0000650</t>
  </si>
  <si>
    <t xml:space="preserve">12</t>
  </si>
  <si>
    <t xml:space="preserve">LMFA01100043</t>
  </si>
  <si>
    <t xml:space="preserve">C02261</t>
  </si>
  <si>
    <t xml:space="preserve">28797</t>
  </si>
  <si>
    <t xml:space="preserve">439691</t>
  </si>
  <si>
    <t xml:space="preserve">2623-91-8</t>
  </si>
  <si>
    <t xml:space="preserve">[C@@H](N)(CC)C(=O)O</t>
  </si>
  <si>
    <t xml:space="preserve">QWCKQJZIFLGMSD-GSVOUGTGSA-N</t>
  </si>
  <si>
    <t xml:space="preserve">22-1</t>
  </si>
  <si>
    <t xml:space="preserve">Malonic acid</t>
  </si>
  <si>
    <t xml:space="preserve">HMDB0000691</t>
  </si>
  <si>
    <t xml:space="preserve">3237</t>
  </si>
  <si>
    <t xml:space="preserve">LMFA01170041</t>
  </si>
  <si>
    <t xml:space="preserve">C00383</t>
  </si>
  <si>
    <t xml:space="preserve">30794</t>
  </si>
  <si>
    <t xml:space="preserve">867</t>
  </si>
  <si>
    <t xml:space="preserve">141-82-2</t>
  </si>
  <si>
    <t xml:space="preserve">C(CC(=O)O)(=O)O</t>
  </si>
  <si>
    <t xml:space="preserve">OFOBLEOULBTSOW-UHFFFAOYSA-N</t>
  </si>
  <si>
    <t xml:space="preserve">22-2</t>
  </si>
  <si>
    <t xml:space="preserve">Hydroxypyruvic acid</t>
  </si>
  <si>
    <t xml:space="preserve">HMDB0001352</t>
  </si>
  <si>
    <t xml:space="preserve">403923</t>
  </si>
  <si>
    <t xml:space="preserve">C00168</t>
  </si>
  <si>
    <t xml:space="preserve">30841</t>
  </si>
  <si>
    <t xml:space="preserve">964</t>
  </si>
  <si>
    <t xml:space="preserve">1113-60-6</t>
  </si>
  <si>
    <t xml:space="preserve">OCC(=O)C(O)=O</t>
  </si>
  <si>
    <t xml:space="preserve">HHDDCCUIIUWNGJ-UHFFFAOYSA-N</t>
  </si>
  <si>
    <t xml:space="preserve">22-3</t>
  </si>
  <si>
    <t xml:space="preserve">Tartronate semialdehyde</t>
  </si>
  <si>
    <t xml:space="preserve">HMDB0006938</t>
  </si>
  <si>
    <t xml:space="preserve">58597</t>
  </si>
  <si>
    <t xml:space="preserve">C01146</t>
  </si>
  <si>
    <t xml:space="preserve">16992</t>
  </si>
  <si>
    <t xml:space="preserve">1122</t>
  </si>
  <si>
    <t xml:space="preserve">OC(C=O)C(O)=O</t>
  </si>
  <si>
    <t xml:space="preserve">QWBAFPFNGRFSFB-UHFFFAOYSA-N</t>
  </si>
  <si>
    <t xml:space="preserve">23-1</t>
  </si>
  <si>
    <t xml:space="preserve">N-Methylformamide</t>
  </si>
  <si>
    <t xml:space="preserve">HMDB0001122</t>
  </si>
  <si>
    <t xml:space="preserve">C11489</t>
  </si>
  <si>
    <t xml:space="preserve">7438</t>
  </si>
  <si>
    <t xml:space="preserve">31254</t>
  </si>
  <si>
    <t xml:space="preserve">123-39-7</t>
  </si>
  <si>
    <t xml:space="preserve">CNC=O</t>
  </si>
  <si>
    <t xml:space="preserve">ATHHXGZTWNVVOU-UHFFFAOYSA-N</t>
  </si>
  <si>
    <t xml:space="preserve">Carboximidic acids and derivatives</t>
  </si>
  <si>
    <t xml:space="preserve">Carboximidic acids</t>
  </si>
  <si>
    <t xml:space="preserve">23-2</t>
  </si>
  <si>
    <t xml:space="preserve">Acetaldehyde oxime</t>
  </si>
  <si>
    <t xml:space="preserve">HMDB0003656</t>
  </si>
  <si>
    <t xml:space="preserve">6972</t>
  </si>
  <si>
    <t xml:space="preserve">C02658</t>
  </si>
  <si>
    <t xml:space="preserve">50718</t>
  </si>
  <si>
    <t xml:space="preserve">5324279</t>
  </si>
  <si>
    <t xml:space="preserve">107-29-9</t>
  </si>
  <si>
    <t xml:space="preserve">C\C=N\O</t>
  </si>
  <si>
    <t xml:space="preserve">FZENGILVLUJGJX-NSCUHMNNSA-N</t>
  </si>
  <si>
    <t xml:space="preserve">Oximes</t>
  </si>
  <si>
    <t xml:space="preserve">23-3</t>
  </si>
  <si>
    <t xml:space="preserve">Acetamide</t>
  </si>
  <si>
    <t xml:space="preserve">HMDB0031645</t>
  </si>
  <si>
    <t xml:space="preserve">3711</t>
  </si>
  <si>
    <t xml:space="preserve">C06244</t>
  </si>
  <si>
    <t xml:space="preserve">27856</t>
  </si>
  <si>
    <t xml:space="preserve">178</t>
  </si>
  <si>
    <t xml:space="preserve">60-35-5</t>
  </si>
  <si>
    <t xml:space="preserve">CC(N)=O</t>
  </si>
  <si>
    <t xml:space="preserve">DLFVBJFMPXGRIB-UHFFFAOYSA-N</t>
  </si>
  <si>
    <t xml:space="preserve">24-1</t>
  </si>
  <si>
    <t xml:space="preserve">25-1</t>
  </si>
  <si>
    <t xml:space="preserve">26-1</t>
  </si>
  <si>
    <t xml:space="preserve">27-1</t>
  </si>
  <si>
    <t xml:space="preserve">28-1</t>
  </si>
  <si>
    <t xml:space="preserve">2-Heptanone</t>
  </si>
  <si>
    <t xml:space="preserve">HMDB0003671</t>
  </si>
  <si>
    <t xml:space="preserve">36780</t>
  </si>
  <si>
    <t xml:space="preserve">LMFA12000004</t>
  </si>
  <si>
    <t xml:space="preserve">C08380</t>
  </si>
  <si>
    <t xml:space="preserve">5672</t>
  </si>
  <si>
    <t xml:space="preserve">8051</t>
  </si>
  <si>
    <t xml:space="preserve">110-43-0</t>
  </si>
  <si>
    <t xml:space="preserve">CC(=O)CCCCC</t>
  </si>
  <si>
    <t xml:space="preserve">CATSNJVOTSVZJV-UHFFFAOYSA-N</t>
  </si>
  <si>
    <t xml:space="preserve">28-2</t>
  </si>
  <si>
    <t xml:space="preserve">Heptanal</t>
  </si>
  <si>
    <t xml:space="preserve">HMDB0031475</t>
  </si>
  <si>
    <t xml:space="preserve">36523</t>
  </si>
  <si>
    <t xml:space="preserve">LMFA06000001</t>
  </si>
  <si>
    <t xml:space="preserve">C14390</t>
  </si>
  <si>
    <t xml:space="preserve">34787</t>
  </si>
  <si>
    <t xml:space="preserve">8130</t>
  </si>
  <si>
    <t xml:space="preserve">111-71-7</t>
  </si>
  <si>
    <t xml:space="preserve">C([H])(CCCCCC)=O</t>
  </si>
  <si>
    <t xml:space="preserve">FXHGMKSSBGDXIY-UHFFFAOYSA-N</t>
  </si>
  <si>
    <t xml:space="preserve">29-1</t>
  </si>
  <si>
    <t xml:space="preserve">30-1</t>
  </si>
  <si>
    <t xml:space="preserve">31-1</t>
  </si>
  <si>
    <t xml:space="preserve">32-1</t>
  </si>
  <si>
    <t xml:space="preserve">33-1</t>
  </si>
  <si>
    <t xml:space="preserve">34-1</t>
  </si>
  <si>
    <t xml:space="preserve">Tyrosol</t>
  </si>
  <si>
    <t xml:space="preserve">HMDB0004284</t>
  </si>
  <si>
    <t xml:space="preserve">7044</t>
  </si>
  <si>
    <t xml:space="preserve">C06044</t>
  </si>
  <si>
    <t xml:space="preserve">1879</t>
  </si>
  <si>
    <t xml:space="preserve">10393</t>
  </si>
  <si>
    <t xml:space="preserve">501-94-0</t>
  </si>
  <si>
    <t xml:space="preserve">OCCC1=CC=C(O)C=C1</t>
  </si>
  <si>
    <t xml:space="preserve">YCCILVSKPBXVIP-UHFFFAOYSA-N</t>
  </si>
  <si>
    <t xml:space="preserve">Tyrosols and derivatives</t>
  </si>
  <si>
    <t xml:space="preserve">34-2</t>
  </si>
  <si>
    <t xml:space="preserve">3-Ethyl-1,2-benzenediol</t>
  </si>
  <si>
    <t xml:space="preserve">HMDB0040177</t>
  </si>
  <si>
    <t xml:space="preserve">66508</t>
  </si>
  <si>
    <t xml:space="preserve">C06728</t>
  </si>
  <si>
    <t xml:space="preserve">16572</t>
  </si>
  <si>
    <t xml:space="preserve">70278</t>
  </si>
  <si>
    <t xml:space="preserve">933-99-3</t>
  </si>
  <si>
    <t xml:space="preserve">CCC1=C(O)C(O)=CC=C1</t>
  </si>
  <si>
    <t xml:space="preserve">UUCQGNWZASKXNN-UHFFFAOYSA-N</t>
  </si>
  <si>
    <t xml:space="preserve">Benzenediols</t>
  </si>
  <si>
    <t xml:space="preserve">35-1</t>
  </si>
  <si>
    <t xml:space="preserve">36-1</t>
  </si>
  <si>
    <t xml:space="preserve">37-1</t>
  </si>
  <si>
    <t xml:space="preserve">Nicotinic acid</t>
  </si>
  <si>
    <t xml:space="preserve">HMDB0001488</t>
  </si>
  <si>
    <t xml:space="preserve">240</t>
  </si>
  <si>
    <t xml:space="preserve">C00253</t>
  </si>
  <si>
    <t xml:space="preserve">15940</t>
  </si>
  <si>
    <t xml:space="preserve">938</t>
  </si>
  <si>
    <t xml:space="preserve">59-67-6</t>
  </si>
  <si>
    <t xml:space="preserve">OC(=O)C1=CN=CC=C1</t>
  </si>
  <si>
    <t xml:space="preserve">PVNIIMVLHYAWGP-UHFFFAOYSA-N</t>
  </si>
  <si>
    <t xml:space="preserve">37-2</t>
  </si>
  <si>
    <t xml:space="preserve">Picolinic acid</t>
  </si>
  <si>
    <t xml:space="preserve">HMDB0002243</t>
  </si>
  <si>
    <t xml:space="preserve">44803</t>
  </si>
  <si>
    <t xml:space="preserve">C10164</t>
  </si>
  <si>
    <t xml:space="preserve">28747</t>
  </si>
  <si>
    <t xml:space="preserve">1018</t>
  </si>
  <si>
    <t xml:space="preserve">98-98-6</t>
  </si>
  <si>
    <t xml:space="preserve">OC(=O)C1=CC=CC=N1</t>
  </si>
  <si>
    <t xml:space="preserve">SIOXPEMLGUPBBT-UHFFFAOYSA-N</t>
  </si>
  <si>
    <t xml:space="preserve">37-3</t>
  </si>
  <si>
    <t xml:space="preserve">Nitrobenzene</t>
  </si>
  <si>
    <t xml:space="preserve">HMDB0041950</t>
  </si>
  <si>
    <t xml:space="preserve">44789</t>
  </si>
  <si>
    <t xml:space="preserve">C06813</t>
  </si>
  <si>
    <t xml:space="preserve">27798</t>
  </si>
  <si>
    <t xml:space="preserve">7416</t>
  </si>
  <si>
    <t xml:space="preserve">98-95-3</t>
  </si>
  <si>
    <t xml:space="preserve">O=N(=O)C1=CC=CC=C1</t>
  </si>
  <si>
    <t xml:space="preserve">LQNUZADURLCDLV-UHFFFAOYSA-N</t>
  </si>
  <si>
    <t xml:space="preserve">38-1</t>
  </si>
  <si>
    <t xml:space="preserve">39-1</t>
  </si>
  <si>
    <t xml:space="preserve">pyridinyl</t>
  </si>
  <si>
    <t xml:space="preserve">HMDB0256969</t>
  </si>
  <si>
    <t xml:space="preserve">12594990</t>
  </si>
  <si>
    <t xml:space="preserve">[C]1=CC=CC=N1</t>
  </si>
  <si>
    <t xml:space="preserve">FIULGFJIHJJXMT-UHFFFAOYSA-N</t>
  </si>
  <si>
    <t xml:space="preserve">39-2</t>
  </si>
  <si>
    <t xml:space="preserve">5-Pyridyl</t>
  </si>
  <si>
    <t xml:space="preserve">HMDB0245981</t>
  </si>
  <si>
    <t xml:space="preserve">12594991</t>
  </si>
  <si>
    <t xml:space="preserve">[C]1=CC=CN=C1</t>
  </si>
  <si>
    <t xml:space="preserve">KPCZJLGGXRGYIE-UHFFFAOYSA-N</t>
  </si>
  <si>
    <t xml:space="preserve">40-1</t>
  </si>
  <si>
    <t xml:space="preserve">41-1</t>
  </si>
  <si>
    <t xml:space="preserve">Dimethylnitramine</t>
  </si>
  <si>
    <t xml:space="preserve">HMDB0251404</t>
  </si>
  <si>
    <t xml:space="preserve">20120</t>
  </si>
  <si>
    <t xml:space="preserve">CN(C)[N+]([O-])=O</t>
  </si>
  <si>
    <t xml:space="preserve">XRWKADIRZXTTLH-UHFFFAOYSA-N</t>
  </si>
  <si>
    <t xml:space="preserve">Organic 1,3-dipolar compounds</t>
  </si>
  <si>
    <t xml:space="preserve">Allyl-type 1,3-dipolar organic compounds</t>
  </si>
  <si>
    <t xml:space="preserve">Organic nitro compounds</t>
  </si>
  <si>
    <t xml:space="preserve">41-2</t>
  </si>
  <si>
    <t xml:space="preserve">Methanol, (methyl-ONN-azoxy)-</t>
  </si>
  <si>
    <t xml:space="preserve">HMDB0254623</t>
  </si>
  <si>
    <t xml:space="preserve">11554</t>
  </si>
  <si>
    <t xml:space="preserve">C[N+]([O-])=NCO</t>
  </si>
  <si>
    <t xml:space="preserve">BJNBRIBHKLJMAG-UHFFFAOYSA-N</t>
  </si>
  <si>
    <t xml:space="preserve">Azoxy compounds</t>
  </si>
  <si>
    <t xml:space="preserve">42-1</t>
  </si>
  <si>
    <t xml:space="preserve">Valproic acid, sodium salt (2:1)</t>
  </si>
  <si>
    <t xml:space="preserve">HMDB0001877</t>
  </si>
  <si>
    <t xml:space="preserve">2986</t>
  </si>
  <si>
    <t xml:space="preserve">LMFA01020291</t>
  </si>
  <si>
    <t xml:space="preserve">C07185</t>
  </si>
  <si>
    <t xml:space="preserve">39867</t>
  </si>
  <si>
    <t xml:space="preserve">3121</t>
  </si>
  <si>
    <t xml:space="preserve">99-66-1</t>
  </si>
  <si>
    <t xml:space="preserve">C(=O)(O)C(CCC)CCC</t>
  </si>
  <si>
    <t xml:space="preserve">NIJJYAXOARWZEE-UHFFFAOYSA-N</t>
  </si>
  <si>
    <t xml:space="preserve">42-2</t>
  </si>
  <si>
    <t xml:space="preserve">FA(8:0)</t>
  </si>
  <si>
    <t xml:space="preserve">HMDB0000482</t>
  </si>
  <si>
    <t xml:space="preserve">112</t>
  </si>
  <si>
    <t xml:space="preserve">LMFA01010008</t>
  </si>
  <si>
    <t xml:space="preserve">C06423</t>
  </si>
  <si>
    <t xml:space="preserve">28837</t>
  </si>
  <si>
    <t xml:space="preserve">379</t>
  </si>
  <si>
    <t xml:space="preserve">124-07-2</t>
  </si>
  <si>
    <t xml:space="preserve">CCCCCCCC(=O)O</t>
  </si>
  <si>
    <t xml:space="preserve">WWZKQHOCKIZLMA-UHFFFAOYSA-N</t>
  </si>
  <si>
    <t xml:space="preserve">43-1</t>
  </si>
  <si>
    <t xml:space="preserve">44-1</t>
  </si>
  <si>
    <t xml:space="preserve">45-1</t>
  </si>
  <si>
    <t xml:space="preserve">Butyl acrylate</t>
  </si>
  <si>
    <t xml:space="preserve">HMDB0249474</t>
  </si>
  <si>
    <t xml:space="preserve">68690</t>
  </si>
  <si>
    <t xml:space="preserve">C10921</t>
  </si>
  <si>
    <t xml:space="preserve">3245</t>
  </si>
  <si>
    <t xml:space="preserve">8846</t>
  </si>
  <si>
    <t xml:space="preserve">141-32-2</t>
  </si>
  <si>
    <t xml:space="preserve">CCCCOC(=O)C=C</t>
  </si>
  <si>
    <t xml:space="preserve">CQEYYJKEWSMYFG-UHFFFAOYSA-N</t>
  </si>
  <si>
    <t xml:space="preserve">45-2</t>
  </si>
  <si>
    <t xml:space="preserve">Cyclohexanecarboxylic acid</t>
  </si>
  <si>
    <t xml:space="preserve">HMDB0031342</t>
  </si>
  <si>
    <t xml:space="preserve">67955</t>
  </si>
  <si>
    <t xml:space="preserve">C09822</t>
  </si>
  <si>
    <t xml:space="preserve">36096</t>
  </si>
  <si>
    <t xml:space="preserve">7413</t>
  </si>
  <si>
    <t xml:space="preserve">98-89-5</t>
  </si>
  <si>
    <t xml:space="preserve">OC(=O)C1CCCCC1</t>
  </si>
  <si>
    <t xml:space="preserve">NZNMSOFKMUBTKW-UHFFFAOYSA-N</t>
  </si>
  <si>
    <t xml:space="preserve">45-3</t>
  </si>
  <si>
    <t xml:space="preserve">Ethyl tiglate</t>
  </si>
  <si>
    <t xml:space="preserve">HMDB0038962</t>
  </si>
  <si>
    <t xml:space="preserve">67015</t>
  </si>
  <si>
    <t xml:space="preserve">LMFA07010884</t>
  </si>
  <si>
    <t xml:space="preserve">C08487</t>
  </si>
  <si>
    <t xml:space="preserve">5281163</t>
  </si>
  <si>
    <t xml:space="preserve">5837-78-5</t>
  </si>
  <si>
    <t xml:space="preserve">O=C(/C(/C)=C/C)OCC</t>
  </si>
  <si>
    <t xml:space="preserve">OAPHLAAOJMTMLY-GQCTYLIASA-N</t>
  </si>
  <si>
    <t xml:space="preserve">46-1</t>
  </si>
  <si>
    <t xml:space="preserve">47-1</t>
  </si>
  <si>
    <t xml:space="preserve">48-1</t>
  </si>
  <si>
    <t xml:space="preserve">2-Thiophenemethanethiol</t>
  </si>
  <si>
    <t xml:space="preserve">HMDB0031853</t>
  </si>
  <si>
    <t xml:space="preserve">87973</t>
  </si>
  <si>
    <t xml:space="preserve">80408</t>
  </si>
  <si>
    <t xml:space="preserve">6258-63-5</t>
  </si>
  <si>
    <t xml:space="preserve">SCC1=CC=CS1</t>
  </si>
  <si>
    <t xml:space="preserve">GCZQHDFWKVMZOE-UHFFFAOYSA-N</t>
  </si>
  <si>
    <t xml:space="preserve">48-2</t>
  </si>
  <si>
    <t xml:space="preserve">3-(Methylthio)thiophene</t>
  </si>
  <si>
    <t xml:space="preserve">HMDB0032939</t>
  </si>
  <si>
    <t xml:space="preserve">88842</t>
  </si>
  <si>
    <t xml:space="preserve">519806</t>
  </si>
  <si>
    <t xml:space="preserve">20731-74-2</t>
  </si>
  <si>
    <t xml:space="preserve">CSC1=CSC=C1</t>
  </si>
  <si>
    <t xml:space="preserve">OTYBVBDWIKXFDO-UHFFFAOYSA-N</t>
  </si>
  <si>
    <t xml:space="preserve">48-3</t>
  </si>
  <si>
    <t xml:space="preserve">2-Methyl-3-thiophenethiol</t>
  </si>
  <si>
    <t xml:space="preserve">HMDB0039787</t>
  </si>
  <si>
    <t xml:space="preserve">94336</t>
  </si>
  <si>
    <t xml:space="preserve">75664</t>
  </si>
  <si>
    <t xml:space="preserve">2527-76-6</t>
  </si>
  <si>
    <t xml:space="preserve">CC1=C(S)C=CS1</t>
  </si>
  <si>
    <t xml:space="preserve">AQXLMAYNBMTBHD-UHFFFAOYSA-N</t>
  </si>
  <si>
    <t xml:space="preserve">49-1</t>
  </si>
  <si>
    <t xml:space="preserve">Itaconic acid</t>
  </si>
  <si>
    <t xml:space="preserve">HMDB0002092</t>
  </si>
  <si>
    <t xml:space="preserve">44764</t>
  </si>
  <si>
    <t xml:space="preserve">LMFA01170063</t>
  </si>
  <si>
    <t xml:space="preserve">C00490</t>
  </si>
  <si>
    <t xml:space="preserve">30838</t>
  </si>
  <si>
    <t xml:space="preserve">811</t>
  </si>
  <si>
    <t xml:space="preserve">97-65-4</t>
  </si>
  <si>
    <t xml:space="preserve">C(=O)(O)C(=C)CC(=O)O</t>
  </si>
  <si>
    <t xml:space="preserve">LVHBHZANLOWSRM-UHFFFAOYSA-N</t>
  </si>
  <si>
    <t xml:space="preserve">49-2</t>
  </si>
  <si>
    <t xml:space="preserve">Citraconic acid</t>
  </si>
  <si>
    <t xml:space="preserve">HMDB0000634</t>
  </si>
  <si>
    <t xml:space="preserve">5607</t>
  </si>
  <si>
    <t xml:space="preserve">LMFA01170099</t>
  </si>
  <si>
    <t xml:space="preserve">C02226</t>
  </si>
  <si>
    <t xml:space="preserve">17626</t>
  </si>
  <si>
    <t xml:space="preserve">643798</t>
  </si>
  <si>
    <t xml:space="preserve">498-23-7</t>
  </si>
  <si>
    <t xml:space="preserve">C(=O)(O)/C(/C)=C\C(=O)O</t>
  </si>
  <si>
    <t xml:space="preserve">HNEGQIOMVPPMNR-IHWYPQMZSA-N</t>
  </si>
  <si>
    <t xml:space="preserve">50-1</t>
  </si>
  <si>
    <t xml:space="preserve">51-1</t>
  </si>
  <si>
    <t xml:space="preserve">52-1</t>
  </si>
  <si>
    <t xml:space="preserve">53-1</t>
  </si>
  <si>
    <t xml:space="preserve">D-Ornithine</t>
  </si>
  <si>
    <t xml:space="preserve">HMDB0003374</t>
  </si>
  <si>
    <t xml:space="preserve">6910</t>
  </si>
  <si>
    <t xml:space="preserve">C00515</t>
  </si>
  <si>
    <t xml:space="preserve">16176</t>
  </si>
  <si>
    <t xml:space="preserve">71082</t>
  </si>
  <si>
    <t xml:space="preserve">348-66-3</t>
  </si>
  <si>
    <t xml:space="preserve">NCCC[C@@H](N)C(O)=O</t>
  </si>
  <si>
    <t xml:space="preserve">AHLPHDHHMVZTML-SCSAIBSYSA-N</t>
  </si>
  <si>
    <t xml:space="preserve">53-2</t>
  </si>
  <si>
    <t xml:space="preserve">Ornithine</t>
  </si>
  <si>
    <t xml:space="preserve">HMDB0000214</t>
  </si>
  <si>
    <t xml:space="preserve">45121</t>
  </si>
  <si>
    <t xml:space="preserve">C00077</t>
  </si>
  <si>
    <t xml:space="preserve">15729</t>
  </si>
  <si>
    <t xml:space="preserve">6262</t>
  </si>
  <si>
    <t xml:space="preserve">70-26-8</t>
  </si>
  <si>
    <t xml:space="preserve">NCCC[C@H](N)C(O)=O</t>
  </si>
  <si>
    <t xml:space="preserve">AHLPHDHHMVZTML-BYPYZUCNSA-N</t>
  </si>
  <si>
    <t xml:space="preserve">54-1</t>
  </si>
  <si>
    <t xml:space="preserve">L-Aspartic acid</t>
  </si>
  <si>
    <t xml:space="preserve">HMDB0000191</t>
  </si>
  <si>
    <t xml:space="preserve">15</t>
  </si>
  <si>
    <t xml:space="preserve">C00049</t>
  </si>
  <si>
    <t xml:space="preserve">17053</t>
  </si>
  <si>
    <t xml:space="preserve">5960</t>
  </si>
  <si>
    <t xml:space="preserve">56-84-8</t>
  </si>
  <si>
    <t xml:space="preserve">N[C@@H](CC(O)=O)C(O)=O</t>
  </si>
  <si>
    <t xml:space="preserve">CKLJMWTZIZZHCS-REOHCLBHSA-N</t>
  </si>
  <si>
    <t xml:space="preserve">54-2</t>
  </si>
  <si>
    <t xml:space="preserve">D-Aspartic acid</t>
  </si>
  <si>
    <t xml:space="preserve">HMDB0006483</t>
  </si>
  <si>
    <t xml:space="preserve">63097</t>
  </si>
  <si>
    <t xml:space="preserve">C00402</t>
  </si>
  <si>
    <t xml:space="preserve">17364</t>
  </si>
  <si>
    <t xml:space="preserve">83887</t>
  </si>
  <si>
    <t xml:space="preserve">1783-96-6</t>
  </si>
  <si>
    <t xml:space="preserve">N[C@H](CC(O)=O)C(O)=O</t>
  </si>
  <si>
    <t xml:space="preserve">CKLJMWTZIZZHCS-UWTATZPHSA-N</t>
  </si>
  <si>
    <t xml:space="preserve">55-1</t>
  </si>
  <si>
    <t xml:space="preserve">Xanthine</t>
  </si>
  <si>
    <t xml:space="preserve">HMDB0000292</t>
  </si>
  <si>
    <t xml:space="preserve">82</t>
  </si>
  <si>
    <t xml:space="preserve">C00385</t>
  </si>
  <si>
    <t xml:space="preserve">17712</t>
  </si>
  <si>
    <t xml:space="preserve">1188</t>
  </si>
  <si>
    <t xml:space="preserve">69-89-6</t>
  </si>
  <si>
    <t xml:space="preserve">O=C1NC2=C(NC=N2)C(=O)N1</t>
  </si>
  <si>
    <t xml:space="preserve">LRFVTYWOQMYALW-UHFFFAOYSA-N</t>
  </si>
  <si>
    <t xml:space="preserve">55-2</t>
  </si>
  <si>
    <t xml:space="preserve">Oxypurinol</t>
  </si>
  <si>
    <t xml:space="preserve">HMDB0000786</t>
  </si>
  <si>
    <t xml:space="preserve">866</t>
  </si>
  <si>
    <t xml:space="preserve">C07599</t>
  </si>
  <si>
    <t xml:space="preserve">28315</t>
  </si>
  <si>
    <t xml:space="preserve">4644</t>
  </si>
  <si>
    <t xml:space="preserve">2465-59-0</t>
  </si>
  <si>
    <t xml:space="preserve">O=C1NC(=O)C2=CNNC2=N1</t>
  </si>
  <si>
    <t xml:space="preserve">HXNFUBHNUDHIGC-UHFFFAOYSA-N</t>
  </si>
  <si>
    <t xml:space="preserve">56-1</t>
  </si>
  <si>
    <t xml:space="preserve">FA(4:0)</t>
  </si>
  <si>
    <t xml:space="preserve">HMDB0000039</t>
  </si>
  <si>
    <t xml:space="preserve">107</t>
  </si>
  <si>
    <t xml:space="preserve">LMFA01010004</t>
  </si>
  <si>
    <t xml:space="preserve">C00246</t>
  </si>
  <si>
    <t xml:space="preserve">30772</t>
  </si>
  <si>
    <t xml:space="preserve">264</t>
  </si>
  <si>
    <t xml:space="preserve">107-92-6</t>
  </si>
  <si>
    <t xml:space="preserve">CCCC(=O)O</t>
  </si>
  <si>
    <t xml:space="preserve">FERIUCNNQQJTOY-UHFFFAOYSA-N</t>
  </si>
  <si>
    <t xml:space="preserve">56-2</t>
  </si>
  <si>
    <t xml:space="preserve">Isobutyric acid</t>
  </si>
  <si>
    <t xml:space="preserve">HMDB0001873</t>
  </si>
  <si>
    <t xml:space="preserve">106</t>
  </si>
  <si>
    <t xml:space="preserve">LMFA01020071</t>
  </si>
  <si>
    <t xml:space="preserve">C02632</t>
  </si>
  <si>
    <t xml:space="preserve">16135</t>
  </si>
  <si>
    <t xml:space="preserve">6590</t>
  </si>
  <si>
    <t xml:space="preserve">79-31-2</t>
  </si>
  <si>
    <t xml:space="preserve">CC(C)C(=O)O</t>
  </si>
  <si>
    <t xml:space="preserve">KQNPFQTWMSNSAP-UHFFFAOYSA-N</t>
  </si>
  <si>
    <t xml:space="preserve">56-3</t>
  </si>
  <si>
    <t xml:space="preserve">Acetoin</t>
  </si>
  <si>
    <t xml:space="preserve">HMDB0003243</t>
  </si>
  <si>
    <t xml:space="preserve">103</t>
  </si>
  <si>
    <t xml:space="preserve">LMFA12000020</t>
  </si>
  <si>
    <t xml:space="preserve">C00466</t>
  </si>
  <si>
    <t xml:space="preserve">15688</t>
  </si>
  <si>
    <t xml:space="preserve">179</t>
  </si>
  <si>
    <t xml:space="preserve">513-86-0</t>
  </si>
  <si>
    <t xml:space="preserve">CC(=O)C(O)C</t>
  </si>
  <si>
    <t xml:space="preserve">ROWKJAVDOGWPAT-UHFFFAOYSA-N</t>
  </si>
  <si>
    <t xml:space="preserve">57-1</t>
  </si>
  <si>
    <t xml:space="preserve">58-1</t>
  </si>
  <si>
    <t xml:space="preserve">59-1</t>
  </si>
  <si>
    <t xml:space="preserve">60-1</t>
  </si>
  <si>
    <t xml:space="preserve">61-1</t>
  </si>
  <si>
    <t xml:space="preserve">62-1</t>
  </si>
  <si>
    <t xml:space="preserve">63-1</t>
  </si>
  <si>
    <t xml:space="preserve">64-1</t>
  </si>
  <si>
    <t xml:space="preserve">65-1</t>
  </si>
  <si>
    <t xml:space="preserve">66-1</t>
  </si>
  <si>
    <t xml:space="preserve">67-1</t>
  </si>
  <si>
    <t xml:space="preserve">Methyl thiophene-2-carboxylate</t>
  </si>
  <si>
    <t xml:space="preserve">HMDB0029719</t>
  </si>
  <si>
    <t xml:space="preserve">86443</t>
  </si>
  <si>
    <t xml:space="preserve">79340</t>
  </si>
  <si>
    <t xml:space="preserve">5380-42-7</t>
  </si>
  <si>
    <t xml:space="preserve">COC(=O)C1=CC=CS1</t>
  </si>
  <si>
    <t xml:space="preserve">PGBFYLVIMDQYMS-UHFFFAOYSA-N</t>
  </si>
  <si>
    <t xml:space="preserve">67-2</t>
  </si>
  <si>
    <t xml:space="preserve">S-(2-Furanylmethyl) methanethioate</t>
  </si>
  <si>
    <t xml:space="preserve">HMDB0037731</t>
  </si>
  <si>
    <t xml:space="preserve">92554</t>
  </si>
  <si>
    <t xml:space="preserve">62144</t>
  </si>
  <si>
    <t xml:space="preserve">59020-90-5</t>
  </si>
  <si>
    <t xml:space="preserve">O=CSCC1=CC=CO1</t>
  </si>
  <si>
    <t xml:space="preserve">GFAOAYJTEVHTLA-UHFFFAOYSA-N</t>
  </si>
  <si>
    <t xml:space="preserve">67-3</t>
  </si>
  <si>
    <t xml:space="preserve">Methyl 2-thiofuroate</t>
  </si>
  <si>
    <t xml:space="preserve">HMDB0037762</t>
  </si>
  <si>
    <t xml:space="preserve">92580</t>
  </si>
  <si>
    <t xml:space="preserve">61662</t>
  </si>
  <si>
    <t xml:space="preserve">13679-61-3</t>
  </si>
  <si>
    <t xml:space="preserve">CSC(=O)C1=CC=CO1</t>
  </si>
  <si>
    <t xml:space="preserve">ISKUAGFDTRLBHG-UHFFFAOYSA-N</t>
  </si>
  <si>
    <t xml:space="preserve">68-1</t>
  </si>
  <si>
    <t xml:space="preserve">(3E)-2-Propylpent-3-enoic acid</t>
  </si>
  <si>
    <t xml:space="preserve">HMDB0013904</t>
  </si>
  <si>
    <t xml:space="preserve">2993</t>
  </si>
  <si>
    <t xml:space="preserve">LMFA01030945</t>
  </si>
  <si>
    <t xml:space="preserve">C16654</t>
  </si>
  <si>
    <t xml:space="preserve">6439747</t>
  </si>
  <si>
    <t xml:space="preserve">72010-19-6</t>
  </si>
  <si>
    <t xml:space="preserve">C/C=C/C(C(=O)O)CCC</t>
  </si>
  <si>
    <t xml:space="preserve">WTMAHJABDOHPDJ-HWKANZROSA-N</t>
  </si>
  <si>
    <t xml:space="preserve">68-2</t>
  </si>
  <si>
    <t xml:space="preserve">(3Z)-2-Propylpent-3-enoic acid</t>
  </si>
  <si>
    <t xml:space="preserve">HMDB0013903</t>
  </si>
  <si>
    <t xml:space="preserve">LMFA01030946</t>
  </si>
  <si>
    <t xml:space="preserve">80640</t>
  </si>
  <si>
    <t xml:space="preserve">24892812</t>
  </si>
  <si>
    <t xml:space="preserve">C(/C)=C/C(C(=O)O)CCC</t>
  </si>
  <si>
    <t xml:space="preserve">WTMAHJABDOHPDJ-HYXAFXHYSA-N</t>
  </si>
  <si>
    <t xml:space="preserve">68-3</t>
  </si>
  <si>
    <t xml:space="preserve">2-ene-Valproic acid</t>
  </si>
  <si>
    <t xml:space="preserve">HMDB0013902</t>
  </si>
  <si>
    <t xml:space="preserve">LMFA01030968</t>
  </si>
  <si>
    <t xml:space="preserve">C16653</t>
  </si>
  <si>
    <t xml:space="preserve">288752</t>
  </si>
  <si>
    <t xml:space="preserve">6437068</t>
  </si>
  <si>
    <t xml:space="preserve">CC/C=C(/C(=O)O)\CCC</t>
  </si>
  <si>
    <t xml:space="preserve">ZKNJEOBYOLUGKJ-FNORWQNLSA-N</t>
  </si>
  <si>
    <t xml:space="preserve">69-1</t>
  </si>
  <si>
    <t xml:space="preserve">70-1</t>
  </si>
  <si>
    <t xml:space="preserve">Erythro-4-hydroxy-L-glutamate(1-)</t>
  </si>
  <si>
    <t xml:space="preserve">HMDB0062752</t>
  </si>
  <si>
    <t xml:space="preserve">6586</t>
  </si>
  <si>
    <t xml:space="preserve">C03079</t>
  </si>
  <si>
    <t xml:space="preserve">16338</t>
  </si>
  <si>
    <t xml:space="preserve">5460078</t>
  </si>
  <si>
    <t xml:space="preserve">NC(CC(O)C(O)=O)C(O)=O</t>
  </si>
  <si>
    <t xml:space="preserve">HBDWQSHEVMSFGY-UHFFFAOYSA-N</t>
  </si>
  <si>
    <t xml:space="preserve">70-2</t>
  </si>
  <si>
    <t xml:space="preserve">4-Hydroxy-L-glutamic acid</t>
  </si>
  <si>
    <t xml:space="preserve">HMDB0002273</t>
  </si>
  <si>
    <t xml:space="preserve">63472</t>
  </si>
  <si>
    <t xml:space="preserve">C05947</t>
  </si>
  <si>
    <t xml:space="preserve">21285</t>
  </si>
  <si>
    <t xml:space="preserve">440854</t>
  </si>
  <si>
    <t xml:space="preserve">2485-33-8</t>
  </si>
  <si>
    <t xml:space="preserve">N[C@@H](C[C@@H](O)C(O)=O)C(O)=O</t>
  </si>
  <si>
    <t xml:space="preserve">HBDWQSHEVMSFGY-STHAYSLISA-N</t>
  </si>
  <si>
    <t xml:space="preserve">71-1</t>
  </si>
  <si>
    <t xml:space="preserve">Thiophen-2-ol</t>
  </si>
  <si>
    <t xml:space="preserve">HMDB0259026</t>
  </si>
  <si>
    <t xml:space="preserve">OC1=CC=CS1</t>
  </si>
  <si>
    <t xml:space="preserve">WZMPOCLULGAHJR-UHFFFAOYSA-N</t>
  </si>
  <si>
    <t xml:space="preserve">71-2</t>
  </si>
  <si>
    <t xml:space="preserve">1,2-Oxathiin</t>
  </si>
  <si>
    <t xml:space="preserve">HMDB0244102</t>
  </si>
  <si>
    <t xml:space="preserve">19020179</t>
  </si>
  <si>
    <t xml:space="preserve">O1SC=CC=C1</t>
  </si>
  <si>
    <t xml:space="preserve">YBKGERLDRMINOV-UHFFFAOYSA-N</t>
  </si>
  <si>
    <t xml:space="preserve">Oxathiins</t>
  </si>
  <si>
    <t xml:space="preserve">72-1</t>
  </si>
  <si>
    <t xml:space="preserve">Dihydro-2-methoxy-2-methyl-3(2H)-thiophenone</t>
  </si>
  <si>
    <t xml:space="preserve">HMDB0040237</t>
  </si>
  <si>
    <t xml:space="preserve">94768</t>
  </si>
  <si>
    <t xml:space="preserve">526189</t>
  </si>
  <si>
    <t xml:space="preserve">129314-86-9</t>
  </si>
  <si>
    <t xml:space="preserve">COC1(C)SCCC1=O</t>
  </si>
  <si>
    <t xml:space="preserve">FCDCVDDFZHJGKZ-UHFFFAOYSA-N</t>
  </si>
  <si>
    <t xml:space="preserve">Monothioacetals</t>
  </si>
  <si>
    <t xml:space="preserve">72-2</t>
  </si>
  <si>
    <t xml:space="preserve">Diallyl sulfone</t>
  </si>
  <si>
    <t xml:space="preserve">HMDB0251128</t>
  </si>
  <si>
    <t xml:space="preserve">439255</t>
  </si>
  <si>
    <t xml:space="preserve">159797</t>
  </si>
  <si>
    <t xml:space="preserve">C=CCS(=O)(=O)CC=C</t>
  </si>
  <si>
    <t xml:space="preserve">NZEDMAWEJPYWCD-UHFFFAOYSA-N</t>
  </si>
  <si>
    <t xml:space="preserve">Sulfonyls</t>
  </si>
  <si>
    <t xml:space="preserve">Sulfones</t>
  </si>
  <si>
    <t xml:space="preserve">73-1</t>
  </si>
  <si>
    <t xml:space="preserve">74-1</t>
  </si>
  <si>
    <t xml:space="preserve">1,1,3,3-Tetramethoxypropane</t>
  </si>
  <si>
    <t xml:space="preserve">HMDB0244048</t>
  </si>
  <si>
    <t xml:space="preserve">334587</t>
  </si>
  <si>
    <t xml:space="preserve">66019</t>
  </si>
  <si>
    <t xml:space="preserve">COC(CC(OC)OC)OC</t>
  </si>
  <si>
    <t xml:space="preserve">XHTYQFMRBQUCPX-UHFFFAOYSA-N</t>
  </si>
  <si>
    <t xml:space="preserve">74-2</t>
  </si>
  <si>
    <t xml:space="preserve">Tetra-methoxypropane</t>
  </si>
  <si>
    <t xml:space="preserve">HMDB0258866</t>
  </si>
  <si>
    <t xml:space="preserve">21988363</t>
  </si>
  <si>
    <t xml:space="preserve">COC(C)C(OC)(OC)OC</t>
  </si>
  <si>
    <t xml:space="preserve">RKZYUIVAVJZKOI-UHFFFAOYSA-N</t>
  </si>
  <si>
    <t xml:space="preserve">Ortho esters</t>
  </si>
  <si>
    <t xml:space="preserve">74-3</t>
  </si>
  <si>
    <t xml:space="preserve">Triethylene Glycol Monomethyl Ether</t>
  </si>
  <si>
    <t xml:space="preserve">HMDB0062666</t>
  </si>
  <si>
    <t xml:space="preserve">84233</t>
  </si>
  <si>
    <t xml:space="preserve">8178</t>
  </si>
  <si>
    <t xml:space="preserve">112-35-6</t>
  </si>
  <si>
    <t xml:space="preserve">COCCOCCOCCO</t>
  </si>
  <si>
    <t xml:space="preserve">JLGLQAWTXXGVEM-UHFFFAOYSA-N</t>
  </si>
  <si>
    <t xml:space="preserve">75-1</t>
  </si>
  <si>
    <t xml:space="preserve">76-1</t>
  </si>
  <si>
    <t xml:space="preserve">77-1</t>
  </si>
  <si>
    <t xml:space="preserve">D-Xylonic acid</t>
  </si>
  <si>
    <t xml:space="preserve">HMDB0059750</t>
  </si>
  <si>
    <t xml:space="preserve">C00502</t>
  </si>
  <si>
    <t xml:space="preserve">48093</t>
  </si>
  <si>
    <t xml:space="preserve">6602431</t>
  </si>
  <si>
    <t xml:space="preserve">526-91-0</t>
  </si>
  <si>
    <t xml:space="preserve">OC[C@@H](O)[C@H](O)[C@@H](O)C(O)=O</t>
  </si>
  <si>
    <t xml:space="preserve">QXKAIJAYHKCRRA-FLRLBIABSA-N</t>
  </si>
  <si>
    <t xml:space="preserve">77-2</t>
  </si>
  <si>
    <t xml:space="preserve">Arabinonic acid</t>
  </si>
  <si>
    <t xml:space="preserve">HMDB0000539</t>
  </si>
  <si>
    <t xml:space="preserve">C00878</t>
  </si>
  <si>
    <t xml:space="preserve">20912</t>
  </si>
  <si>
    <t xml:space="preserve">122045</t>
  </si>
  <si>
    <t xml:space="preserve">488-30-2</t>
  </si>
  <si>
    <t xml:space="preserve">OC[C@@H](O)[C@@H](O)[C@H](O)C(O)=O</t>
  </si>
  <si>
    <t xml:space="preserve">QXKAIJAYHKCRRA-JJYYJPOSSA-N</t>
  </si>
  <si>
    <t xml:space="preserve">77-3</t>
  </si>
  <si>
    <t xml:space="preserve">Ribonic acid</t>
  </si>
  <si>
    <t xml:space="preserve">HMDB0000867</t>
  </si>
  <si>
    <t xml:space="preserve">3290</t>
  </si>
  <si>
    <t xml:space="preserve">C01685</t>
  </si>
  <si>
    <t xml:space="preserve">21077</t>
  </si>
  <si>
    <t xml:space="preserve">5460677</t>
  </si>
  <si>
    <t xml:space="preserve">642-98-8</t>
  </si>
  <si>
    <t xml:space="preserve">OC[C@@H](O)[C@@H](O)[C@@H](O)C(O)=O</t>
  </si>
  <si>
    <t xml:space="preserve">QXKAIJAYHKCRRA-BXXZVTAOSA-N</t>
  </si>
  <si>
    <t xml:space="preserve">78-1</t>
  </si>
  <si>
    <t xml:space="preserve">(2R,3R,4R)-Hexane-1,2,3,4,6-pentol</t>
  </si>
  <si>
    <t xml:space="preserve">HMDB0242546</t>
  </si>
  <si>
    <t xml:space="preserve">14048461</t>
  </si>
  <si>
    <t xml:space="preserve">OCCC(O)C(O)C(O)CO</t>
  </si>
  <si>
    <t xml:space="preserve">LWWIYCLYWKAKRR-UHFFFAOYSA-N</t>
  </si>
  <si>
    <t xml:space="preserve">78-2</t>
  </si>
  <si>
    <t xml:space="preserve">1-Deoxy-D-glucitol</t>
  </si>
  <si>
    <t xml:space="preserve">HMDB0041500</t>
  </si>
  <si>
    <t xml:space="preserve">95885</t>
  </si>
  <si>
    <t xml:space="preserve">LMFA05000598</t>
  </si>
  <si>
    <t xml:space="preserve">3429</t>
  </si>
  <si>
    <t xml:space="preserve">18545-96-5</t>
  </si>
  <si>
    <t xml:space="preserve">CC(C(C(C(CO)O)O)O)O</t>
  </si>
  <si>
    <t xml:space="preserve">SKCKOFZKJLZSFA-UHFFFAOYSA-N</t>
  </si>
  <si>
    <t xml:space="preserve">78-3</t>
  </si>
  <si>
    <t xml:space="preserve">Rhamnitol</t>
  </si>
  <si>
    <t xml:space="preserve">HMDB0240555</t>
  </si>
  <si>
    <t xml:space="preserve">45530</t>
  </si>
  <si>
    <t xml:space="preserve">445052</t>
  </si>
  <si>
    <t xml:space="preserve">[H][C@@](C)(O)[C@]([H])(O)[C@@]([H])(O)[C@@]([H])(O)CO</t>
  </si>
  <si>
    <t xml:space="preserve">SKCKOFZKJLZSFA-BXKVDMCESA-N</t>
  </si>
  <si>
    <t xml:space="preserve">79-1</t>
  </si>
  <si>
    <t xml:space="preserve">80-1</t>
  </si>
  <si>
    <t xml:space="preserve">81-1</t>
  </si>
  <si>
    <t xml:space="preserve">D-Ribulose</t>
  </si>
  <si>
    <t xml:space="preserve">HMDB0000621</t>
  </si>
  <si>
    <t xml:space="preserve">C00309</t>
  </si>
  <si>
    <t xml:space="preserve">17173</t>
  </si>
  <si>
    <t xml:space="preserve">12358756</t>
  </si>
  <si>
    <t xml:space="preserve">131064-70-5</t>
  </si>
  <si>
    <t xml:space="preserve">OC[C@@]1(O)OC[C@@H](O)[C@H]1O</t>
  </si>
  <si>
    <t xml:space="preserve">LQXVFWRQNMEDEE-UOWFLXDJSA-N</t>
  </si>
  <si>
    <t xml:space="preserve">81-2</t>
  </si>
  <si>
    <t xml:space="preserve">D-Xylose</t>
  </si>
  <si>
    <t xml:space="preserve">HMDB0000098</t>
  </si>
  <si>
    <t xml:space="preserve">314</t>
  </si>
  <si>
    <t xml:space="preserve">C00181</t>
  </si>
  <si>
    <t xml:space="preserve">53455</t>
  </si>
  <si>
    <t xml:space="preserve">135191</t>
  </si>
  <si>
    <t xml:space="preserve">58-86-6</t>
  </si>
  <si>
    <t xml:space="preserve">O[C@@H]1COC(O)[C@H](O)[C@H]1O</t>
  </si>
  <si>
    <t xml:space="preserve">SRBFZHDQGSBBOR-IOVATXLUSA-N</t>
  </si>
  <si>
    <t xml:space="preserve">81-3</t>
  </si>
  <si>
    <t xml:space="preserve">D-Ribose</t>
  </si>
  <si>
    <t xml:space="preserve">HMDB0000283</t>
  </si>
  <si>
    <t xml:space="preserve">313</t>
  </si>
  <si>
    <t xml:space="preserve">C00121</t>
  </si>
  <si>
    <t xml:space="preserve">47013</t>
  </si>
  <si>
    <t xml:space="preserve">5779</t>
  </si>
  <si>
    <t xml:space="preserve">613-83-2</t>
  </si>
  <si>
    <t xml:space="preserve">OC[C@H]1OC(O)[C@H](O)[C@@H]1O</t>
  </si>
  <si>
    <t xml:space="preserve">HMFHBZSHGGEWLO-SOOFDHNKSA-N</t>
  </si>
  <si>
    <t xml:space="preserve">82-1</t>
  </si>
  <si>
    <t xml:space="preserve">2-Furanylmethyl butanoate</t>
  </si>
  <si>
    <t xml:space="preserve">HMDB0037729</t>
  </si>
  <si>
    <t xml:space="preserve">92552</t>
  </si>
  <si>
    <t xml:space="preserve">LMFA07010714</t>
  </si>
  <si>
    <t xml:space="preserve">61167</t>
  </si>
  <si>
    <t xml:space="preserve">623-21-2</t>
  </si>
  <si>
    <t xml:space="preserve">O(C(=O)CCC)CC1OC=CC=1</t>
  </si>
  <si>
    <t xml:space="preserve">IXISGRHWGVGCAK-UHFFFAOYSA-N</t>
  </si>
  <si>
    <t xml:space="preserve">82-2</t>
  </si>
  <si>
    <t xml:space="preserve">2,6-Dimethoxy-4-methylphenol</t>
  </si>
  <si>
    <t xml:space="preserve">HMDB0029680</t>
  </si>
  <si>
    <t xml:space="preserve">86420</t>
  </si>
  <si>
    <t xml:space="preserve">446746</t>
  </si>
  <si>
    <t xml:space="preserve">240925</t>
  </si>
  <si>
    <t xml:space="preserve">6638-05-7</t>
  </si>
  <si>
    <t xml:space="preserve">COC1=CC(C)=CC(OC)=C1O</t>
  </si>
  <si>
    <t xml:space="preserve">ZFBNNSOJNZBLLS-UHFFFAOYSA-N</t>
  </si>
  <si>
    <t xml:space="preserve">Methoxyphenols</t>
  </si>
  <si>
    <t xml:space="preserve">82-3</t>
  </si>
  <si>
    <t xml:space="preserve">4-Ipomeanol</t>
  </si>
  <si>
    <t xml:space="preserve">HMDB0030472</t>
  </si>
  <si>
    <t xml:space="preserve">96319</t>
  </si>
  <si>
    <t xml:space="preserve">1222143</t>
  </si>
  <si>
    <t xml:space="preserve">36284</t>
  </si>
  <si>
    <t xml:space="preserve">32954-58-8</t>
  </si>
  <si>
    <t xml:space="preserve">CC(O)CCC(=O)C1=COC=C1</t>
  </si>
  <si>
    <t xml:space="preserve">RJYQLMILDVERHH-UHFFFAOYSA-N</t>
  </si>
  <si>
    <t xml:space="preserve">83-1</t>
  </si>
  <si>
    <t xml:space="preserve">84-1</t>
  </si>
  <si>
    <t xml:space="preserve">85-1</t>
  </si>
  <si>
    <t xml:space="preserve">3-Pyridinecarboxaldehyde</t>
  </si>
  <si>
    <t xml:space="preserve">HMDB0245978</t>
  </si>
  <si>
    <t xml:space="preserve">66624</t>
  </si>
  <si>
    <t xml:space="preserve">C07327</t>
  </si>
  <si>
    <t xml:space="preserve">28345</t>
  </si>
  <si>
    <t xml:space="preserve">10371</t>
  </si>
  <si>
    <t xml:space="preserve">500-22-1</t>
  </si>
  <si>
    <t xml:space="preserve">O=CC1=CC=CN=C1</t>
  </si>
  <si>
    <t xml:space="preserve">QJZUKDFHGGYHMC-UHFFFAOYSA-N</t>
  </si>
  <si>
    <t xml:space="preserve">Pyridine carboxaldehydes</t>
  </si>
  <si>
    <t xml:space="preserve">85-2</t>
  </si>
  <si>
    <t xml:space="preserve">Nitrosobenzene</t>
  </si>
  <si>
    <t xml:space="preserve">HMDB0255658</t>
  </si>
  <si>
    <t xml:space="preserve">44790</t>
  </si>
  <si>
    <t xml:space="preserve">C06876</t>
  </si>
  <si>
    <t xml:space="preserve">27986</t>
  </si>
  <si>
    <t xml:space="preserve">11473</t>
  </si>
  <si>
    <t xml:space="preserve">586-96-9</t>
  </si>
  <si>
    <t xml:space="preserve">O=NC1=CC=CC=C1</t>
  </si>
  <si>
    <t xml:space="preserve">NLRKCXQQSUWLCH-UHFFFAOYSA-N</t>
  </si>
  <si>
    <t xml:space="preserve">86-1</t>
  </si>
  <si>
    <t xml:space="preserve">87-1</t>
  </si>
  <si>
    <t xml:space="preserve">88-1</t>
  </si>
  <si>
    <t xml:space="preserve">3-Acetyl-2,5-dimethylthiophene</t>
  </si>
  <si>
    <t xml:space="preserve">HMDB0040589</t>
  </si>
  <si>
    <t xml:space="preserve">95072</t>
  </si>
  <si>
    <t xml:space="preserve">520191</t>
  </si>
  <si>
    <t xml:space="preserve">2530-10-1</t>
  </si>
  <si>
    <t xml:space="preserve">CC(=O)C1=C(C)SC(C)=C1</t>
  </si>
  <si>
    <t xml:space="preserve">PUSJAEJRDNPYKM-UHFFFAOYSA-N</t>
  </si>
  <si>
    <t xml:space="preserve">88-2</t>
  </si>
  <si>
    <t xml:space="preserve">1-(5-Methyl-2-thienyl)-1-propanone</t>
  </si>
  <si>
    <t xml:space="preserve">HMDB0040231</t>
  </si>
  <si>
    <t xml:space="preserve">94762</t>
  </si>
  <si>
    <t xml:space="preserve">580407</t>
  </si>
  <si>
    <t xml:space="preserve">59303-13-8</t>
  </si>
  <si>
    <t xml:space="preserve">CCC(=O)C1=CC=C(C)S1</t>
  </si>
  <si>
    <t xml:space="preserve">ROPOMQPSWIOWSN-UHFFFAOYSA-N</t>
  </si>
  <si>
    <t xml:space="preserve">88-3</t>
  </si>
  <si>
    <t xml:space="preserve">1-(2-Thienyl)-1-butanone</t>
  </si>
  <si>
    <t xml:space="preserve">HMDB0032935</t>
  </si>
  <si>
    <t xml:space="preserve">88838</t>
  </si>
  <si>
    <t xml:space="preserve">79248</t>
  </si>
  <si>
    <t xml:space="preserve">5333-83-5</t>
  </si>
  <si>
    <t xml:space="preserve">CCCC(=O)C1=CC=CS1</t>
  </si>
  <si>
    <t xml:space="preserve">YXHIINNJOGKPLF-UHFFFAOYSA-N</t>
  </si>
  <si>
    <t xml:space="preserve">89-1</t>
  </si>
  <si>
    <t xml:space="preserve">90-1</t>
  </si>
  <si>
    <t xml:space="preserve">91-1</t>
  </si>
  <si>
    <t xml:space="preserve">1,3-Octadiene</t>
  </si>
  <si>
    <t xml:space="preserve">HMDB0040966</t>
  </si>
  <si>
    <t xml:space="preserve">95410</t>
  </si>
  <si>
    <t xml:space="preserve">89638</t>
  </si>
  <si>
    <t xml:space="preserve">517653</t>
  </si>
  <si>
    <t xml:space="preserve">1002-33-1</t>
  </si>
  <si>
    <t xml:space="preserve">CCCC\C=C\C=C</t>
  </si>
  <si>
    <t xml:space="preserve">QTYUSOHYEPOHLV-FNORWQNLSA-N</t>
  </si>
  <si>
    <t xml:space="preserve">Olefins</t>
  </si>
  <si>
    <t xml:space="preserve">91-2</t>
  </si>
  <si>
    <t xml:space="preserve">2-(Methylenebutyl)-cyclopropane</t>
  </si>
  <si>
    <t xml:space="preserve">HMDB0061899</t>
  </si>
  <si>
    <t xml:space="preserve">88408</t>
  </si>
  <si>
    <t xml:space="preserve">6427679</t>
  </si>
  <si>
    <t xml:space="preserve">[H][C@]1(CC)C[C@@]1([H])C1CC1</t>
  </si>
  <si>
    <t xml:space="preserve">VDKZAQZRSGYRSL-POYBYMJQSA-N</t>
  </si>
  <si>
    <t xml:space="preserve">Saturated hydrocarbons</t>
  </si>
  <si>
    <t xml:space="preserve">91-3</t>
  </si>
  <si>
    <t xml:space="preserve">2,4-Octadiene</t>
  </si>
  <si>
    <t xml:space="preserve">HMDB0061900</t>
  </si>
  <si>
    <t xml:space="preserve">88818</t>
  </si>
  <si>
    <t xml:space="preserve">5367588</t>
  </si>
  <si>
    <t xml:space="preserve">[H]\C(C)=C(\[H])/C(/[H])=C(\[H])CCC</t>
  </si>
  <si>
    <t xml:space="preserve">NZLCAHVLJPDRBL-VSAQMIDASA-N</t>
  </si>
  <si>
    <t xml:space="preserve">92-1</t>
  </si>
  <si>
    <t xml:space="preserve">93-1</t>
  </si>
  <si>
    <t xml:space="preserve">Ureidosuccinic acid</t>
  </si>
  <si>
    <t xml:space="preserve">HMDB0000828</t>
  </si>
  <si>
    <t xml:space="preserve">3304</t>
  </si>
  <si>
    <t xml:space="preserve">C00438</t>
  </si>
  <si>
    <t xml:space="preserve">15859</t>
  </si>
  <si>
    <t xml:space="preserve">93072</t>
  </si>
  <si>
    <t xml:space="preserve">13184-27-5</t>
  </si>
  <si>
    <t xml:space="preserve">NC(=O)N[C@@H](CC(O)=O)C(O)=O</t>
  </si>
  <si>
    <t xml:space="preserve">HLKXYZVTANABHZ-REOHCLBHSA-N</t>
  </si>
  <si>
    <t xml:space="preserve">93-2</t>
  </si>
  <si>
    <t xml:space="preserve">L-2-Amino-3-(oxalylamino)propanoic acid</t>
  </si>
  <si>
    <t xml:space="preserve">HMDB0029402</t>
  </si>
  <si>
    <t xml:space="preserve">C04209</t>
  </si>
  <si>
    <t xml:space="preserve">2360</t>
  </si>
  <si>
    <t xml:space="preserve">5302-45-4</t>
  </si>
  <si>
    <t xml:space="preserve">NC(CNC(=O)C(O)=O)C(O)=O</t>
  </si>
  <si>
    <t xml:space="preserve">NEEQFPMRODQIKX-UHFFFAOYSA-N</t>
  </si>
  <si>
    <t xml:space="preserve">94-1</t>
  </si>
  <si>
    <t xml:space="preserve">95-1</t>
  </si>
  <si>
    <t xml:space="preserve">96-1</t>
  </si>
  <si>
    <t xml:space="preserve">4-Hydroxyvalproic acid</t>
  </si>
  <si>
    <t xml:space="preserve">HMDB0013900</t>
  </si>
  <si>
    <t xml:space="preserve">2994</t>
  </si>
  <si>
    <t xml:space="preserve">LMFA01050496</t>
  </si>
  <si>
    <t xml:space="preserve">C16649</t>
  </si>
  <si>
    <t xml:space="preserve">80635</t>
  </si>
  <si>
    <t xml:space="preserve">134467</t>
  </si>
  <si>
    <t xml:space="preserve">60113-82-8</t>
  </si>
  <si>
    <t xml:space="preserve">CC(O)CC(C(=O)O)CCC</t>
  </si>
  <si>
    <t xml:space="preserve">OASKNPCLIHUTTL-UHFFFAOYSA-N</t>
  </si>
  <si>
    <t xml:space="preserve">96-2</t>
  </si>
  <si>
    <t xml:space="preserve">5-Hydroxyvalproic acid</t>
  </si>
  <si>
    <t xml:space="preserve">HMDB0013898</t>
  </si>
  <si>
    <t xml:space="preserve">2997</t>
  </si>
  <si>
    <t xml:space="preserve">C16650</t>
  </si>
  <si>
    <t xml:space="preserve">80636</t>
  </si>
  <si>
    <t xml:space="preserve">135244</t>
  </si>
  <si>
    <t xml:space="preserve">53660-23-4</t>
  </si>
  <si>
    <t xml:space="preserve">CCCC(CCCO)C(O)=O</t>
  </si>
  <si>
    <t xml:space="preserve">ZIWBCJXKYKOLJK-UHFFFAOYSA-N</t>
  </si>
  <si>
    <t xml:space="preserve">96-3</t>
  </si>
  <si>
    <t xml:space="preserve">3-Hydroxyvalproic acid</t>
  </si>
  <si>
    <t xml:space="preserve">HMDB0013899</t>
  </si>
  <si>
    <t xml:space="preserve">2988</t>
  </si>
  <si>
    <t xml:space="preserve">LMFA01050494</t>
  </si>
  <si>
    <t xml:space="preserve">C16651</t>
  </si>
  <si>
    <t xml:space="preserve">80637</t>
  </si>
  <si>
    <t xml:space="preserve">134459</t>
  </si>
  <si>
    <t xml:space="preserve">58888-84-9</t>
  </si>
  <si>
    <t xml:space="preserve">CCC(O)C(C(=O)O)CCC</t>
  </si>
  <si>
    <t xml:space="preserve">LLPFTSMZBSRZDV-UHFFFAOYSA-N</t>
  </si>
  <si>
    <t xml:space="preserve">97-1</t>
  </si>
  <si>
    <t xml:space="preserve">3,4-Dichloroaniline</t>
  </si>
  <si>
    <t xml:space="preserve">HMDB0246025</t>
  </si>
  <si>
    <t xml:space="preserve">65833</t>
  </si>
  <si>
    <t xml:space="preserve">C02791</t>
  </si>
  <si>
    <t xml:space="preserve">16767</t>
  </si>
  <si>
    <t xml:space="preserve">7257</t>
  </si>
  <si>
    <t xml:space="preserve">95-76-1</t>
  </si>
  <si>
    <t xml:space="preserve">NC1=CC(Cl)=C(Cl)C=C1</t>
  </si>
  <si>
    <t xml:space="preserve">SDYWXFYBZPNOFX-UHFFFAOYSA-N</t>
  </si>
  <si>
    <t xml:space="preserve">97-2</t>
  </si>
  <si>
    <t xml:space="preserve">2,4-Dichloroaniline</t>
  </si>
  <si>
    <t xml:space="preserve">HMDB0245450</t>
  </si>
  <si>
    <t xml:space="preserve">70047</t>
  </si>
  <si>
    <t xml:space="preserve">C14419</t>
  </si>
  <si>
    <t xml:space="preserve">46635</t>
  </si>
  <si>
    <t xml:space="preserve">11123</t>
  </si>
  <si>
    <t xml:space="preserve">554-00-7</t>
  </si>
  <si>
    <t xml:space="preserve">NC1=C(Cl)C=C(Cl)C=C1</t>
  </si>
  <si>
    <t xml:space="preserve">KQCMTOWTPBNWDB-UHFFFAOYSA-N</t>
  </si>
  <si>
    <t xml:space="preserve">98-1</t>
  </si>
  <si>
    <t xml:space="preserve">3-Acetylthiophene</t>
  </si>
  <si>
    <t xml:space="preserve">HMDB0033134</t>
  </si>
  <si>
    <t xml:space="preserve">89022</t>
  </si>
  <si>
    <t xml:space="preserve">15116</t>
  </si>
  <si>
    <t xml:space="preserve">1468-83-3</t>
  </si>
  <si>
    <t xml:space="preserve">CC(=O)C1=CSC=C1</t>
  </si>
  <si>
    <t xml:space="preserve">RNIDWJDZNNVFDY-UHFFFAOYSA-N</t>
  </si>
  <si>
    <t xml:space="preserve">98-2</t>
  </si>
  <si>
    <t xml:space="preserve">2-Acetylthiophene</t>
  </si>
  <si>
    <t xml:space="preserve">HMDB0033133</t>
  </si>
  <si>
    <t xml:space="preserve">89021</t>
  </si>
  <si>
    <t xml:space="preserve">6920</t>
  </si>
  <si>
    <t xml:space="preserve">88-15-3</t>
  </si>
  <si>
    <t xml:space="preserve">CC(=O)C1=CC=CS1</t>
  </si>
  <si>
    <t xml:space="preserve">WYJOVVXUZNRJQY-UHFFFAOYSA-N</t>
  </si>
  <si>
    <t xml:space="preserve">98-3</t>
  </si>
  <si>
    <t xml:space="preserve">5-Methyl-2-thiophenecarboxaldehyde</t>
  </si>
  <si>
    <t xml:space="preserve">HMDB0032431</t>
  </si>
  <si>
    <t xml:space="preserve">88455</t>
  </si>
  <si>
    <t xml:space="preserve">61663</t>
  </si>
  <si>
    <t xml:space="preserve">13679-70-4</t>
  </si>
  <si>
    <t xml:space="preserve">CC1=CC=C(S1)C=O</t>
  </si>
  <si>
    <t xml:space="preserve">VAUMDUIUEPIGHM-UHFFFAOYSA-N</t>
  </si>
  <si>
    <t xml:space="preserve">2,5-disubstituted thiophenes</t>
  </si>
  <si>
    <t xml:space="preserve">99-1</t>
  </si>
  <si>
    <t xml:space="preserve">1,1'-Carbonyldiimidazole</t>
  </si>
  <si>
    <t xml:space="preserve">HMDB0246922</t>
  </si>
  <si>
    <t xml:space="preserve">O=C(N1C=CN=C1)N1C=CN=C1</t>
  </si>
  <si>
    <t xml:space="preserve">PFKFTWBEEFSNDU-UHFFFAOYSA-N</t>
  </si>
  <si>
    <t xml:space="preserve">99-2</t>
  </si>
  <si>
    <t xml:space="preserve">1,2,4-Benzotriazin-3-amine 1-oxide</t>
  </si>
  <si>
    <t xml:space="preserve">HMDB0243493</t>
  </si>
  <si>
    <t xml:space="preserve">NC1=NC2=CC=CC=C2[N+]([O-])=N1</t>
  </si>
  <si>
    <t xml:space="preserve">BBRWGJRKAHEZBG-UHFFFAOYSA-N</t>
  </si>
  <si>
    <t xml:space="preserve">Aminotriazines</t>
  </si>
  <si>
    <t xml:space="preserve">100-1</t>
  </si>
  <si>
    <t xml:space="preserve">2-Methyl-3-hydroxy-5-formylpyridine-4-carboxylate</t>
  </si>
  <si>
    <t xml:space="preserve">HMDB0006954</t>
  </si>
  <si>
    <t xml:space="preserve">58601</t>
  </si>
  <si>
    <t xml:space="preserve">C06050</t>
  </si>
  <si>
    <t xml:space="preserve">28038</t>
  </si>
  <si>
    <t xml:space="preserve">440898</t>
  </si>
  <si>
    <t xml:space="preserve">CC1=NC=C(C=O)C(C(O)=O)=C1O</t>
  </si>
  <si>
    <t xml:space="preserve">JTWNWNJMNSJYDL-UHFFFAOYSA-N</t>
  </si>
  <si>
    <t xml:space="preserve">100-2</t>
  </si>
  <si>
    <t xml:space="preserve">2,4-Dihydroxy-2H-1,4-benzoxazin-3(4H)-one</t>
  </si>
  <si>
    <t xml:space="preserve">HMDB0033733</t>
  </si>
  <si>
    <t xml:space="preserve">64531</t>
  </si>
  <si>
    <t xml:space="preserve">C15770</t>
  </si>
  <si>
    <t xml:space="preserve">63558</t>
  </si>
  <si>
    <t xml:space="preserve">28495</t>
  </si>
  <si>
    <t xml:space="preserve">17359-54-5</t>
  </si>
  <si>
    <t xml:space="preserve">OC1OC2=CC=CC=C2N(O)C1=O</t>
  </si>
  <si>
    <t xml:space="preserve">COVOPZQGJGUPEY-UHFFFAOYSA-N</t>
  </si>
  <si>
    <t xml:space="preserve">Benzoxazines</t>
  </si>
  <si>
    <t xml:space="preserve">Benzoxazinones</t>
  </si>
  <si>
    <t xml:space="preserve">101-1</t>
  </si>
  <si>
    <t xml:space="preserve">Homovanillic acid</t>
  </si>
  <si>
    <t xml:space="preserve">HMDB0000118</t>
  </si>
  <si>
    <t xml:space="preserve">C05582</t>
  </si>
  <si>
    <t xml:space="preserve">545959</t>
  </si>
  <si>
    <t xml:space="preserve">1738</t>
  </si>
  <si>
    <t xml:space="preserve">306-08-1</t>
  </si>
  <si>
    <t xml:space="preserve">COC1=C(O)C=CC(CC(O)=O)=C1</t>
  </si>
  <si>
    <t xml:space="preserve">QRMZSPFSDQBLIX-UHFFFAOYSA-N</t>
  </si>
  <si>
    <t xml:space="preserve">101-2</t>
  </si>
  <si>
    <t xml:space="preserve">3,4-Dihydroxyhydrocinnamic acid</t>
  </si>
  <si>
    <t xml:space="preserve">HMDB0000423</t>
  </si>
  <si>
    <t xml:space="preserve">5412</t>
  </si>
  <si>
    <t xml:space="preserve">C10447</t>
  </si>
  <si>
    <t xml:space="preserve">48400</t>
  </si>
  <si>
    <t xml:space="preserve">348154</t>
  </si>
  <si>
    <t xml:space="preserve">1078-61-1</t>
  </si>
  <si>
    <t xml:space="preserve">OC(=O)CCC1=CC(O)=C(O)C=C1</t>
  </si>
  <si>
    <t xml:space="preserve">DZAUWHJDUNRCTF-UHFFFAOYSA-N</t>
  </si>
  <si>
    <t xml:space="preserve">101-3</t>
  </si>
  <si>
    <t xml:space="preserve">Hydroxyphenyllactic acid</t>
  </si>
  <si>
    <t xml:space="preserve">HMDB0000755</t>
  </si>
  <si>
    <t xml:space="preserve">34515</t>
  </si>
  <si>
    <t xml:space="preserve">C03672</t>
  </si>
  <si>
    <t xml:space="preserve">17385</t>
  </si>
  <si>
    <t xml:space="preserve">9378</t>
  </si>
  <si>
    <t xml:space="preserve">306-23-0</t>
  </si>
  <si>
    <t xml:space="preserve">OC(CC1=CC=C(O)C=C1)C(O)=O</t>
  </si>
  <si>
    <t xml:space="preserve">JVGVDSSUAVXRDY-UHFFFAOYSA-N</t>
  </si>
  <si>
    <t xml:space="preserve">102-1</t>
  </si>
  <si>
    <t xml:space="preserve">103-1</t>
  </si>
  <si>
    <t xml:space="preserve">104-1</t>
  </si>
  <si>
    <t xml:space="preserve">L-Phenylalanine</t>
  </si>
  <si>
    <t xml:space="preserve">HMDB0000159</t>
  </si>
  <si>
    <t xml:space="preserve">28</t>
  </si>
  <si>
    <t xml:space="preserve">C00079</t>
  </si>
  <si>
    <t xml:space="preserve">17295</t>
  </si>
  <si>
    <t xml:space="preserve">6140</t>
  </si>
  <si>
    <t xml:space="preserve">63-91-2</t>
  </si>
  <si>
    <t xml:space="preserve">N[C@@H](CC1=CC=CC=C1)C(O)=O</t>
  </si>
  <si>
    <t xml:space="preserve">COLNVLDHVKWLRT-QMMMGPOBSA-N</t>
  </si>
  <si>
    <t xml:space="preserve">104-2</t>
  </si>
  <si>
    <t xml:space="preserve">Benzocaine</t>
  </si>
  <si>
    <t xml:space="preserve">HMDB0004992</t>
  </si>
  <si>
    <t xml:space="preserve">3934</t>
  </si>
  <si>
    <t xml:space="preserve">C07527</t>
  </si>
  <si>
    <t xml:space="preserve">116735</t>
  </si>
  <si>
    <t xml:space="preserve">2337</t>
  </si>
  <si>
    <t xml:space="preserve">94-09-7</t>
  </si>
  <si>
    <t xml:space="preserve">CCOC(=O)C1=CC=C(N)C=C1</t>
  </si>
  <si>
    <t xml:space="preserve">BLFLLBZGZJTVJG-UHFFFAOYSA-N</t>
  </si>
  <si>
    <t xml:space="preserve">104-3</t>
  </si>
  <si>
    <t xml:space="preserve">4-Hydroxy-1-(3-pyridinyl)-1-butanone</t>
  </si>
  <si>
    <t xml:space="preserve">HMDB0062402</t>
  </si>
  <si>
    <t xml:space="preserve">73234</t>
  </si>
  <si>
    <t xml:space="preserve">C19565</t>
  </si>
  <si>
    <t xml:space="preserve">107819</t>
  </si>
  <si>
    <t xml:space="preserve">59578-62-0</t>
  </si>
  <si>
    <t xml:space="preserve">OCCCC(=O)C1=CN=CC=C1</t>
  </si>
  <si>
    <t xml:space="preserve">KTXUGZHJVRHQGP-UHFFFAOYSA-N</t>
  </si>
  <si>
    <t xml:space="preserve">105-1</t>
  </si>
  <si>
    <t xml:space="preserve">106-1</t>
  </si>
  <si>
    <t xml:space="preserve">107-1</t>
  </si>
  <si>
    <t xml:space="preserve">2-Nitrobenzoic acid</t>
  </si>
  <si>
    <t xml:space="preserve">HMDB0245255</t>
  </si>
  <si>
    <t xml:space="preserve">C16234</t>
  </si>
  <si>
    <t xml:space="preserve">25620</t>
  </si>
  <si>
    <t xml:space="preserve">OC(=O)C1=CC=CC=C1N(=O)=O</t>
  </si>
  <si>
    <t xml:space="preserve">SLAMLWHELXOEJZ-UHFFFAOYSA-N</t>
  </si>
  <si>
    <t xml:space="preserve">107-2</t>
  </si>
  <si>
    <t xml:space="preserve">4-Nitrobenzoic acid</t>
  </si>
  <si>
    <t xml:space="preserve">HMDB0246532</t>
  </si>
  <si>
    <t xml:space="preserve">72419</t>
  </si>
  <si>
    <t xml:space="preserve">C18625</t>
  </si>
  <si>
    <t xml:space="preserve">262350</t>
  </si>
  <si>
    <t xml:space="preserve">6108</t>
  </si>
  <si>
    <t xml:space="preserve">OC(=O)C1=CC=C(C=C1)N(=O)=O</t>
  </si>
  <si>
    <t xml:space="preserve">OTLNPYWUJOZPPA-UHFFFAOYSA-N</t>
  </si>
  <si>
    <t xml:space="preserve">107-3</t>
  </si>
  <si>
    <t xml:space="preserve">Quinolinic acid</t>
  </si>
  <si>
    <t xml:space="preserve">HMDB0000232</t>
  </si>
  <si>
    <t xml:space="preserve">330</t>
  </si>
  <si>
    <t xml:space="preserve">C03722</t>
  </si>
  <si>
    <t xml:space="preserve">16675</t>
  </si>
  <si>
    <t xml:space="preserve">1066</t>
  </si>
  <si>
    <t xml:space="preserve">89-00-9</t>
  </si>
  <si>
    <t xml:space="preserve">OC(=O)C1=CC=CN=C1C(O)=O</t>
  </si>
  <si>
    <t xml:space="preserve">GJAWHXHKYYXBSV-UHFFFAOYSA-N</t>
  </si>
  <si>
    <t xml:space="preserve">108-1</t>
  </si>
  <si>
    <t xml:space="preserve">(S)-5-Amino-3-oxohexanoate</t>
  </si>
  <si>
    <t xml:space="preserve">HMDB0012131</t>
  </si>
  <si>
    <t xml:space="preserve">35856</t>
  </si>
  <si>
    <t xml:space="preserve">LMFA01060173</t>
  </si>
  <si>
    <t xml:space="preserve">C03656</t>
  </si>
  <si>
    <t xml:space="preserve">27713</t>
  </si>
  <si>
    <t xml:space="preserve">440077</t>
  </si>
  <si>
    <t xml:space="preserve">19355-90-9</t>
  </si>
  <si>
    <t xml:space="preserve">C([C@@H](N)C)C(=O)CC(=O)O</t>
  </si>
  <si>
    <t xml:space="preserve">FAASBXNEOGMQHS-BYPYZUCNSA-N</t>
  </si>
  <si>
    <t xml:space="preserve">Medium-chain keto acids and derivatives</t>
  </si>
  <si>
    <t xml:space="preserve">108-2</t>
  </si>
  <si>
    <t xml:space="preserve">Allysine</t>
  </si>
  <si>
    <t xml:space="preserve">HMDB0001263</t>
  </si>
  <si>
    <t xml:space="preserve">63455</t>
  </si>
  <si>
    <t xml:space="preserve">C04076</t>
  </si>
  <si>
    <t xml:space="preserve">17917</t>
  </si>
  <si>
    <t xml:space="preserve">160603</t>
  </si>
  <si>
    <t xml:space="preserve">6665-12-9</t>
  </si>
  <si>
    <t xml:space="preserve">N[C@@H](CCCC=O)C(O)=O</t>
  </si>
  <si>
    <t xml:space="preserve">GFXYTQPNNXGICT-YFKPBYRVSA-N</t>
  </si>
  <si>
    <t xml:space="preserve">108-3</t>
  </si>
  <si>
    <t xml:space="preserve">4-Acetamidobutanoic acid</t>
  </si>
  <si>
    <t xml:space="preserve">HMDB0003681</t>
  </si>
  <si>
    <t xml:space="preserve">44719</t>
  </si>
  <si>
    <t xml:space="preserve">C02946</t>
  </si>
  <si>
    <t xml:space="preserve">17645</t>
  </si>
  <si>
    <t xml:space="preserve">18189</t>
  </si>
  <si>
    <t xml:space="preserve">3025-96-5</t>
  </si>
  <si>
    <t xml:space="preserve">CC(=O)NCCCC(O)=O</t>
  </si>
  <si>
    <t xml:space="preserve">UZTFMUBKZQVKLK-UHFFFAOYSA-N</t>
  </si>
  <si>
    <t xml:space="preserve">109-1</t>
  </si>
  <si>
    <t xml:space="preserve">110-1</t>
  </si>
  <si>
    <t xml:space="preserve">cis-3-Hexenyl pyruvate</t>
  </si>
  <si>
    <t xml:space="preserve">HMDB0038276</t>
  </si>
  <si>
    <t xml:space="preserve">93001</t>
  </si>
  <si>
    <t xml:space="preserve">5363291</t>
  </si>
  <si>
    <t xml:space="preserve">68133-76-6</t>
  </si>
  <si>
    <t xml:space="preserve">CC\C=C/CCOC(=O)C(C)=O</t>
  </si>
  <si>
    <t xml:space="preserve">LKNXTZXOBHAYSR-PLNGDYQASA-N</t>
  </si>
  <si>
    <t xml:space="preserve">Alpha-keto acids and derivatives</t>
  </si>
  <si>
    <t xml:space="preserve">110-2</t>
  </si>
  <si>
    <t xml:space="preserve">1,4-Ipomeadiol</t>
  </si>
  <si>
    <t xml:space="preserve">HMDB0030471</t>
  </si>
  <si>
    <t xml:space="preserve">87001</t>
  </si>
  <si>
    <t xml:space="preserve">166532</t>
  </si>
  <si>
    <t xml:space="preserve">13186539</t>
  </si>
  <si>
    <t xml:space="preserve">53011-73-7</t>
  </si>
  <si>
    <t xml:space="preserve">CC(O)CCC(O)C1=COC=C1</t>
  </si>
  <si>
    <t xml:space="preserve">AORCXYMSPVAQIZ-UHFFFAOYSA-N</t>
  </si>
  <si>
    <t xml:space="preserve">111-1</t>
  </si>
  <si>
    <t xml:space="preserve">112-1</t>
  </si>
  <si>
    <t xml:space="preserve">113-1</t>
  </si>
  <si>
    <t xml:space="preserve">Sulfanilic acid</t>
  </si>
  <si>
    <t xml:space="preserve">HMDB0258581</t>
  </si>
  <si>
    <t xml:space="preserve">C06335</t>
  </si>
  <si>
    <t xml:space="preserve">27500</t>
  </si>
  <si>
    <t xml:space="preserve">NC1=CC=C(C=C1)S(O)(=O)=O</t>
  </si>
  <si>
    <t xml:space="preserve">HVBSAKJJOYLTQU-UHFFFAOYSA-N</t>
  </si>
  <si>
    <t xml:space="preserve">113-2</t>
  </si>
  <si>
    <t xml:space="preserve">2-Aminobenzenesulfonic acid</t>
  </si>
  <si>
    <t xml:space="preserve">HMDB0304940</t>
  </si>
  <si>
    <t xml:space="preserve">C06333</t>
  </si>
  <si>
    <t xml:space="preserve">1015</t>
  </si>
  <si>
    <t xml:space="preserve">6926</t>
  </si>
  <si>
    <t xml:space="preserve">NC1=CC=CC=C1S(O)(=O)=O</t>
  </si>
  <si>
    <t xml:space="preserve">ZMCHBSMFKQYNKA-UHFFFAOYSA-N</t>
  </si>
  <si>
    <t xml:space="preserve">114-1</t>
  </si>
  <si>
    <t xml:space="preserve">115-1</t>
  </si>
  <si>
    <t xml:space="preserve">116-1</t>
  </si>
  <si>
    <t xml:space="preserve">117-1</t>
  </si>
  <si>
    <t xml:space="preserve">118-1</t>
  </si>
  <si>
    <t xml:space="preserve">119-1</t>
  </si>
  <si>
    <t xml:space="preserve">120-1</t>
  </si>
  <si>
    <t xml:space="preserve">121-1</t>
  </si>
  <si>
    <t xml:space="preserve">2,4-Dinitrophenylhydrazine</t>
  </si>
  <si>
    <t xml:space="preserve">HMDB0245463</t>
  </si>
  <si>
    <t xml:space="preserve">68962</t>
  </si>
  <si>
    <t xml:space="preserve">C11283</t>
  </si>
  <si>
    <t xml:space="preserve">3772977</t>
  </si>
  <si>
    <t xml:space="preserve">119-26-6</t>
  </si>
  <si>
    <t xml:space="preserve">NNC1=C(C=C(C=C1)N(=O)=O)N(=O)=O</t>
  </si>
  <si>
    <t xml:space="preserve">HORQAOAYAYGIBM-UHFFFAOYSA-N</t>
  </si>
  <si>
    <t xml:space="preserve">121-2</t>
  </si>
  <si>
    <t xml:space="preserve">Nitrofurazone</t>
  </si>
  <si>
    <t xml:space="preserve">HMDB0014480</t>
  </si>
  <si>
    <t xml:space="preserve">43276</t>
  </si>
  <si>
    <t xml:space="preserve">C08042</t>
  </si>
  <si>
    <t xml:space="preserve">170239</t>
  </si>
  <si>
    <t xml:space="preserve">5447130</t>
  </si>
  <si>
    <t xml:space="preserve">59-87-0</t>
  </si>
  <si>
    <t xml:space="preserve">NC(=O)N\N=C\C1=CC=C(O1)[N+]([O-])=O</t>
  </si>
  <si>
    <t xml:space="preserve">IAIWVQXQOWNYOU-FPYGCLRLSA-N</t>
  </si>
  <si>
    <t xml:space="preserve">Nitrofurans</t>
  </si>
  <si>
    <t xml:space="preserve">122-1</t>
  </si>
  <si>
    <t xml:space="preserve">Benzo[d]isoxazol-3-ol</t>
  </si>
  <si>
    <t xml:space="preserve">HMDB0249006</t>
  </si>
  <si>
    <t xml:space="preserve">453626</t>
  </si>
  <si>
    <t xml:space="preserve">210830</t>
  </si>
  <si>
    <t xml:space="preserve">O=C1NOC2=CC=CC=C12</t>
  </si>
  <si>
    <t xml:space="preserve">QLDQYRDCPNBPII-UHFFFAOYSA-N</t>
  </si>
  <si>
    <t xml:space="preserve">Benzisoxazoles</t>
  </si>
  <si>
    <t xml:space="preserve">Benzisoxazolones</t>
  </si>
  <si>
    <t xml:space="preserve">122-2</t>
  </si>
  <si>
    <t xml:space="preserve">2-Benzoxazolol</t>
  </si>
  <si>
    <t xml:space="preserve">HMDB0032931</t>
  </si>
  <si>
    <t xml:space="preserve">323676</t>
  </si>
  <si>
    <t xml:space="preserve">145233</t>
  </si>
  <si>
    <t xml:space="preserve">6043</t>
  </si>
  <si>
    <t xml:space="preserve">59-49-4</t>
  </si>
  <si>
    <t xml:space="preserve">O=C1NC2=CC=CC=C2O1</t>
  </si>
  <si>
    <t xml:space="preserve">ASSKVPFEZFQQNQ-UHFFFAOYSA-N</t>
  </si>
  <si>
    <t xml:space="preserve">123-1</t>
  </si>
  <si>
    <t xml:space="preserve">124-1</t>
  </si>
  <si>
    <t xml:space="preserve">125-1</t>
  </si>
  <si>
    <t xml:space="preserve">126-1</t>
  </si>
  <si>
    <t xml:space="preserve">127-1</t>
  </si>
  <si>
    <t xml:space="preserve">xi-p-Menth-3-ene</t>
  </si>
  <si>
    <t xml:space="preserve">HMDB0037213</t>
  </si>
  <si>
    <t xml:space="preserve">92180</t>
  </si>
  <si>
    <t xml:space="preserve">88834</t>
  </si>
  <si>
    <t xml:space="preserve">10369</t>
  </si>
  <si>
    <t xml:space="preserve">CC(C)C1=CCC(C)CC1</t>
  </si>
  <si>
    <t xml:space="preserve">YYCPSEFQLGXPCO-UHFFFAOYSA-N</t>
  </si>
  <si>
    <t xml:space="preserve">127-2</t>
  </si>
  <si>
    <t xml:space="preserve">(S)-3,7-Dimethyl-1,6-octadiene</t>
  </si>
  <si>
    <t xml:space="preserve">HMDB0061795</t>
  </si>
  <si>
    <t xml:space="preserve">317463</t>
  </si>
  <si>
    <t xml:space="preserve">10887985</t>
  </si>
  <si>
    <t xml:space="preserve">[H][C@](C)(CCC=C(C)C)C=C</t>
  </si>
  <si>
    <t xml:space="preserve">FUDNBFMOXDUIIE-SNVBAGLBSA-N</t>
  </si>
  <si>
    <t xml:space="preserve">127-3</t>
  </si>
  <si>
    <t xml:space="preserve">cis-Carane</t>
  </si>
  <si>
    <t xml:space="preserve">HMDB0061796</t>
  </si>
  <si>
    <t xml:space="preserve">984269</t>
  </si>
  <si>
    <t xml:space="preserve">35663</t>
  </si>
  <si>
    <t xml:space="preserve">79043</t>
  </si>
  <si>
    <t xml:space="preserve">CC1CCC2C(C1)C2(C)C</t>
  </si>
  <si>
    <t xml:space="preserve">BWRHOYDPVJPXMF-UHFFFAOYSA-N</t>
  </si>
  <si>
    <t xml:space="preserve">128-1</t>
  </si>
  <si>
    <t xml:space="preserve">129-1</t>
  </si>
  <si>
    <t xml:space="preserve">(2R)-2-(2-Hydroxyhydrazinyl)-3-sulfanylidenepropanoic acid</t>
  </si>
  <si>
    <t xml:space="preserve">HMDB0242764</t>
  </si>
  <si>
    <t xml:space="preserve">76081153</t>
  </si>
  <si>
    <t xml:space="preserve">ONNC(C=S)C(O)=O</t>
  </si>
  <si>
    <t xml:space="preserve">HOHKUZCJTSUTLE-UHFFFAOYSA-N</t>
  </si>
  <si>
    <t xml:space="preserve">129-2</t>
  </si>
  <si>
    <t xml:space="preserve">2-Amino-3-nitrososulfanylpropanoic acid</t>
  </si>
  <si>
    <t xml:space="preserve">HMDB0255660</t>
  </si>
  <si>
    <t xml:space="preserve">3359494</t>
  </si>
  <si>
    <t xml:space="preserve">NC(CSN=O)C(O)=O</t>
  </si>
  <si>
    <t xml:space="preserve">XOWVFANEOZMPKG-UHFFFAOYSA-N</t>
  </si>
  <si>
    <t xml:space="preserve">130-1</t>
  </si>
  <si>
    <t xml:space="preserve">131-1</t>
  </si>
  <si>
    <t xml:space="preserve">2-Propanoylthiazole</t>
  </si>
  <si>
    <t xml:space="preserve">HMDB0037168</t>
  </si>
  <si>
    <t xml:space="preserve">92136</t>
  </si>
  <si>
    <t xml:space="preserve">65288</t>
  </si>
  <si>
    <t xml:space="preserve">43039-98-1</t>
  </si>
  <si>
    <t xml:space="preserve">CCC(=O)C1=NC=CS1</t>
  </si>
  <si>
    <t xml:space="preserve">TYRAENAWSLPSLW-UHFFFAOYSA-N</t>
  </si>
  <si>
    <t xml:space="preserve">131-2</t>
  </si>
  <si>
    <t xml:space="preserve">1-(4-Methylthiazol-5-yl)ethanone</t>
  </si>
  <si>
    <t xml:space="preserve">HMDB0243796</t>
  </si>
  <si>
    <t xml:space="preserve">1876</t>
  </si>
  <si>
    <t xml:space="preserve">162292</t>
  </si>
  <si>
    <t xml:space="preserve">38205-55-9</t>
  </si>
  <si>
    <t xml:space="preserve">CC(=O)C1=C(C)N=CS1</t>
  </si>
  <si>
    <t xml:space="preserve">MBLHLRLBSIWLMG-UHFFFAOYSA-N</t>
  </si>
  <si>
    <t xml:space="preserve">131-3</t>
  </si>
  <si>
    <t xml:space="preserve">(6S)-5-Thia-1-azabicyclo[4.2.0]oct-2-en-8-one</t>
  </si>
  <si>
    <t xml:space="preserve">HMDB0257892</t>
  </si>
  <si>
    <t xml:space="preserve">18179538</t>
  </si>
  <si>
    <t xml:space="preserve">O=C1CC2SCC=CN12</t>
  </si>
  <si>
    <t xml:space="preserve">FZEVMBJWXHDLDB-UHFFFAOYSA-N</t>
  </si>
  <si>
    <t xml:space="preserve">132-1</t>
  </si>
  <si>
    <t xml:space="preserve">133-1</t>
  </si>
  <si>
    <t xml:space="preserve">134-1</t>
  </si>
  <si>
    <t xml:space="preserve">135-1</t>
  </si>
  <si>
    <t xml:space="preserve">136-1</t>
  </si>
  <si>
    <t xml:space="preserve">137-1</t>
  </si>
  <si>
    <t xml:space="preserve">138-1</t>
  </si>
  <si>
    <t xml:space="preserve">139-1</t>
  </si>
  <si>
    <t xml:space="preserve">140-1</t>
  </si>
  <si>
    <t xml:space="preserve">(S)-2-Aceto-2-hydroxybutanoic acid</t>
  </si>
  <si>
    <t xml:space="preserve">HMDB0006900</t>
  </si>
  <si>
    <t xml:space="preserve">58590</t>
  </si>
  <si>
    <t xml:space="preserve">LMFA01050383</t>
  </si>
  <si>
    <t xml:space="preserve">C06006</t>
  </si>
  <si>
    <t xml:space="preserve">27681</t>
  </si>
  <si>
    <t xml:space="preserve">440875</t>
  </si>
  <si>
    <t xml:space="preserve">113919-07-6</t>
  </si>
  <si>
    <t xml:space="preserve">C(=O)(O)[C@](C(C)=O)(O)CC</t>
  </si>
  <si>
    <t xml:space="preserve">VUQLHQFKACOHNZ-LURJTMIESA-N</t>
  </si>
  <si>
    <t xml:space="preserve">140-2</t>
  </si>
  <si>
    <t xml:space="preserve">Adipic acid, MG salt (1:1)</t>
  </si>
  <si>
    <t xml:space="preserve">HMDB0000448</t>
  </si>
  <si>
    <t xml:space="preserve">115</t>
  </si>
  <si>
    <t xml:space="preserve">LMFA01170048</t>
  </si>
  <si>
    <t xml:space="preserve">C06104</t>
  </si>
  <si>
    <t xml:space="preserve">30832</t>
  </si>
  <si>
    <t xml:space="preserve">196</t>
  </si>
  <si>
    <t xml:space="preserve">124-04-9</t>
  </si>
  <si>
    <t xml:space="preserve">C(CCCCC(=O)O)(=O)O</t>
  </si>
  <si>
    <t xml:space="preserve">WNLRTRBMVRJNCN-UHFFFAOYSA-N</t>
  </si>
  <si>
    <t xml:space="preserve">141-1</t>
  </si>
  <si>
    <t xml:space="preserve">142-1</t>
  </si>
  <si>
    <t xml:space="preserve">Salicyluric acid</t>
  </si>
  <si>
    <t xml:space="preserve">HMDB0000840</t>
  </si>
  <si>
    <t xml:space="preserve">617</t>
  </si>
  <si>
    <t xml:space="preserve">C07588</t>
  </si>
  <si>
    <t xml:space="preserve">9008</t>
  </si>
  <si>
    <t xml:space="preserve">10253</t>
  </si>
  <si>
    <t xml:space="preserve">487-54-7</t>
  </si>
  <si>
    <t xml:space="preserve">OC(=O)CNC(=O)C1=C(O)C=CC=C1</t>
  </si>
  <si>
    <t xml:space="preserve">ONJSZLXSECQROL-UHFFFAOYSA-N</t>
  </si>
  <si>
    <t xml:space="preserve">142-2</t>
  </si>
  <si>
    <t xml:space="preserve">Dopaquinone</t>
  </si>
  <si>
    <t xml:space="preserve">HMDB0001229</t>
  </si>
  <si>
    <t xml:space="preserve">354</t>
  </si>
  <si>
    <t xml:space="preserve">C00822</t>
  </si>
  <si>
    <t xml:space="preserve">16852</t>
  </si>
  <si>
    <t xml:space="preserve">439316</t>
  </si>
  <si>
    <t xml:space="preserve">4430-97-1</t>
  </si>
  <si>
    <t xml:space="preserve">N[C@@H](CC1=CC(=O)C(=O)C=C1)C(O)=O</t>
  </si>
  <si>
    <t xml:space="preserve">AHMIDUVKSGCHAU-LURJTMIESA-N</t>
  </si>
  <si>
    <t xml:space="preserve">142-3</t>
  </si>
  <si>
    <t xml:space="preserve">Leucodopachrome</t>
  </si>
  <si>
    <t xml:space="preserve">HMDB0004067</t>
  </si>
  <si>
    <t xml:space="preserve">58201</t>
  </si>
  <si>
    <t xml:space="preserve">C05604</t>
  </si>
  <si>
    <t xml:space="preserve">60872</t>
  </si>
  <si>
    <t xml:space="preserve">161255</t>
  </si>
  <si>
    <t xml:space="preserve">18766-67-1</t>
  </si>
  <si>
    <t xml:space="preserve">OC(=O)[C@@H]1CC2=CC(O)=C(O)C=C2N1</t>
  </si>
  <si>
    <t xml:space="preserve">JDWYRSDDJVCWPB-LURJTMIESA-N</t>
  </si>
  <si>
    <t xml:space="preserve">Indolecarboxylic acids and derivatives</t>
  </si>
  <si>
    <t xml:space="preserve">143-1</t>
  </si>
  <si>
    <t xml:space="preserve">144-1</t>
  </si>
  <si>
    <t xml:space="preserve">145-1</t>
  </si>
  <si>
    <t xml:space="preserve">4-Methyl-2-methylene-1-(1methylethylidene)-cyclohexane</t>
  </si>
  <si>
    <t xml:space="preserve">HMDB0061811</t>
  </si>
  <si>
    <t xml:space="preserve">88566</t>
  </si>
  <si>
    <t xml:space="preserve">564779</t>
  </si>
  <si>
    <t xml:space="preserve">CC1CCC(=C(C)C)C(=C)C1</t>
  </si>
  <si>
    <t xml:space="preserve">CDVJOIYHIIZJKX-UHFFFAOYSA-N</t>
  </si>
  <si>
    <t xml:space="preserve">145-2</t>
  </si>
  <si>
    <t xml:space="preserve">Cystophorene</t>
  </si>
  <si>
    <t xml:space="preserve">HMDB0030944</t>
  </si>
  <si>
    <t xml:space="preserve">87306</t>
  </si>
  <si>
    <t xml:space="preserve">5352367</t>
  </si>
  <si>
    <t xml:space="preserve">16356-11-9</t>
  </si>
  <si>
    <t xml:space="preserve">CCCCC\C=C/C=C/C=C</t>
  </si>
  <si>
    <t xml:space="preserve">JQQDKNVOSLONRS-STRRHFTISA-N</t>
  </si>
  <si>
    <t xml:space="preserve">145-3</t>
  </si>
  <si>
    <t xml:space="preserve">(E)-4,8-Dimethyl-1,3,7-nonatriene</t>
  </si>
  <si>
    <t xml:space="preserve">HMDB0035792</t>
  </si>
  <si>
    <t xml:space="preserve">91026</t>
  </si>
  <si>
    <t xml:space="preserve">LMFA11000037</t>
  </si>
  <si>
    <t xml:space="preserve">60158</t>
  </si>
  <si>
    <t xml:space="preserve">6427110</t>
  </si>
  <si>
    <t xml:space="preserve">19945-61-0</t>
  </si>
  <si>
    <t xml:space="preserve">C=C/C=C(\C)/CC/C=C(\C)/C</t>
  </si>
  <si>
    <t xml:space="preserve">LUKZREJJLWEWQM-YRNVUSSQSA-N</t>
  </si>
  <si>
    <t xml:space="preserve">146-1</t>
  </si>
  <si>
    <t xml:space="preserve">147-1</t>
  </si>
  <si>
    <t xml:space="preserve">148-1</t>
  </si>
  <si>
    <t xml:space="preserve">2-Dechloroethylifosfamide</t>
  </si>
  <si>
    <t xml:space="preserve">HMDB0013859</t>
  </si>
  <si>
    <t xml:space="preserve">71238</t>
  </si>
  <si>
    <t xml:space="preserve">C16555</t>
  </si>
  <si>
    <t xml:space="preserve">80562</t>
  </si>
  <si>
    <t xml:space="preserve">119105</t>
  </si>
  <si>
    <t xml:space="preserve">53459-55-5</t>
  </si>
  <si>
    <t xml:space="preserve">NP1(=O)OCCCN1CCCl</t>
  </si>
  <si>
    <t xml:space="preserve">ROGLJLJCDSTWBN-UHFFFAOYSA-N</t>
  </si>
  <si>
    <t xml:space="preserve">Organic phosphoramides</t>
  </si>
  <si>
    <t xml:space="preserve">148-2</t>
  </si>
  <si>
    <t xml:space="preserve">3-Dechloroethylifosfamide</t>
  </si>
  <si>
    <t xml:space="preserve">HMDB0013858</t>
  </si>
  <si>
    <t xml:space="preserve">71236</t>
  </si>
  <si>
    <t xml:space="preserve">C16550</t>
  </si>
  <si>
    <t xml:space="preserve">238115</t>
  </si>
  <si>
    <t xml:space="preserve">114861</t>
  </si>
  <si>
    <t xml:space="preserve">36761-83-8</t>
  </si>
  <si>
    <t xml:space="preserve">ClCCNP1(=O)NCCCO1</t>
  </si>
  <si>
    <t xml:space="preserve">DZKGMGPLDJOVCX-UHFFFAOYSA-N</t>
  </si>
  <si>
    <t xml:space="preserve">149-1</t>
  </si>
  <si>
    <t xml:space="preserve">150-1</t>
  </si>
  <si>
    <t xml:space="preserve">151-1</t>
  </si>
  <si>
    <t xml:space="preserve">S-2-Propenyl 1-propanesulfinothioate</t>
  </si>
  <si>
    <t xml:space="preserve">HMDB0032741</t>
  </si>
  <si>
    <t xml:space="preserve">88668</t>
  </si>
  <si>
    <t xml:space="preserve">20209224</t>
  </si>
  <si>
    <t xml:space="preserve">136516-42-2</t>
  </si>
  <si>
    <t xml:space="preserve">CCCS(=O)SCC=C</t>
  </si>
  <si>
    <t xml:space="preserve">HGCYYFWMWRCDLT-UHFFFAOYSA-N</t>
  </si>
  <si>
    <t xml:space="preserve">Thiosulfinic acid esters</t>
  </si>
  <si>
    <t xml:space="preserve">151-2</t>
  </si>
  <si>
    <t xml:space="preserve">R-1-Propenyl 1-propanesulfinothioate</t>
  </si>
  <si>
    <t xml:space="preserve">HMDB0032748</t>
  </si>
  <si>
    <t xml:space="preserve">88675</t>
  </si>
  <si>
    <t xml:space="preserve">14412548</t>
  </si>
  <si>
    <t xml:space="preserve">119052-98-1</t>
  </si>
  <si>
    <t xml:space="preserve">CCCS(=O)S\C=C/C</t>
  </si>
  <si>
    <t xml:space="preserve">XLVMWOFYTFNDKM-HYXAFXHYSA-N</t>
  </si>
  <si>
    <t xml:space="preserve">152-1</t>
  </si>
  <si>
    <t xml:space="preserve">(R)-Citronellal</t>
  </si>
  <si>
    <t xml:space="preserve">HMDB0035820</t>
  </si>
  <si>
    <t xml:space="preserve">41100</t>
  </si>
  <si>
    <t xml:space="preserve">LMPR0102010007</t>
  </si>
  <si>
    <t xml:space="preserve">C09848</t>
  </si>
  <si>
    <t xml:space="preserve">299</t>
  </si>
  <si>
    <t xml:space="preserve">75427</t>
  </si>
  <si>
    <t xml:space="preserve">2385-77-5</t>
  </si>
  <si>
    <t xml:space="preserve">[C@H](C)(CC=O)CC/C=C(\C)/C</t>
  </si>
  <si>
    <t xml:space="preserve">NEHNMFOYXAPHSD-SNVBAGLBSA-N</t>
  </si>
  <si>
    <t xml:space="preserve">152-2</t>
  </si>
  <si>
    <t xml:space="preserve">Geraniol</t>
  </si>
  <si>
    <t xml:space="preserve">HMDB0005812</t>
  </si>
  <si>
    <t xml:space="preserve">41105</t>
  </si>
  <si>
    <t xml:space="preserve">LMPR0102010010</t>
  </si>
  <si>
    <t xml:space="preserve">C09871</t>
  </si>
  <si>
    <t xml:space="preserve">29452</t>
  </si>
  <si>
    <t xml:space="preserve">643820</t>
  </si>
  <si>
    <t xml:space="preserve">106-25-2</t>
  </si>
  <si>
    <t xml:space="preserve">C(/C)(=C\CO)\CC/C=C(\C)/C</t>
  </si>
  <si>
    <t xml:space="preserve">GLZPCOQZEFWAFX-YFHOEESVSA-N</t>
  </si>
  <si>
    <t xml:space="preserve">152-3</t>
  </si>
  <si>
    <t xml:space="preserve">beta-Geraniol</t>
  </si>
  <si>
    <t xml:space="preserve">HMDB0035155</t>
  </si>
  <si>
    <t xml:space="preserve">41060</t>
  </si>
  <si>
    <t xml:space="preserve">LMPR0102010016</t>
  </si>
  <si>
    <t xml:space="preserve">C01500</t>
  </si>
  <si>
    <t xml:space="preserve">17447</t>
  </si>
  <si>
    <t xml:space="preserve">637566</t>
  </si>
  <si>
    <t xml:space="preserve">106-24-1</t>
  </si>
  <si>
    <t xml:space="preserve">OC/C=C(\C)/CC/C=C(\C)/C</t>
  </si>
  <si>
    <t xml:space="preserve">GLZPCOQZEFWAFX-JXMROGBWSA-N</t>
  </si>
  <si>
    <t xml:space="preserve">153-1</t>
  </si>
  <si>
    <t xml:space="preserve">154-1</t>
  </si>
  <si>
    <t xml:space="preserve">155-1</t>
  </si>
  <si>
    <t xml:space="preserve">156-1</t>
  </si>
  <si>
    <t xml:space="preserve">157-1</t>
  </si>
  <si>
    <t xml:space="preserve">158-1</t>
  </si>
  <si>
    <t xml:space="preserve">159-1</t>
  </si>
  <si>
    <t xml:space="preserve">160-1</t>
  </si>
  <si>
    <t xml:space="preserve">alpha-Irone</t>
  </si>
  <si>
    <t xml:space="preserve">HMDB0035631</t>
  </si>
  <si>
    <t xml:space="preserve">67886</t>
  </si>
  <si>
    <t xml:space="preserve">C09690</t>
  </si>
  <si>
    <t xml:space="preserve">10284</t>
  </si>
  <si>
    <t xml:space="preserve">5371002</t>
  </si>
  <si>
    <t xml:space="preserve">79-69-6</t>
  </si>
  <si>
    <t xml:space="preserve">CC1CC=C(C)C(\C=C\C(C)=O)C1(C)C</t>
  </si>
  <si>
    <t xml:space="preserve">JZQOJFLIJNRDHK-CMDGGOBGSA-N</t>
  </si>
  <si>
    <t xml:space="preserve">160-2</t>
  </si>
  <si>
    <t xml:space="preserve">4-(1,1,3,3-Tetramethylbutyl)-phenol</t>
  </si>
  <si>
    <t xml:space="preserve">HMDB0013825</t>
  </si>
  <si>
    <t xml:space="preserve">69877</t>
  </si>
  <si>
    <t xml:space="preserve">C14205</t>
  </si>
  <si>
    <t xml:space="preserve">8814</t>
  </si>
  <si>
    <t xml:space="preserve">140-66-9</t>
  </si>
  <si>
    <t xml:space="preserve">CC(C)(C)CC(C)(C)C1=CC=C(O)C=C1</t>
  </si>
  <si>
    <t xml:space="preserve">ISAVYTVYFVQUDY-UHFFFAOYSA-N</t>
  </si>
  <si>
    <t xml:space="preserve">160-3</t>
  </si>
  <si>
    <t xml:space="preserve">4-Octylphenol</t>
  </si>
  <si>
    <t xml:space="preserve">HMDB0246557</t>
  </si>
  <si>
    <t xml:space="preserve">69823</t>
  </si>
  <si>
    <t xml:space="preserve">C14132</t>
  </si>
  <si>
    <t xml:space="preserve">34432</t>
  </si>
  <si>
    <t xml:space="preserve">15730</t>
  </si>
  <si>
    <t xml:space="preserve">1806-26-4</t>
  </si>
  <si>
    <t xml:space="preserve">CCCCCCCCC1=CC=C(O)C=C1</t>
  </si>
  <si>
    <t xml:space="preserve">NTDQQZYCCIDJRK-UHFFFAOYSA-N</t>
  </si>
  <si>
    <t xml:space="preserve">1-hydroxy-2-unsubstituted benzenoids</t>
  </si>
  <si>
    <t xml:space="preserve">161-1</t>
  </si>
  <si>
    <t xml:space="preserve">162-1</t>
  </si>
  <si>
    <t xml:space="preserve">163-1</t>
  </si>
  <si>
    <t xml:space="preserve">3-Carbamoyl-2-phenylpropionic acid</t>
  </si>
  <si>
    <t xml:space="preserve">HMDB0060367</t>
  </si>
  <si>
    <t xml:space="preserve">C16591</t>
  </si>
  <si>
    <t xml:space="preserve">80589</t>
  </si>
  <si>
    <t xml:space="preserve">3025746</t>
  </si>
  <si>
    <t xml:space="preserve">OC(=N)OCC(C(O)=O)C1=CC=CC=C1</t>
  </si>
  <si>
    <t xml:space="preserve">AYRIVCKWIAUVOO-UHFFFAOYSA-N</t>
  </si>
  <si>
    <t xml:space="preserve">163-2</t>
  </si>
  <si>
    <t xml:space="preserve">Hydroxyphenylacetylglycine</t>
  </si>
  <si>
    <t xml:space="preserve">HMDB0000735</t>
  </si>
  <si>
    <t xml:space="preserve">5703</t>
  </si>
  <si>
    <t xml:space="preserve">C05596</t>
  </si>
  <si>
    <t xml:space="preserve">28595</t>
  </si>
  <si>
    <t xml:space="preserve">440732</t>
  </si>
  <si>
    <t xml:space="preserve">28116-23-6</t>
  </si>
  <si>
    <t xml:space="preserve">OC(=O)CNC(=O)CC1=CC=C(O)C=C1</t>
  </si>
  <si>
    <t xml:space="preserve">CPPDWYIPKSSNNM-UHFFFAOYSA-N</t>
  </si>
  <si>
    <t xml:space="preserve">164-1</t>
  </si>
  <si>
    <t xml:space="preserve">3-Chloro-2-methyldienelactone</t>
  </si>
  <si>
    <t xml:space="preserve">HMDB0060368</t>
  </si>
  <si>
    <t xml:space="preserve">72145</t>
  </si>
  <si>
    <t xml:space="preserve">C18309</t>
  </si>
  <si>
    <t xml:space="preserve">81660</t>
  </si>
  <si>
    <t xml:space="preserve">49787040</t>
  </si>
  <si>
    <t xml:space="preserve">CC1=C(Cl)\C(OC1=O)=C\C(O)=O</t>
  </si>
  <si>
    <t xml:space="preserve">OYEYSZZDZDSDCR-RQOWECAXSA-N</t>
  </si>
  <si>
    <t xml:space="preserve">164-2</t>
  </si>
  <si>
    <t xml:space="preserve">2-Chloro-5-methyl-cis-dienelactone</t>
  </si>
  <si>
    <t xml:space="preserve">HMDB0060345</t>
  </si>
  <si>
    <t xml:space="preserve">72140</t>
  </si>
  <si>
    <t xml:space="preserve">C18304</t>
  </si>
  <si>
    <t xml:space="preserve">81655</t>
  </si>
  <si>
    <t xml:space="preserve">9543297</t>
  </si>
  <si>
    <t xml:space="preserve">C\C(C(O)=O)=C1/OC(=O)C(Cl)=C1</t>
  </si>
  <si>
    <t xml:space="preserve">KPWMDCDICLSMLX-HWKANZROSA-N</t>
  </si>
  <si>
    <t xml:space="preserve">Dihydrofurans</t>
  </si>
  <si>
    <t xml:space="preserve">Furanones</t>
  </si>
  <si>
    <t xml:space="preserve">165-1</t>
  </si>
  <si>
    <t xml:space="preserve">166-1</t>
  </si>
  <si>
    <t xml:space="preserve">167-1</t>
  </si>
  <si>
    <t xml:space="preserve">7-Epijasmonic acid</t>
  </si>
  <si>
    <t xml:space="preserve">HMDB0303804</t>
  </si>
  <si>
    <t xml:space="preserve">LMFA02020003</t>
  </si>
  <si>
    <t xml:space="preserve">C16317</t>
  </si>
  <si>
    <t xml:space="preserve">18435</t>
  </si>
  <si>
    <t xml:space="preserve">7251183</t>
  </si>
  <si>
    <t xml:space="preserve">C(C[C@@H]1[C@H](C/C=C\CC)C(=O)CC1)(=O)O</t>
  </si>
  <si>
    <t xml:space="preserve">ZNJFBWYDHIGLCU-QKMQQOOLSA-N</t>
  </si>
  <si>
    <t xml:space="preserve">167-2</t>
  </si>
  <si>
    <t xml:space="preserve">Jasmonic acid</t>
  </si>
  <si>
    <t xml:space="preserve">HMDB0032797</t>
  </si>
  <si>
    <t xml:space="preserve">LMFA02020001</t>
  </si>
  <si>
    <t xml:space="preserve">C08491</t>
  </si>
  <si>
    <t xml:space="preserve">18292</t>
  </si>
  <si>
    <t xml:space="preserve">5281166</t>
  </si>
  <si>
    <t xml:space="preserve">59366-47-1</t>
  </si>
  <si>
    <t xml:space="preserve">C1C(=O)[C@H](C/C=C\CC)[C@@H](CC(O)=O)C1</t>
  </si>
  <si>
    <t xml:space="preserve">ZNJFBWYDHIGLCU-HWKXXFMVSA-N</t>
  </si>
  <si>
    <t xml:space="preserve">168-1</t>
  </si>
  <si>
    <t xml:space="preserve">169-1</t>
  </si>
  <si>
    <t xml:space="preserve">trans-Aconitic acid</t>
  </si>
  <si>
    <t xml:space="preserve">HMDB0000958</t>
  </si>
  <si>
    <t xml:space="preserve">3771</t>
  </si>
  <si>
    <t xml:space="preserve">C02341</t>
  </si>
  <si>
    <t xml:space="preserve">32806</t>
  </si>
  <si>
    <t xml:space="preserve">444212</t>
  </si>
  <si>
    <t xml:space="preserve">4023-65-8</t>
  </si>
  <si>
    <t xml:space="preserve">OC(=O)C\C(=C/C(O)=O)C(O)=O</t>
  </si>
  <si>
    <t xml:space="preserve">GTZCVFVGUGFEME-HNQUOIGGSA-N</t>
  </si>
  <si>
    <t xml:space="preserve">169-2</t>
  </si>
  <si>
    <t xml:space="preserve">Dehydroascorbic acid</t>
  </si>
  <si>
    <t xml:space="preserve">HMDB0001264</t>
  </si>
  <si>
    <t xml:space="preserve">342</t>
  </si>
  <si>
    <t xml:space="preserve">C05422</t>
  </si>
  <si>
    <t xml:space="preserve">27956</t>
  </si>
  <si>
    <t xml:space="preserve">440667</t>
  </si>
  <si>
    <t xml:space="preserve">490-83-5</t>
  </si>
  <si>
    <t xml:space="preserve">[H][C@@]1(OC(=O)C(=O)C1=O)[C@@H](O)CO</t>
  </si>
  <si>
    <t xml:space="preserve">SBJKKFFYIZUCET-JLAZNSOCSA-N</t>
  </si>
  <si>
    <t xml:space="preserve">169-3</t>
  </si>
  <si>
    <t xml:space="preserve">cis-Aconitic acid</t>
  </si>
  <si>
    <t xml:space="preserve">HMDB0000072</t>
  </si>
  <si>
    <t xml:space="preserve">3300</t>
  </si>
  <si>
    <t xml:space="preserve">C00417</t>
  </si>
  <si>
    <t xml:space="preserve">32805</t>
  </si>
  <si>
    <t xml:space="preserve">643757</t>
  </si>
  <si>
    <t xml:space="preserve">585-84-2</t>
  </si>
  <si>
    <t xml:space="preserve">OC(=O)C\C(=C\C(O)=O)C(O)=O</t>
  </si>
  <si>
    <t xml:space="preserve">GTZCVFVGUGFEME-IWQZZHSRSA-N</t>
  </si>
  <si>
    <t xml:space="preserve">170-1</t>
  </si>
  <si>
    <t xml:space="preserve">171-1</t>
  </si>
  <si>
    <t xml:space="preserve">172-1</t>
  </si>
  <si>
    <t xml:space="preserve">173-1</t>
  </si>
  <si>
    <t xml:space="preserve">174-1</t>
  </si>
  <si>
    <t xml:space="preserve">175-1</t>
  </si>
  <si>
    <t xml:space="preserve">Ethyl chloroformate</t>
  </si>
  <si>
    <t xml:space="preserve">HMDB0252038</t>
  </si>
  <si>
    <t xml:space="preserve">10928</t>
  </si>
  <si>
    <t xml:space="preserve">CCOC(Cl)=O</t>
  </si>
  <si>
    <t xml:space="preserve">RIFGWPKJUGCATF-UHFFFAOYSA-N</t>
  </si>
  <si>
    <t xml:space="preserve">175-2</t>
  </si>
  <si>
    <t xml:space="preserve">2-Chloropropionic acid</t>
  </si>
  <si>
    <t xml:space="preserve">HMDB0245078</t>
  </si>
  <si>
    <t xml:space="preserve">268814</t>
  </si>
  <si>
    <t xml:space="preserve">11734</t>
  </si>
  <si>
    <t xml:space="preserve">CC(Cl)C(O)=O</t>
  </si>
  <si>
    <t xml:space="preserve">GAWAYYRQGQZKCR-UHFFFAOYSA-N</t>
  </si>
  <si>
    <t xml:space="preserve">176-1</t>
  </si>
  <si>
    <t xml:space="preserve">4-Hydroxyphenylpyruvic acid</t>
  </si>
  <si>
    <t xml:space="preserve">HMDB0000707</t>
  </si>
  <si>
    <t xml:space="preserve">3315</t>
  </si>
  <si>
    <t xml:space="preserve">C01179</t>
  </si>
  <si>
    <t xml:space="preserve">15999</t>
  </si>
  <si>
    <t xml:space="preserve">979</t>
  </si>
  <si>
    <t xml:space="preserve">156-39-8</t>
  </si>
  <si>
    <t xml:space="preserve">OC(=O)C(=O)CC1=CC=C(O)C=C1</t>
  </si>
  <si>
    <t xml:space="preserve">KKADPXVIOXHVKN-UHFFFAOYSA-N</t>
  </si>
  <si>
    <t xml:space="preserve">Phenylpyruvic acid derivatives</t>
  </si>
  <si>
    <t xml:space="preserve">176-2</t>
  </si>
  <si>
    <t xml:space="preserve">Aspirin</t>
  </si>
  <si>
    <t xml:space="preserve">HMDB0001879</t>
  </si>
  <si>
    <t xml:space="preserve">346</t>
  </si>
  <si>
    <t xml:space="preserve">C01405</t>
  </si>
  <si>
    <t xml:space="preserve">15365</t>
  </si>
  <si>
    <t xml:space="preserve">2244</t>
  </si>
  <si>
    <t xml:space="preserve">50-78-2</t>
  </si>
  <si>
    <t xml:space="preserve">CC(=O)OC1=CC=CC=C1C(O)=O</t>
  </si>
  <si>
    <t xml:space="preserve">BSYNRYMUTXBXSQ-UHFFFAOYSA-N</t>
  </si>
  <si>
    <t xml:space="preserve">176-3</t>
  </si>
  <si>
    <t xml:space="preserve">Caffeic acid</t>
  </si>
  <si>
    <t xml:space="preserve">HMDB0001964</t>
  </si>
  <si>
    <t xml:space="preserve">3316</t>
  </si>
  <si>
    <t xml:space="preserve">C01481</t>
  </si>
  <si>
    <t xml:space="preserve">16433</t>
  </si>
  <si>
    <t xml:space="preserve">689043</t>
  </si>
  <si>
    <t xml:space="preserve">501-16-6</t>
  </si>
  <si>
    <t xml:space="preserve">OC(=O)\C=C\C1=CC(O)=C(O)C=C1</t>
  </si>
  <si>
    <t xml:space="preserve">QAIPRVGONGVQAS-DUXPYHPUSA-N</t>
  </si>
  <si>
    <t xml:space="preserve">177-1</t>
  </si>
  <si>
    <t xml:space="preserve">178-1</t>
  </si>
  <si>
    <t xml:space="preserve">179-1</t>
  </si>
  <si>
    <t xml:space="preserve">180-1</t>
  </si>
  <si>
    <t xml:space="preserve">181-1</t>
  </si>
  <si>
    <t xml:space="preserve">Creatinine bicarbonate</t>
  </si>
  <si>
    <t xml:space="preserve">HMDB0250527</t>
  </si>
  <si>
    <t xml:space="preserve">129641569</t>
  </si>
  <si>
    <t xml:space="preserve">CN1C(OC(O)=O)C(=O)N=C1N</t>
  </si>
  <si>
    <t xml:space="preserve">RUCQWBMWRCONLY-UHFFFAOYSA-N</t>
  </si>
  <si>
    <t xml:space="preserve">181-2</t>
  </si>
  <si>
    <t xml:space="preserve">Azaserine</t>
  </si>
  <si>
    <t xml:space="preserve">HMDB0248767</t>
  </si>
  <si>
    <t xml:space="preserve">5248314</t>
  </si>
  <si>
    <t xml:space="preserve">NC(COC(=O)C=[N+]=[N-])C(O)=O</t>
  </si>
  <si>
    <t xml:space="preserve">MZZGOOYMKKIOOX-UHFFFAOYSA-N</t>
  </si>
  <si>
    <t xml:space="preserve">182-1</t>
  </si>
  <si>
    <t xml:space="preserve">183-1</t>
  </si>
  <si>
    <t xml:space="preserve">184-1</t>
  </si>
  <si>
    <t xml:space="preserve">Furapyrimidone</t>
  </si>
  <si>
    <t xml:space="preserve">HMDB0252532</t>
  </si>
  <si>
    <t xml:space="preserve">114738</t>
  </si>
  <si>
    <t xml:space="preserve">[O-][N+](=O)C1=CC=C(O1)C=NN1CCCNC1=O</t>
  </si>
  <si>
    <t xml:space="preserve">NITMRIAAAKECLS-UHFFFAOYSA-N</t>
  </si>
  <si>
    <t xml:space="preserve">184-2</t>
  </si>
  <si>
    <t xml:space="preserve">Acefylline</t>
  </si>
  <si>
    <t xml:space="preserve">HMDB0247895</t>
  </si>
  <si>
    <t xml:space="preserve">330005</t>
  </si>
  <si>
    <t xml:space="preserve">69550</t>
  </si>
  <si>
    <t xml:space="preserve">CN1C2=C(N(CC(O)=O)C=N2)C(=O)N(C)C1=O</t>
  </si>
  <si>
    <t xml:space="preserve">HCYFGRCYSCXKNQ-UHFFFAOYSA-N</t>
  </si>
  <si>
    <t xml:space="preserve">185-1</t>
  </si>
  <si>
    <t xml:space="preserve">4-Nonylphenol</t>
  </si>
  <si>
    <t xml:space="preserve">HMDB0038982</t>
  </si>
  <si>
    <t xml:space="preserve">44536</t>
  </si>
  <si>
    <t xml:space="preserve">LMPK15010001</t>
  </si>
  <si>
    <t xml:space="preserve">C14550</t>
  </si>
  <si>
    <t xml:space="preserve">34440</t>
  </si>
  <si>
    <t xml:space="preserve">1752</t>
  </si>
  <si>
    <t xml:space="preserve">104-40-5</t>
  </si>
  <si>
    <t xml:space="preserve">C1C=C(CCCCCCCCC)C=CC=1O</t>
  </si>
  <si>
    <t xml:space="preserve">IGFHQQFPSIBGKE-UHFFFAOYSA-N</t>
  </si>
  <si>
    <t xml:space="preserve">185-2</t>
  </si>
  <si>
    <t xml:space="preserve">beta-Santalol</t>
  </si>
  <si>
    <t xml:space="preserve">HMDB0036716</t>
  </si>
  <si>
    <t xml:space="preserve">53559</t>
  </si>
  <si>
    <t xml:space="preserve">LMPR0103800003</t>
  </si>
  <si>
    <t xml:space="preserve">C09720</t>
  </si>
  <si>
    <t xml:space="preserve">10441</t>
  </si>
  <si>
    <t xml:space="preserve">6857681</t>
  </si>
  <si>
    <t xml:space="preserve">77-42-9</t>
  </si>
  <si>
    <t xml:space="preserve">C1C[C@@H]2C[C@H]1[C@@](C)(CC/C=C(\CO)/C)C2=C</t>
  </si>
  <si>
    <t xml:space="preserve">OJYKYCDSGQGTRJ-GQYWAMEOSA-N</t>
  </si>
  <si>
    <t xml:space="preserve">185-3</t>
  </si>
  <si>
    <t xml:space="preserve">2-trans,6-trans-Farnesal</t>
  </si>
  <si>
    <t xml:space="preserve">HMDB0060356</t>
  </si>
  <si>
    <t xml:space="preserve">44756</t>
  </si>
  <si>
    <t xml:space="preserve">LMPR0103010012</t>
  </si>
  <si>
    <t xml:space="preserve">C03461</t>
  </si>
  <si>
    <t xml:space="preserve">15894</t>
  </si>
  <si>
    <t xml:space="preserve">5280598</t>
  </si>
  <si>
    <t xml:space="preserve">502-67-0</t>
  </si>
  <si>
    <t xml:space="preserve">C(=C(/C)\CC/C=C(\C)/CC/C=C(\C)/C)/C=O</t>
  </si>
  <si>
    <t xml:space="preserve">YHRUHBBTQZKMEX-YFVJMOTDSA-N</t>
  </si>
  <si>
    <t xml:space="preserve">186-1</t>
  </si>
  <si>
    <t xml:space="preserve">187-1</t>
  </si>
  <si>
    <t xml:space="preserve">2,5-Dimethyl-1,4-dithiane-2,5-diol</t>
  </si>
  <si>
    <t xml:space="preserve">HMDB0033556</t>
  </si>
  <si>
    <t xml:space="preserve">89366</t>
  </si>
  <si>
    <t xml:space="preserve">62105</t>
  </si>
  <si>
    <t xml:space="preserve">55704-78-4</t>
  </si>
  <si>
    <t xml:space="preserve">CC1(O)CSC(C)(O)CS1</t>
  </si>
  <si>
    <t xml:space="preserve">NHKIYYMFGJBOTK-UHFFFAOYSA-N</t>
  </si>
  <si>
    <t xml:space="preserve">187-2</t>
  </si>
  <si>
    <t xml:space="preserve">Ethyl 2-(methyldithio)propionate</t>
  </si>
  <si>
    <t xml:space="preserve">HMDB0038896</t>
  </si>
  <si>
    <t xml:space="preserve">93515</t>
  </si>
  <si>
    <t xml:space="preserve">90972</t>
  </si>
  <si>
    <t xml:space="preserve">23747-43-5</t>
  </si>
  <si>
    <t xml:space="preserve">CCOC(=O)C(C)SSC</t>
  </si>
  <si>
    <t xml:space="preserve">DZOQRCWJNNRVPT-UHFFFAOYSA-N</t>
  </si>
  <si>
    <t xml:space="preserve">187-3</t>
  </si>
  <si>
    <t xml:space="preserve">2,4-Bis(methylthio)butyric acid</t>
  </si>
  <si>
    <t xml:space="preserve">HMDB0257800</t>
  </si>
  <si>
    <t xml:space="preserve">54110821</t>
  </si>
  <si>
    <t xml:space="preserve">CSCCC(SC)C(O)=O</t>
  </si>
  <si>
    <t xml:space="preserve">NGYPZWVLQXBEJM-UHFFFAOYSA-N</t>
  </si>
  <si>
    <t xml:space="preserve">188-1</t>
  </si>
  <si>
    <t xml:space="preserve">Methyl dihydrojasmonate</t>
  </si>
  <si>
    <t xml:space="preserve">HMDB0031740</t>
  </si>
  <si>
    <t xml:space="preserve">89741</t>
  </si>
  <si>
    <t xml:space="preserve">102861</t>
  </si>
  <si>
    <t xml:space="preserve">24851-98-7</t>
  </si>
  <si>
    <t xml:space="preserve">CCCCC[C@@H]1[C@@H](CC(=O)OC)CCC1=O</t>
  </si>
  <si>
    <t xml:space="preserve">KVWWIYGFBYDJQC-GHMZBOCLSA-N</t>
  </si>
  <si>
    <t xml:space="preserve">188-2</t>
  </si>
  <si>
    <t xml:space="preserve">Riesling acetal</t>
  </si>
  <si>
    <t xml:space="preserve">HMDB0037562</t>
  </si>
  <si>
    <t xml:space="preserve">92419</t>
  </si>
  <si>
    <t xml:space="preserve">156167</t>
  </si>
  <si>
    <t xml:space="preserve">57473083</t>
  </si>
  <si>
    <t xml:space="preserve">CC1=CC(O)CC(C)(C)C11CCC(C)(O)O1</t>
  </si>
  <si>
    <t xml:space="preserve">SJZGKFZUNCXEEW-UHFFFAOYSA-N</t>
  </si>
  <si>
    <t xml:space="preserve">Tetrahydrofurans</t>
  </si>
  <si>
    <t xml:space="preserve">188-3</t>
  </si>
  <si>
    <t xml:space="preserve">4,5-Dihydrovomifoliol</t>
  </si>
  <si>
    <t xml:space="preserve">HMDB0040615</t>
  </si>
  <si>
    <t xml:space="preserve">138758</t>
  </si>
  <si>
    <t xml:space="preserve">23136584</t>
  </si>
  <si>
    <t xml:space="preserve">142173-08-8</t>
  </si>
  <si>
    <t xml:space="preserve">CC(O)\C=C\C1(O)C(C)CC(=O)CC1(C)C</t>
  </si>
  <si>
    <t xml:space="preserve">IHDJYDVWNNFPHR-AATRIKPKSA-N</t>
  </si>
  <si>
    <t xml:space="preserve">189-1</t>
  </si>
  <si>
    <t xml:space="preserve">190-1</t>
  </si>
  <si>
    <t xml:space="preserve">Oxalosuccinic acid</t>
  </si>
  <si>
    <t xml:space="preserve">HMDB0003974</t>
  </si>
  <si>
    <t xml:space="preserve">C05379</t>
  </si>
  <si>
    <t xml:space="preserve">44712</t>
  </si>
  <si>
    <t xml:space="preserve">1948-82-9</t>
  </si>
  <si>
    <t xml:space="preserve">OC(=O)C[C@H](C(O)=O)C(=O)C(O)=O</t>
  </si>
  <si>
    <t xml:space="preserve">UFSCUAXLTRFIDC-REOHCLBHSA-N</t>
  </si>
  <si>
    <t xml:space="preserve">190-2</t>
  </si>
  <si>
    <t xml:space="preserve">oxalosuccinate</t>
  </si>
  <si>
    <t xml:space="preserve">HMDB0304444</t>
  </si>
  <si>
    <t xml:space="preserve">3326</t>
  </si>
  <si>
    <t xml:space="preserve">972</t>
  </si>
  <si>
    <t xml:space="preserve">OC(=O)CC(C(O)=O)C(=O)C(O)=O</t>
  </si>
  <si>
    <t xml:space="preserve">UFSCUAXLTRFIDC-UHFFFAOYSA-N</t>
  </si>
  <si>
    <t xml:space="preserve">191-1</t>
  </si>
  <si>
    <t xml:space="preserve">192-1</t>
  </si>
  <si>
    <t xml:space="preserve">193-1</t>
  </si>
  <si>
    <t xml:space="preserve">194-1</t>
  </si>
  <si>
    <t xml:space="preserve">195-1</t>
  </si>
  <si>
    <t xml:space="preserve">1-Naphthyl isothiocyanate</t>
  </si>
  <si>
    <t xml:space="preserve">HMDB0243961</t>
  </si>
  <si>
    <t xml:space="preserve">35455</t>
  </si>
  <si>
    <t xml:space="preserve">S=C=NC1=CC=CC2=CC=CC=C12</t>
  </si>
  <si>
    <t xml:space="preserve">JBDOSUUXMYMWQH-UHFFFAOYSA-N</t>
  </si>
  <si>
    <t xml:space="preserve">195-2</t>
  </si>
  <si>
    <t xml:space="preserve">2-Naphthyl isothiocyanate</t>
  </si>
  <si>
    <t xml:space="preserve">HMDB0245184</t>
  </si>
  <si>
    <t xml:space="preserve">74222</t>
  </si>
  <si>
    <t xml:space="preserve">S=C=NC1=CC2=CC=CC=C2C=C1</t>
  </si>
  <si>
    <t xml:space="preserve">RTMXPNYHPHIDHX-UHFFFAOYSA-N</t>
  </si>
  <si>
    <t xml:space="preserve">196-1</t>
  </si>
  <si>
    <t xml:space="preserve">(2E,4E,6Z)-2,4,6-Decatrienoic acid dehydropiperidide</t>
  </si>
  <si>
    <t xml:space="preserve">HMDB0033530</t>
  </si>
  <si>
    <t xml:space="preserve">89342</t>
  </si>
  <si>
    <t xml:space="preserve">131751449</t>
  </si>
  <si>
    <t xml:space="preserve">43110-67-4</t>
  </si>
  <si>
    <t xml:space="preserve">CCC\C=C\C=C/C=C/C(=O)N1CCCC=C1</t>
  </si>
  <si>
    <t xml:space="preserve">MYQLSFPPFMXWEZ-YXMVYKBFSA-N</t>
  </si>
  <si>
    <t xml:space="preserve">196-2</t>
  </si>
  <si>
    <t xml:space="preserve">Rotundine A</t>
  </si>
  <si>
    <t xml:space="preserve">HMDB0035271</t>
  </si>
  <si>
    <t xml:space="preserve">90578</t>
  </si>
  <si>
    <t xml:space="preserve">10728239</t>
  </si>
  <si>
    <t xml:space="preserve">CC(=O)CCC1CC2=C(C)N=CC=C2C1(C)C</t>
  </si>
  <si>
    <t xml:space="preserve">RNURUJBYBMGADV-UHFFFAOYSA-N</t>
  </si>
  <si>
    <t xml:space="preserve">Methylpyridines</t>
  </si>
  <si>
    <t xml:space="preserve">196-3</t>
  </si>
  <si>
    <t xml:space="preserve">alpha-Pyrrolidinovalerophenone</t>
  </si>
  <si>
    <t xml:space="preserve">HMDB0244638</t>
  </si>
  <si>
    <t xml:space="preserve">85222</t>
  </si>
  <si>
    <t xml:space="preserve">11148955</t>
  </si>
  <si>
    <t xml:space="preserve">CCCC(N1CCCC1)C(=O)C1=CC=CC=C1</t>
  </si>
  <si>
    <t xml:space="preserve">YDIIDRWHPFMLGR-UHFFFAOYSA-N</t>
  </si>
  <si>
    <t xml:space="preserve">197-1</t>
  </si>
  <si>
    <t xml:space="preserve">198-1</t>
  </si>
  <si>
    <t xml:space="preserve">199-1</t>
  </si>
  <si>
    <t xml:space="preserve">200-1</t>
  </si>
  <si>
    <t xml:space="preserve">201-1</t>
  </si>
  <si>
    <t xml:space="preserve">202-1</t>
  </si>
  <si>
    <t xml:space="preserve">203-1</t>
  </si>
  <si>
    <t xml:space="preserve">204-1</t>
  </si>
  <si>
    <t xml:space="preserve">Methylmalonic acid</t>
  </si>
  <si>
    <t xml:space="preserve">HMDB0000202</t>
  </si>
  <si>
    <t xml:space="preserve">3712</t>
  </si>
  <si>
    <t xml:space="preserve">LMFA01170118</t>
  </si>
  <si>
    <t xml:space="preserve">C02170</t>
  </si>
  <si>
    <t xml:space="preserve">30860</t>
  </si>
  <si>
    <t xml:space="preserve">487</t>
  </si>
  <si>
    <t xml:space="preserve">516-05-2</t>
  </si>
  <si>
    <t xml:space="preserve">C(=O)(O)C(C)C(=O)O</t>
  </si>
  <si>
    <t xml:space="preserve">ZIYVHBGGAOATLY-UHFFFAOYSA-N</t>
  </si>
  <si>
    <t xml:space="preserve">204-2</t>
  </si>
  <si>
    <t xml:space="preserve">Succinic acid</t>
  </si>
  <si>
    <t xml:space="preserve">HMDB0000254</t>
  </si>
  <si>
    <t xml:space="preserve">114</t>
  </si>
  <si>
    <t xml:space="preserve">LMFA01170043</t>
  </si>
  <si>
    <t xml:space="preserve">C00042</t>
  </si>
  <si>
    <t xml:space="preserve">15741</t>
  </si>
  <si>
    <t xml:space="preserve">1110</t>
  </si>
  <si>
    <t xml:space="preserve">110-15-6</t>
  </si>
  <si>
    <t xml:space="preserve">C(CCC(=O)O)(=O)O</t>
  </si>
  <si>
    <t xml:space="preserve">KDYFGRWQOYBRFD-UHFFFAOYSA-N</t>
  </si>
  <si>
    <t xml:space="preserve">205-1</t>
  </si>
  <si>
    <t xml:space="preserve">1,4,8,11-Tetraazacyclotetradecane</t>
  </si>
  <si>
    <t xml:space="preserve">HMDB0244225</t>
  </si>
  <si>
    <t xml:space="preserve">37401</t>
  </si>
  <si>
    <t xml:space="preserve">C1CNCCNCCCNCCNC1</t>
  </si>
  <si>
    <t xml:space="preserve">MDAXKAUIABOHTD-UHFFFAOYSA-N</t>
  </si>
  <si>
    <t xml:space="preserve">205-2</t>
  </si>
  <si>
    <t xml:space="preserve">1,4-Bis(3-aminopropyl)piperazine</t>
  </si>
  <si>
    <t xml:space="preserve">HMDB0247321</t>
  </si>
  <si>
    <t xml:space="preserve">81629</t>
  </si>
  <si>
    <t xml:space="preserve">NCCCN1CCN(CCCN)CC1</t>
  </si>
  <si>
    <t xml:space="preserve">XUSNPFGLKGCWGN-UHFFFAOYSA-N</t>
  </si>
  <si>
    <t xml:space="preserve">206-1</t>
  </si>
  <si>
    <t xml:space="preserve">207-1</t>
  </si>
  <si>
    <t xml:space="preserve">208-1</t>
  </si>
  <si>
    <t xml:space="preserve">209-1</t>
  </si>
  <si>
    <t xml:space="preserve">210-1</t>
  </si>
  <si>
    <t xml:space="preserve">2,4-Dihydroxy-6,7-dimethoxy-2H-1,4-benzoxazin-3(4H)-one</t>
  </si>
  <si>
    <t xml:space="preserve">HMDB0037548</t>
  </si>
  <si>
    <t xml:space="preserve">92405</t>
  </si>
  <si>
    <t xml:space="preserve">14893473</t>
  </si>
  <si>
    <t xml:space="preserve">67467-45-2</t>
  </si>
  <si>
    <t xml:space="preserve">COC1=C(OC)C=C2N(O)C(=O)C(O)OC2=C1</t>
  </si>
  <si>
    <t xml:space="preserve">VVCAIBZWJDJGJQ-UHFFFAOYSA-N</t>
  </si>
  <si>
    <t xml:space="preserve">210-2</t>
  </si>
  <si>
    <t xml:space="preserve">2,4-Dihydroxy-7,8-dimethoxy-2H-1,4-benzoxazin-3(4H)-one</t>
  </si>
  <si>
    <t xml:space="preserve">HMDB0037549</t>
  </si>
  <si>
    <t xml:space="preserve">92406</t>
  </si>
  <si>
    <t xml:space="preserve">11139254</t>
  </si>
  <si>
    <t xml:space="preserve">60032-92-0</t>
  </si>
  <si>
    <t xml:space="preserve">COC1=C(OC)C2=C(C=C1)N(O)C(=O)C(O)O2</t>
  </si>
  <si>
    <t xml:space="preserve">VBXNJRCPOOQJML-UHFFFAOYSA-N</t>
  </si>
  <si>
    <t xml:space="preserve">211-1</t>
  </si>
  <si>
    <t xml:space="preserve">212-1</t>
  </si>
  <si>
    <t xml:space="preserve">4-Hydroxy-benzenepropanedioate</t>
  </si>
  <si>
    <t xml:space="preserve">HMDB0059809</t>
  </si>
  <si>
    <t xml:space="preserve">89654</t>
  </si>
  <si>
    <t xml:space="preserve">66886955</t>
  </si>
  <si>
    <t xml:space="preserve">OC(=O)CC(=O)OC1=CC=C(O)C=C1</t>
  </si>
  <si>
    <t xml:space="preserve">LEOVWDSHDAVANJ-UHFFFAOYSA-N</t>
  </si>
  <si>
    <t xml:space="preserve">Phenol esters</t>
  </si>
  <si>
    <t xml:space="preserve">212-2</t>
  </si>
  <si>
    <t xml:space="preserve">3-Methoxy-4,5-methylenedioxybenzoic acid</t>
  </si>
  <si>
    <t xml:space="preserve">HMDB0030800</t>
  </si>
  <si>
    <t xml:space="preserve">87205</t>
  </si>
  <si>
    <t xml:space="preserve">607309</t>
  </si>
  <si>
    <t xml:space="preserve">526-34-1</t>
  </si>
  <si>
    <t xml:space="preserve">COC1=C2OCOC2=CC(=C1)C(O)=O</t>
  </si>
  <si>
    <t xml:space="preserve">AOHAPDDBNAPPIN-UHFFFAOYSA-N</t>
  </si>
  <si>
    <t xml:space="preserve">213-1</t>
  </si>
  <si>
    <t xml:space="preserve">214-1</t>
  </si>
  <si>
    <t xml:space="preserve">215-1</t>
  </si>
  <si>
    <t xml:space="preserve">216-1</t>
  </si>
  <si>
    <t xml:space="preserve">217-1</t>
  </si>
  <si>
    <t xml:space="preserve">Asparaginylglutamic acid</t>
  </si>
  <si>
    <t xml:space="preserve">HMDB0028730</t>
  </si>
  <si>
    <t xml:space="preserve">23845</t>
  </si>
  <si>
    <t xml:space="preserve">73824</t>
  </si>
  <si>
    <t xml:space="preserve">7019991</t>
  </si>
  <si>
    <t xml:space="preserve">20917-58-2</t>
  </si>
  <si>
    <t xml:space="preserve">N[C@@H](CC(N)=O)C(=O)N[C@@H](CCC(O)=O)C(O)=O</t>
  </si>
  <si>
    <t xml:space="preserve">IIFDPDVJAHQFSR-WHFBIAKZSA-N</t>
  </si>
  <si>
    <t xml:space="preserve">217-2</t>
  </si>
  <si>
    <t xml:space="preserve">Aspartyl-Glutamine</t>
  </si>
  <si>
    <t xml:space="preserve">HMDB0028751</t>
  </si>
  <si>
    <t xml:space="preserve">22169419</t>
  </si>
  <si>
    <t xml:space="preserve">NC(CC(O)=O)C(=O)NC(CCC(N)=O)C(O)=O</t>
  </si>
  <si>
    <t xml:space="preserve">GSMPSRPMQQDRIB-UHFFFAOYSA-N</t>
  </si>
  <si>
    <t xml:space="preserve">217-3</t>
  </si>
  <si>
    <t xml:space="preserve">Aspartyl-Gamma-glutamate</t>
  </si>
  <si>
    <t xml:space="preserve">HMDB0028767</t>
  </si>
  <si>
    <t xml:space="preserve">85681</t>
  </si>
  <si>
    <t xml:space="preserve">131750735</t>
  </si>
  <si>
    <t xml:space="preserve">NC(CCC(=O)NC(=O)C(N)CC(O)=O)C(O)=O</t>
  </si>
  <si>
    <t xml:space="preserve">BEVYCXGDASRHRK-UHFFFAOYSA-N</t>
  </si>
  <si>
    <t xml:space="preserve">218-1</t>
  </si>
  <si>
    <t xml:space="preserve">219-1</t>
  </si>
  <si>
    <t xml:space="preserve">220-1</t>
  </si>
  <si>
    <t xml:space="preserve">221-1</t>
  </si>
  <si>
    <t xml:space="preserve">222-1</t>
  </si>
  <si>
    <t xml:space="preserve">223-1</t>
  </si>
  <si>
    <t xml:space="preserve">224-1</t>
  </si>
  <si>
    <t xml:space="preserve">225-1</t>
  </si>
  <si>
    <t xml:space="preserve">226-1</t>
  </si>
  <si>
    <t xml:space="preserve">227-1</t>
  </si>
  <si>
    <t xml:space="preserve">2-cis,4-trans-xanthoxin</t>
  </si>
  <si>
    <t xml:space="preserve">HMDB0304066</t>
  </si>
  <si>
    <t xml:space="preserve">64102</t>
  </si>
  <si>
    <t xml:space="preserve">C13453</t>
  </si>
  <si>
    <t xml:space="preserve">32304</t>
  </si>
  <si>
    <t xml:space="preserve">5282222</t>
  </si>
  <si>
    <t xml:space="preserve">8066-07-7</t>
  </si>
  <si>
    <t xml:space="preserve">[H]\C(C=O)=C(/C)\C(\[H])=C(/[H])[C@@]12O[C@]1(C)C[C@@]([H])(O)CC2(C)C</t>
  </si>
  <si>
    <t xml:space="preserve">ZTALKMXOHWQNIA-TVBSHJCBSA-N</t>
  </si>
  <si>
    <t xml:space="preserve">227-2</t>
  </si>
  <si>
    <t xml:space="preserve">Piperdial</t>
  </si>
  <si>
    <t xml:space="preserve">HMDB0035798</t>
  </si>
  <si>
    <t xml:space="preserve">C09711</t>
  </si>
  <si>
    <t xml:space="preserve">3508640</t>
  </si>
  <si>
    <t xml:space="preserve">100288-36-6</t>
  </si>
  <si>
    <t xml:space="preserve">CC1C=C(C=O)C(C=O)C(O)C2CC(C)(C)CC12</t>
  </si>
  <si>
    <t xml:space="preserve">XXMVNOYKYOCDTD-UHFFFAOYSA-N</t>
  </si>
  <si>
    <t xml:space="preserve">227-3</t>
  </si>
  <si>
    <t xml:space="preserve">Gemfibrozil</t>
  </si>
  <si>
    <t xml:space="preserve">HMDB0015371</t>
  </si>
  <si>
    <t xml:space="preserve">3023</t>
  </si>
  <si>
    <t xml:space="preserve">C07020</t>
  </si>
  <si>
    <t xml:space="preserve">5296</t>
  </si>
  <si>
    <t xml:space="preserve">3463</t>
  </si>
  <si>
    <t xml:space="preserve">25812-30-0</t>
  </si>
  <si>
    <t xml:space="preserve">CC1=CC(OCCCC(C)(C)C(O)=O)=C(C)C=C1</t>
  </si>
  <si>
    <t xml:space="preserve">HEMJJKBWTPKOJG-UHFFFAOYSA-N</t>
  </si>
  <si>
    <t xml:space="preserve">228-1</t>
  </si>
  <si>
    <t xml:space="preserve">FA(14:0)</t>
  </si>
  <si>
    <t xml:space="preserve">HMDB0000806</t>
  </si>
  <si>
    <t xml:space="preserve">LMFA01010014</t>
  </si>
  <si>
    <t xml:space="preserve">C06424</t>
  </si>
  <si>
    <t xml:space="preserve">28875</t>
  </si>
  <si>
    <t xml:space="preserve">11005</t>
  </si>
  <si>
    <t xml:space="preserve">544-63-8</t>
  </si>
  <si>
    <t xml:space="preserve">C(CCCC)CCCCCCCCC(=O)O</t>
  </si>
  <si>
    <t xml:space="preserve">TUNFSRHWOTWDNC-UHFFFAOYSA-N</t>
  </si>
  <si>
    <t xml:space="preserve">228-2</t>
  </si>
  <si>
    <t xml:space="preserve">Hexyl octanoate</t>
  </si>
  <si>
    <t xml:space="preserve">HMDB0036216</t>
  </si>
  <si>
    <t xml:space="preserve">97183</t>
  </si>
  <si>
    <t xml:space="preserve">LMFA07010448</t>
  </si>
  <si>
    <t xml:space="preserve">C13798</t>
  </si>
  <si>
    <t xml:space="preserve">87490</t>
  </si>
  <si>
    <t xml:space="preserve">14228</t>
  </si>
  <si>
    <t xml:space="preserve">1117-55-1</t>
  </si>
  <si>
    <t xml:space="preserve">O=C(CCCCCCC)OCCCCCC</t>
  </si>
  <si>
    <t xml:space="preserve">PBGWNXWNCSSXCO-UHFFFAOYSA-N</t>
  </si>
  <si>
    <t xml:space="preserve">229-1</t>
  </si>
  <si>
    <t xml:space="preserve">230-1</t>
  </si>
  <si>
    <t xml:space="preserve">Pyrogallol-1-O-sulphate</t>
  </si>
  <si>
    <t xml:space="preserve">HMDB0060016</t>
  </si>
  <si>
    <t xml:space="preserve">89613</t>
  </si>
  <si>
    <t xml:space="preserve">54110629</t>
  </si>
  <si>
    <t xml:space="preserve">OC1=C(O)C(OS(O)(=O)=O)=CC=C1</t>
  </si>
  <si>
    <t xml:space="preserve">NGVLEQPKHLWZLN-UHFFFAOYSA-N</t>
  </si>
  <si>
    <t xml:space="preserve">230-2</t>
  </si>
  <si>
    <t xml:space="preserve">Pyrogallol-2-O-sulphate</t>
  </si>
  <si>
    <t xml:space="preserve">HMDB0060018</t>
  </si>
  <si>
    <t xml:space="preserve">89615</t>
  </si>
  <si>
    <t xml:space="preserve">92013661</t>
  </si>
  <si>
    <t xml:space="preserve">OC1=CC=CC(O)=C1OS(O)(=O)=O</t>
  </si>
  <si>
    <t xml:space="preserve">XADBYTWTQXSBAF-UHFFFAOYSA-N</t>
  </si>
  <si>
    <t xml:space="preserve">230-3</t>
  </si>
  <si>
    <t xml:space="preserve">5-Sulfoxymethylfurfural</t>
  </si>
  <si>
    <t xml:space="preserve">HMDB0059752</t>
  </si>
  <si>
    <t xml:space="preserve">435498</t>
  </si>
  <si>
    <t xml:space="preserve">154718</t>
  </si>
  <si>
    <t xml:space="preserve">OS(=O)(=O)OCC1=CC=C(O1)C=O</t>
  </si>
  <si>
    <t xml:space="preserve">WVMJEBICTINBRO-UHFFFAOYSA-N</t>
  </si>
  <si>
    <t xml:space="preserve">231-1</t>
  </si>
  <si>
    <t xml:space="preserve">232-1</t>
  </si>
  <si>
    <t xml:space="preserve">7Z,10Z-Hexadecadienoic acid</t>
  </si>
  <si>
    <t xml:space="preserve">HMDB0000477</t>
  </si>
  <si>
    <t xml:space="preserve">45809</t>
  </si>
  <si>
    <t xml:space="preserve">LMFA01030807</t>
  </si>
  <si>
    <t xml:space="preserve">86147</t>
  </si>
  <si>
    <t xml:space="preserve">13932172</t>
  </si>
  <si>
    <t xml:space="preserve">28290-73-5</t>
  </si>
  <si>
    <t xml:space="preserve">C(=O)(O)CCCCC/C=C\C/C=C\CCCCC</t>
  </si>
  <si>
    <t xml:space="preserve">WPJGPAAPSBVXNU-HZJYTTRNSA-N</t>
  </si>
  <si>
    <t xml:space="preserve">232-2</t>
  </si>
  <si>
    <t xml:space="preserve">Geranyl hexanoate</t>
  </si>
  <si>
    <t xml:space="preserve">HMDB0029351</t>
  </si>
  <si>
    <t xml:space="preserve">86212</t>
  </si>
  <si>
    <t xml:space="preserve">LMFA07010627</t>
  </si>
  <si>
    <t xml:space="preserve">12571389</t>
  </si>
  <si>
    <t xml:space="preserve">10032-02-7</t>
  </si>
  <si>
    <t xml:space="preserve">O=C(CCCCC)OC/C=C(/C)\CC/C=C(\C)/C</t>
  </si>
  <si>
    <t xml:space="preserve">ARVSCQUZFFSNKF-QINSGFPZSA-N</t>
  </si>
  <si>
    <t xml:space="preserve">Fatty alcohol esters</t>
  </si>
  <si>
    <t xml:space="preserve">232-3</t>
  </si>
  <si>
    <t xml:space="preserve">7-Hexadecynoic acid</t>
  </si>
  <si>
    <t xml:space="preserve">HMDB0247253</t>
  </si>
  <si>
    <t xml:space="preserve">35150</t>
  </si>
  <si>
    <t xml:space="preserve">LMFA01030496</t>
  </si>
  <si>
    <t xml:space="preserve">5312633</t>
  </si>
  <si>
    <t xml:space="preserve">C(CCCCCC#CCCCCCCCC)(=O)O</t>
  </si>
  <si>
    <t xml:space="preserve">XNLVWARRDCVUBL-UHFFFAOYSA-N</t>
  </si>
  <si>
    <t xml:space="preserve">233-1</t>
  </si>
  <si>
    <t xml:space="preserve">234-1</t>
  </si>
  <si>
    <t xml:space="preserve">butane-1,4-disulfonic acid</t>
  </si>
  <si>
    <t xml:space="preserve">HMDB0249454</t>
  </si>
  <si>
    <t xml:space="preserve">119022</t>
  </si>
  <si>
    <t xml:space="preserve">OS(=O)(=O)CCCCS(O)(=O)=O</t>
  </si>
  <si>
    <t xml:space="preserve">VERAMNDAEAQRGS-UHFFFAOYSA-N</t>
  </si>
  <si>
    <t xml:space="preserve">234-2</t>
  </si>
  <si>
    <t xml:space="preserve">Ethylene dimethanesulfonate</t>
  </si>
  <si>
    <t xml:space="preserve">HMDB0252069</t>
  </si>
  <si>
    <t xml:space="preserve">20796</t>
  </si>
  <si>
    <t xml:space="preserve">CS(=O)(=O)OCCOS(C)(=O)=O</t>
  </si>
  <si>
    <t xml:space="preserve">QSQFARNGNIZGAW-UHFFFAOYSA-N</t>
  </si>
  <si>
    <t xml:space="preserve">235-1</t>
  </si>
  <si>
    <t xml:space="preserve">236-1</t>
  </si>
  <si>
    <t xml:space="preserve">1,2,3,5,6,8-Hexathionane</t>
  </si>
  <si>
    <t xml:space="preserve">HMDB0039648</t>
  </si>
  <si>
    <t xml:space="preserve">94203</t>
  </si>
  <si>
    <t xml:space="preserve">173681</t>
  </si>
  <si>
    <t xml:space="preserve">6428768</t>
  </si>
  <si>
    <t xml:space="preserve">103439-80-1</t>
  </si>
  <si>
    <t xml:space="preserve">C1SCSSSCSS1</t>
  </si>
  <si>
    <t xml:space="preserve">ZOJCTXCAPUGEKN-UHFFFAOYSA-N</t>
  </si>
  <si>
    <t xml:space="preserve">236-2</t>
  </si>
  <si>
    <t xml:space="preserve">1,2,4,5,7,8-Hexathionane</t>
  </si>
  <si>
    <t xml:space="preserve">HMDB0039432</t>
  </si>
  <si>
    <t xml:space="preserve">94006</t>
  </si>
  <si>
    <t xml:space="preserve">173680</t>
  </si>
  <si>
    <t xml:space="preserve">580002</t>
  </si>
  <si>
    <t xml:space="preserve">81531-38-6</t>
  </si>
  <si>
    <t xml:space="preserve">C1SSCSSCSS1</t>
  </si>
  <si>
    <t xml:space="preserve">BWXFNUCDJXXBHX-UHFFFAOYSA-N</t>
  </si>
  <si>
    <t xml:space="preserve">237-1</t>
  </si>
  <si>
    <t xml:space="preserve">238-1</t>
  </si>
  <si>
    <t xml:space="preserve">239-1</t>
  </si>
  <si>
    <t xml:space="preserve">240-1</t>
  </si>
  <si>
    <t xml:space="preserve">241-1</t>
  </si>
  <si>
    <t xml:space="preserve">242-1</t>
  </si>
  <si>
    <t xml:space="preserve">243-1</t>
  </si>
  <si>
    <t xml:space="preserve">244-1</t>
  </si>
  <si>
    <t xml:space="preserve">245-1</t>
  </si>
  <si>
    <t xml:space="preserve">246-1</t>
  </si>
  <si>
    <t xml:space="preserve">247-1</t>
  </si>
  <si>
    <t xml:space="preserve">248-1</t>
  </si>
  <si>
    <t xml:space="preserve">Methylpyrogallol sulfate 3</t>
  </si>
  <si>
    <t xml:space="preserve">HMDB0240694</t>
  </si>
  <si>
    <t xml:space="preserve">133548</t>
  </si>
  <si>
    <t xml:space="preserve">122164840</t>
  </si>
  <si>
    <t xml:space="preserve">COC1=C(O)C=CC=C1OS(O)(=O)=O</t>
  </si>
  <si>
    <t xml:space="preserve">ARLAWMCEVZUXEY-UHFFFAOYSA-N</t>
  </si>
  <si>
    <t xml:space="preserve">248-2</t>
  </si>
  <si>
    <t xml:space="preserve">Methylpyrogallol sulfate 1</t>
  </si>
  <si>
    <t xml:space="preserve">HMDB0240699</t>
  </si>
  <si>
    <t xml:space="preserve">122397220</t>
  </si>
  <si>
    <t xml:space="preserve">COC1=CC=CC(O)=C1OS(O)(=O)=O</t>
  </si>
  <si>
    <t xml:space="preserve">DIWVSUYQBQOOTK-UHFFFAOYSA-N</t>
  </si>
  <si>
    <t xml:space="preserve">248-3</t>
  </si>
  <si>
    <t xml:space="preserve">Methylpyrogallol sulfate 2</t>
  </si>
  <si>
    <t xml:space="preserve">HMDB0240709</t>
  </si>
  <si>
    <t xml:space="preserve">176448</t>
  </si>
  <si>
    <t xml:space="preserve">122397221</t>
  </si>
  <si>
    <t xml:space="preserve">COC1=C(O)C(OS(O)(=O)=O)=CC=C1</t>
  </si>
  <si>
    <t xml:space="preserve">NTXOJWKIHIOUQN-UHFFFAOYSA-N</t>
  </si>
  <si>
    <t xml:space="preserve">249-1</t>
  </si>
  <si>
    <t xml:space="preserve">250-1</t>
  </si>
  <si>
    <t xml:space="preserve">Methyl 2E,4Z-hexadecadienoate</t>
  </si>
  <si>
    <t xml:space="preserve">HMDB0031050</t>
  </si>
  <si>
    <t xml:space="preserve">87374</t>
  </si>
  <si>
    <t xml:space="preserve">172000</t>
  </si>
  <si>
    <t xml:space="preserve">131751123</t>
  </si>
  <si>
    <t xml:space="preserve">54977-89-8</t>
  </si>
  <si>
    <t xml:space="preserve">CCCCCCCCCCC\C=C/C=C/C(=O)OC</t>
  </si>
  <si>
    <t xml:space="preserve">ACUIYXOOZPHRRA-DHEZTBRESA-N</t>
  </si>
  <si>
    <t xml:space="preserve">250-2</t>
  </si>
  <si>
    <t xml:space="preserve">cis-Linoleic acid</t>
  </si>
  <si>
    <t xml:space="preserve">HMDB0250290</t>
  </si>
  <si>
    <t xml:space="preserve">834138</t>
  </si>
  <si>
    <t xml:space="preserve">LMFA01031075</t>
  </si>
  <si>
    <t xml:space="preserve">54029176</t>
  </si>
  <si>
    <t xml:space="preserve">C(CCCCCCCC=CCC=CCCCC)(=O)O</t>
  </si>
  <si>
    <t xml:space="preserve">LEIXEEFBKOMCEQ-UHFFFAOYSA-N</t>
  </si>
  <si>
    <t xml:space="preserve">250-3</t>
  </si>
  <si>
    <t xml:space="preserve">Ethyl 3,7,11-trimethyldodeca-2,4-dienoate</t>
  </si>
  <si>
    <t xml:space="preserve">HMDB0252032</t>
  </si>
  <si>
    <t xml:space="preserve">38759</t>
  </si>
  <si>
    <t xml:space="preserve">CCOC(=O)C=C(C)C=CCC(C)CCCC(C)C</t>
  </si>
  <si>
    <t xml:space="preserve">FYQGBXGJFWXIPP-UHFFFAOYSA-N</t>
  </si>
  <si>
    <t xml:space="preserve">251-1</t>
  </si>
  <si>
    <t xml:space="preserve">252-1</t>
  </si>
  <si>
    <t xml:space="preserve">Adenosine</t>
  </si>
  <si>
    <t xml:space="preserve">HMDB0000050</t>
  </si>
  <si>
    <t xml:space="preserve">86</t>
  </si>
  <si>
    <t xml:space="preserve">C00212</t>
  </si>
  <si>
    <t xml:space="preserve">16335</t>
  </si>
  <si>
    <t xml:space="preserve">60961</t>
  </si>
  <si>
    <t xml:space="preserve">58-61-7</t>
  </si>
  <si>
    <t xml:space="preserve">NC1=C2N=CN([C@@H]3O[C@H](CO)[C@@H](O)[C@H]3O)C2=NC=N1</t>
  </si>
  <si>
    <t xml:space="preserve">OIRDTQYFTABQOQ-KQYNXXCUSA-N</t>
  </si>
  <si>
    <t xml:space="preserve">252-2</t>
  </si>
  <si>
    <t xml:space="preserve">Deoxyguanosine</t>
  </si>
  <si>
    <t xml:space="preserve">HMDB0000085</t>
  </si>
  <si>
    <t xml:space="preserve">3395</t>
  </si>
  <si>
    <t xml:space="preserve">C00330</t>
  </si>
  <si>
    <t xml:space="preserve">17172</t>
  </si>
  <si>
    <t xml:space="preserve">187790</t>
  </si>
  <si>
    <t xml:space="preserve">961-07-9</t>
  </si>
  <si>
    <t xml:space="preserve">NC1=NC2=C(N=CN2[C@H]2C[C@H](O)[C@@H](CO)O2)C(=O)N1</t>
  </si>
  <si>
    <t xml:space="preserve">YKBGVTZYEHREMT-KVQBGUIXSA-N</t>
  </si>
  <si>
    <t xml:space="preserve">Purine 2'-deoxyribonucleosides</t>
  </si>
  <si>
    <t xml:space="preserve">252-3</t>
  </si>
  <si>
    <t xml:space="preserve">Vidarabine</t>
  </si>
  <si>
    <t xml:space="preserve">HMDB0014340</t>
  </si>
  <si>
    <t xml:space="preserve">3020</t>
  </si>
  <si>
    <t xml:space="preserve">C07195</t>
  </si>
  <si>
    <t xml:space="preserve">45327</t>
  </si>
  <si>
    <t xml:space="preserve">21704</t>
  </si>
  <si>
    <t xml:space="preserve">5536-17-4</t>
  </si>
  <si>
    <t xml:space="preserve">NC1=NC=NC2=C1N=CN2[C@@H]1O[C@H](CO)[C@@H](O)[C@@H]1O</t>
  </si>
  <si>
    <t xml:space="preserve">OIRDTQYFTABQOQ-UHTZMRCNSA-N</t>
  </si>
  <si>
    <t xml:space="preserve">253-1</t>
  </si>
  <si>
    <t xml:space="preserve">Lysylvaline</t>
  </si>
  <si>
    <t xml:space="preserve">HMDB0028964</t>
  </si>
  <si>
    <t xml:space="preserve">23853</t>
  </si>
  <si>
    <t xml:space="preserve">73607</t>
  </si>
  <si>
    <t xml:space="preserve">6992341</t>
  </si>
  <si>
    <t xml:space="preserve">20556-11-0</t>
  </si>
  <si>
    <t xml:space="preserve">CC(C)[C@H](NC(=O)[C@@H](N)CCCCN)C(O)=O</t>
  </si>
  <si>
    <t xml:space="preserve">YQAIUOWPSUOINN-IUCAKERBSA-N</t>
  </si>
  <si>
    <t xml:space="preserve">253-2</t>
  </si>
  <si>
    <t xml:space="preserve">Valyllysine</t>
  </si>
  <si>
    <t xml:space="preserve">HMDB0029132</t>
  </si>
  <si>
    <t xml:space="preserve">455651</t>
  </si>
  <si>
    <t xml:space="preserve">75014</t>
  </si>
  <si>
    <t xml:space="preserve">168058</t>
  </si>
  <si>
    <t xml:space="preserve">22677-62-9</t>
  </si>
  <si>
    <t xml:space="preserve">CC(C)[C@H](N)C(=O)N[C@@H](CCCCN)C(O)=O</t>
  </si>
  <si>
    <t xml:space="preserve">JKHXYJKMNSSFFL-IUCAKERBSA-N</t>
  </si>
  <si>
    <t xml:space="preserve">254-1</t>
  </si>
  <si>
    <t xml:space="preserve">3-Phenylpropionic acid sulfate</t>
  </si>
  <si>
    <t xml:space="preserve">HMDB0240372</t>
  </si>
  <si>
    <t xml:space="preserve">149433375</t>
  </si>
  <si>
    <t xml:space="preserve">2177304-64-0</t>
  </si>
  <si>
    <t xml:space="preserve">OS(=O)(=O)OC(=O)CCC1=CC=CC=C1</t>
  </si>
  <si>
    <t xml:space="preserve">LRJRUWWLXQZANS-UHFFFAOYSA-N</t>
  </si>
  <si>
    <t xml:space="preserve">254-2</t>
  </si>
  <si>
    <t xml:space="preserve">4-Allylpyrocatechol sulfate</t>
  </si>
  <si>
    <t xml:space="preserve">HMDB0304934</t>
  </si>
  <si>
    <t xml:space="preserve">155342006</t>
  </si>
  <si>
    <t xml:space="preserve">OC1=C(OS(O)(=O)=O)C=CC(CC=C)=C1</t>
  </si>
  <si>
    <t xml:space="preserve">USWXDXYEVISELK-UHFFFAOYSA-N</t>
  </si>
  <si>
    <t xml:space="preserve">255-1</t>
  </si>
  <si>
    <t xml:space="preserve">256-1</t>
  </si>
  <si>
    <t xml:space="preserve">257-1</t>
  </si>
  <si>
    <t xml:space="preserve">258-1</t>
  </si>
  <si>
    <t xml:space="preserve">2-Naphthol sulfate</t>
  </si>
  <si>
    <t xml:space="preserve">HMDB0242152</t>
  </si>
  <si>
    <t xml:space="preserve">167215</t>
  </si>
  <si>
    <t xml:space="preserve">74428</t>
  </si>
  <si>
    <t xml:space="preserve">OS(=O)(=O)OC1=CC2=CC=CC=C2C=C1</t>
  </si>
  <si>
    <t xml:space="preserve">HXEZIDSFDHEIIQ-UHFFFAOYSA-N</t>
  </si>
  <si>
    <t xml:space="preserve">258-2</t>
  </si>
  <si>
    <t xml:space="preserve">1-Naphthyl sulfate</t>
  </si>
  <si>
    <t xml:space="preserve">HMDB0243963</t>
  </si>
  <si>
    <t xml:space="preserve">114775</t>
  </si>
  <si>
    <t xml:space="preserve">OS(=O)(=O)OC1=CC=CC2=CC=CC=C12</t>
  </si>
  <si>
    <t xml:space="preserve">FVMQKVNBLZGWAH-UHFFFAOYSA-N</t>
  </si>
  <si>
    <t xml:space="preserve">259-1</t>
  </si>
  <si>
    <t xml:space="preserve">260-1</t>
  </si>
  <si>
    <t xml:space="preserve">261-1</t>
  </si>
  <si>
    <t xml:space="preserve">262-1</t>
  </si>
  <si>
    <t xml:space="preserve">263-1</t>
  </si>
  <si>
    <t xml:space="preserve">264-1</t>
  </si>
  <si>
    <t xml:space="preserve">265-1</t>
  </si>
  <si>
    <t xml:space="preserve">Dimethylmyleran</t>
  </si>
  <si>
    <t xml:space="preserve">HMDB0251403</t>
  </si>
  <si>
    <t xml:space="preserve">67107</t>
  </si>
  <si>
    <t xml:space="preserve">5937</t>
  </si>
  <si>
    <t xml:space="preserve">CC(CCC(C)OS(C)(=O)=O)OS(C)(=O)=O</t>
  </si>
  <si>
    <t xml:space="preserve">JDZNTUQRMDAIRO-UHFFFAOYSA-N</t>
  </si>
  <si>
    <t xml:space="preserve">265-2</t>
  </si>
  <si>
    <t xml:space="preserve">1,6-Hexanediol, dimethanesulfonate</t>
  </si>
  <si>
    <t xml:space="preserve">HMDB0253151</t>
  </si>
  <si>
    <t xml:space="preserve">145735</t>
  </si>
  <si>
    <t xml:space="preserve">CS(=O)(=O)OCCCCCCOS(C)(=O)=O</t>
  </si>
  <si>
    <t xml:space="preserve">WZOJEWBBWCYINS-UHFFFAOYSA-N</t>
  </si>
  <si>
    <t xml:space="preserve">266-1</t>
  </si>
  <si>
    <t xml:space="preserve">267-1</t>
  </si>
  <si>
    <t xml:space="preserve">268-1</t>
  </si>
  <si>
    <t xml:space="preserve">269-1</t>
  </si>
  <si>
    <t xml:space="preserve">4-Hydroxy-8-methoxy-2H-furo[2,3-h]-1-benzopyran-2-one</t>
  </si>
  <si>
    <t xml:space="preserve">HMDB0032659</t>
  </si>
  <si>
    <t xml:space="preserve">88600</t>
  </si>
  <si>
    <t xml:space="preserve">174185</t>
  </si>
  <si>
    <t xml:space="preserve">85748760</t>
  </si>
  <si>
    <t xml:space="preserve">196503-96-5</t>
  </si>
  <si>
    <t xml:space="preserve">COC1=CC2=C(O1)C=CC1=C2OC(=O)C=C1O</t>
  </si>
  <si>
    <t xml:space="preserve">CJAULYJMFDTPBE-UHFFFAOYSA-N</t>
  </si>
  <si>
    <t xml:space="preserve">269-2</t>
  </si>
  <si>
    <t xml:space="preserve">9-Hydroxy-4-methoxypsoralen</t>
  </si>
  <si>
    <t xml:space="preserve">HMDB0036628</t>
  </si>
  <si>
    <t xml:space="preserve">91681</t>
  </si>
  <si>
    <t xml:space="preserve">3083726</t>
  </si>
  <si>
    <t xml:space="preserve">1603-47-0</t>
  </si>
  <si>
    <t xml:space="preserve">COC1=C2C=CC(=O)OC2=C(O)C2=C1C=CO2</t>
  </si>
  <si>
    <t xml:space="preserve">MVJHUMZXIJPVHV-UHFFFAOYSA-N</t>
  </si>
  <si>
    <t xml:space="preserve">270-1</t>
  </si>
  <si>
    <t xml:space="preserve">271-1</t>
  </si>
  <si>
    <t xml:space="preserve">272-1</t>
  </si>
  <si>
    <t xml:space="preserve">273-1</t>
  </si>
  <si>
    <t xml:space="preserve">(Z,Z)-1,8,11-Heptadecatriene</t>
  </si>
  <si>
    <t xml:space="preserve">HMDB0302479</t>
  </si>
  <si>
    <t xml:space="preserve">5352709</t>
  </si>
  <si>
    <t xml:space="preserve">CCCCC\C=C/C\C=C/CCCCCC=C</t>
  </si>
  <si>
    <t xml:space="preserve">XFZBIINLEPBMDY-NERFDCTISA-N</t>
  </si>
  <si>
    <t xml:space="preserve">273-2</t>
  </si>
  <si>
    <t xml:space="preserve">(5Z,8Z)-1,5,8-Heptadecatriene</t>
  </si>
  <si>
    <t xml:space="preserve">HMDB0041082</t>
  </si>
  <si>
    <t xml:space="preserve">95515</t>
  </si>
  <si>
    <t xml:space="preserve">101631554</t>
  </si>
  <si>
    <t xml:space="preserve">145297-96-7</t>
  </si>
  <si>
    <t xml:space="preserve">CCCCCCCC\C=C\C\C=C\CCC=C</t>
  </si>
  <si>
    <t xml:space="preserve">MYHCPULNJBZGRM-HFPDKQRBSA-N</t>
  </si>
  <si>
    <t xml:space="preserve">274-1</t>
  </si>
  <si>
    <t xml:space="preserve">3-[3-(Sulfooxy)phenyl]propanoic acid</t>
  </si>
  <si>
    <t xml:space="preserve">HMDB0094710</t>
  </si>
  <si>
    <t xml:space="preserve">64414</t>
  </si>
  <si>
    <t xml:space="preserve">187488</t>
  </si>
  <si>
    <t xml:space="preserve">OC(=O)CCC1=CC(OS(O)(=O)=O)=CC=C1</t>
  </si>
  <si>
    <t xml:space="preserve">IQWLPDPKVFZEOK-UHFFFAOYSA-N</t>
  </si>
  <si>
    <t xml:space="preserve">274-2</t>
  </si>
  <si>
    <t xml:space="preserve">Ethylparaben sufate</t>
  </si>
  <si>
    <t xml:space="preserve">HMDB0240706</t>
  </si>
  <si>
    <t xml:space="preserve">133704</t>
  </si>
  <si>
    <t xml:space="preserve">22908099</t>
  </si>
  <si>
    <t xml:space="preserve">CCOC(=O)C1=CC=C(OS(O)(=O)=O)C=C1</t>
  </si>
  <si>
    <t xml:space="preserve">LJXYMXIWXRFOHR-UHFFFAOYSA-N</t>
  </si>
  <si>
    <t xml:space="preserve">274-3</t>
  </si>
  <si>
    <t xml:space="preserve">3-[4-(sulfooxy)phenyl]propanoic acid</t>
  </si>
  <si>
    <t xml:space="preserve">HMDB0125171</t>
  </si>
  <si>
    <t xml:space="preserve">49844036</t>
  </si>
  <si>
    <t xml:space="preserve">OC(=O)CCC1=CC=C(OS(O)(=O)=O)C=C1</t>
  </si>
  <si>
    <t xml:space="preserve">YKAVCSNFDHAGEG-UHFFFAOYSA-N</t>
  </si>
  <si>
    <t xml:space="preserve">275-1</t>
  </si>
  <si>
    <t xml:space="preserve">276-1</t>
  </si>
  <si>
    <t xml:space="preserve">FA(18:1)</t>
  </si>
  <si>
    <t xml:space="preserve">HMDB0000207</t>
  </si>
  <si>
    <t xml:space="preserve">190</t>
  </si>
  <si>
    <t xml:space="preserve">LMFA01030002</t>
  </si>
  <si>
    <t xml:space="preserve">C00712</t>
  </si>
  <si>
    <t xml:space="preserve">16196</t>
  </si>
  <si>
    <t xml:space="preserve">445639</t>
  </si>
  <si>
    <t xml:space="preserve">112-80-1</t>
  </si>
  <si>
    <t xml:space="preserve">OC(=O)CCCCCCC/C=C\CCCCCCCC</t>
  </si>
  <si>
    <t xml:space="preserve">ZQPPMHVWECSIRJ-KTKRTIGZSA-N</t>
  </si>
  <si>
    <t xml:space="preserve">276-2</t>
  </si>
  <si>
    <t xml:space="preserve">cis-Vaccenic acid</t>
  </si>
  <si>
    <t xml:space="preserve">HMDB0240219</t>
  </si>
  <si>
    <t xml:space="preserve">3552</t>
  </si>
  <si>
    <t xml:space="preserve">LMFA01030076</t>
  </si>
  <si>
    <t xml:space="preserve">C08367</t>
  </si>
  <si>
    <t xml:space="preserve">50464</t>
  </si>
  <si>
    <t xml:space="preserve">5282761</t>
  </si>
  <si>
    <t xml:space="preserve">506-17-2</t>
  </si>
  <si>
    <t xml:space="preserve">C(CCC/C=C\CCCCCC)CCCCCC(=O)O</t>
  </si>
  <si>
    <t xml:space="preserve">UWHZIFQPPBDJPM-FPLPWBNLSA-N</t>
  </si>
  <si>
    <t xml:space="preserve">276-3</t>
  </si>
  <si>
    <t xml:space="preserve">Elaidic acid</t>
  </si>
  <si>
    <t xml:space="preserve">HMDB0000573</t>
  </si>
  <si>
    <t xml:space="preserve">3406</t>
  </si>
  <si>
    <t xml:space="preserve">LMFA01030073</t>
  </si>
  <si>
    <t xml:space="preserve">C01712</t>
  </si>
  <si>
    <t xml:space="preserve">27997</t>
  </si>
  <si>
    <t xml:space="preserve">637517</t>
  </si>
  <si>
    <t xml:space="preserve">112-79-8</t>
  </si>
  <si>
    <t xml:space="preserve">C(/CCCCCCCC)=C\CCCCCCCC(=O)O</t>
  </si>
  <si>
    <t xml:space="preserve">ZQPPMHVWECSIRJ-MDZDMXLPSA-N</t>
  </si>
  <si>
    <t xml:space="preserve">277-1</t>
  </si>
  <si>
    <t xml:space="preserve">278-1</t>
  </si>
  <si>
    <t xml:space="preserve">279-1</t>
  </si>
  <si>
    <t xml:space="preserve">280-1</t>
  </si>
  <si>
    <t xml:space="preserve">281-1</t>
  </si>
  <si>
    <t xml:space="preserve">2-Acetylamino-7-methoxy-3H-phenoxazin-3-one</t>
  </si>
  <si>
    <t xml:space="preserve">HMDB0240722</t>
  </si>
  <si>
    <t xml:space="preserve">68781031</t>
  </si>
  <si>
    <t xml:space="preserve">COC1=CC2=C(C=C1)N=C1C=C(NC(C)=O)C(=O)C=C1O2</t>
  </si>
  <si>
    <t xml:space="preserve">DOTQQODPKREUTR-UHFFFAOYSA-N</t>
  </si>
  <si>
    <t xml:space="preserve">Phenoxazines</t>
  </si>
  <si>
    <t xml:space="preserve">281-2</t>
  </si>
  <si>
    <t xml:space="preserve">Phenytoin catechol</t>
  </si>
  <si>
    <t xml:space="preserve">HMDB0060865</t>
  </si>
  <si>
    <t xml:space="preserve">1855</t>
  </si>
  <si>
    <t xml:space="preserve">169703</t>
  </si>
  <si>
    <t xml:space="preserve">35531-90-9</t>
  </si>
  <si>
    <t xml:space="preserve">OC1=C(O)C=C(C=C1)C1(NC(=O)NC1=O)C1=CC=CC=C1</t>
  </si>
  <si>
    <t xml:space="preserve">WWEKVOUOQUHVHS-UHFFFAOYSA-N</t>
  </si>
  <si>
    <t xml:space="preserve">282-1</t>
  </si>
  <si>
    <t xml:space="preserve">Sulfapyridine</t>
  </si>
  <si>
    <t xml:space="preserve">HMDB0015028</t>
  </si>
  <si>
    <t xml:space="preserve">2552</t>
  </si>
  <si>
    <t xml:space="preserve">132842</t>
  </si>
  <si>
    <t xml:space="preserve">5336</t>
  </si>
  <si>
    <t xml:space="preserve">144-83-2</t>
  </si>
  <si>
    <t xml:space="preserve">NC1=CC=C(C=C1)S(=O)(=O)NC1=CC=CC=N1</t>
  </si>
  <si>
    <t xml:space="preserve">GECHUMIMRBOMGK-UHFFFAOYSA-N</t>
  </si>
  <si>
    <t xml:space="preserve">282-2</t>
  </si>
  <si>
    <t xml:space="preserve">Pyridinin</t>
  </si>
  <si>
    <t xml:space="preserve">HMDB0256968</t>
  </si>
  <si>
    <t xml:space="preserve">NC1=CC=C(C=C1)S(=O)(=O)C1=NC=C(N)C=C1</t>
  </si>
  <si>
    <t xml:space="preserve">XVMSFILGAMDHEY-UHFFFAOYSA-N</t>
  </si>
  <si>
    <t xml:space="preserve">283-1</t>
  </si>
  <si>
    <t xml:space="preserve">284-1</t>
  </si>
  <si>
    <t xml:space="preserve">285-1</t>
  </si>
  <si>
    <t xml:space="preserve">286-1</t>
  </si>
  <si>
    <t xml:space="preserve">287-1</t>
  </si>
  <si>
    <t xml:space="preserve">288-1</t>
  </si>
  <si>
    <t xml:space="preserve">289-1</t>
  </si>
  <si>
    <t xml:space="preserve">290-1</t>
  </si>
  <si>
    <t xml:space="preserve">291-1</t>
  </si>
  <si>
    <t xml:space="preserve">Octinoxate</t>
  </si>
  <si>
    <t xml:space="preserve">HMDB0255909</t>
  </si>
  <si>
    <t xml:space="preserve">CCCCC(CC)COC(=O)C=CC1=CC=C(OC)C=C1</t>
  </si>
  <si>
    <t xml:space="preserve">YBGZDTIWKVFICR-UHFFFAOYSA-N</t>
  </si>
  <si>
    <t xml:space="preserve">Cinnamic acid esters</t>
  </si>
  <si>
    <t xml:space="preserve">291-2</t>
  </si>
  <si>
    <t xml:space="preserve">(9Z,11E,13E,15Z)-4-Oxo-9,11,13,15-octadecatetraenoic acid</t>
  </si>
  <si>
    <t xml:space="preserve">HMDB0031098</t>
  </si>
  <si>
    <t xml:space="preserve">87406</t>
  </si>
  <si>
    <t xml:space="preserve">138781</t>
  </si>
  <si>
    <t xml:space="preserve">131751133</t>
  </si>
  <si>
    <t xml:space="preserve">17699-21-7</t>
  </si>
  <si>
    <t xml:space="preserve">CC\C=C/C=C/C=C\C=C\CCCCC(=O)CCC(O)=O</t>
  </si>
  <si>
    <t xml:space="preserve">ZYOSGENSARGRME-WYVWLRFESA-N</t>
  </si>
  <si>
    <t xml:space="preserve">291-3</t>
  </si>
  <si>
    <t xml:space="preserve">Octyl 4-methoxycinnamic acid</t>
  </si>
  <si>
    <t xml:space="preserve">HMDB0061861</t>
  </si>
  <si>
    <t xml:space="preserve">43282</t>
  </si>
  <si>
    <t xml:space="preserve">5355130</t>
  </si>
  <si>
    <t xml:space="preserve">[H]\C(=C(\[H])C1=CC=C(OC)C=C1)C(=O)OCC(CC)CCCC</t>
  </si>
  <si>
    <t xml:space="preserve">YBGZDTIWKVFICR-JLHYYAGUSA-N</t>
  </si>
  <si>
    <t xml:space="preserve">292-1</t>
  </si>
  <si>
    <t xml:space="preserve">293-1</t>
  </si>
  <si>
    <t xml:space="preserve">294-1</t>
  </si>
  <si>
    <t xml:space="preserve">295-1</t>
  </si>
  <si>
    <t xml:space="preserve">296-1</t>
  </si>
  <si>
    <t xml:space="preserve">297-1</t>
  </si>
  <si>
    <t xml:space="preserve">Alternariol</t>
  </si>
  <si>
    <t xml:space="preserve">HMDB0030831</t>
  </si>
  <si>
    <t xml:space="preserve">71377</t>
  </si>
  <si>
    <t xml:space="preserve">C16838</t>
  </si>
  <si>
    <t xml:space="preserve">64983</t>
  </si>
  <si>
    <t xml:space="preserve">5359485</t>
  </si>
  <si>
    <t xml:space="preserve">641-38-3</t>
  </si>
  <si>
    <t xml:space="preserve">CC1=CC(O)=CC2=C1C1=C(C(=O)O2)C(O)=CC(O)=C1</t>
  </si>
  <si>
    <t xml:space="preserve">CEBXXEKPIIDJHL-UHFFFAOYSA-N</t>
  </si>
  <si>
    <t xml:space="preserve">297-2</t>
  </si>
  <si>
    <t xml:space="preserve">Isogentisin</t>
  </si>
  <si>
    <t xml:space="preserve">HMDB0030871</t>
  </si>
  <si>
    <t xml:space="preserve">68111</t>
  </si>
  <si>
    <t xml:space="preserve">C10070</t>
  </si>
  <si>
    <t xml:space="preserve">6017</t>
  </si>
  <si>
    <t xml:space="preserve">5281640</t>
  </si>
  <si>
    <t xml:space="preserve">491-64-5</t>
  </si>
  <si>
    <t xml:space="preserve">COC1=CC2=C(OC3=CC(O)=CC(O)=C3C2=O)C=C1</t>
  </si>
  <si>
    <t xml:space="preserve">FVIYCYAHKMJVJK-UHFFFAOYSA-N</t>
  </si>
  <si>
    <t xml:space="preserve">297-3</t>
  </si>
  <si>
    <t xml:space="preserve">Gentisin</t>
  </si>
  <si>
    <t xml:space="preserve">HMDB0031760</t>
  </si>
  <si>
    <t xml:space="preserve">68108</t>
  </si>
  <si>
    <t xml:space="preserve">C10066</t>
  </si>
  <si>
    <t xml:space="preserve">5324</t>
  </si>
  <si>
    <t xml:space="preserve">5281636</t>
  </si>
  <si>
    <t xml:space="preserve">437-50-3</t>
  </si>
  <si>
    <t xml:space="preserve">COC1=CC(O)=C2C(=O)C3=CC(O)=CC=C3OC2=C1</t>
  </si>
  <si>
    <t xml:space="preserve">XOXYHGOIRWABTC-UHFFFAOYSA-N</t>
  </si>
  <si>
    <t xml:space="preserve">298-1</t>
  </si>
  <si>
    <t xml:space="preserve">299-1</t>
  </si>
  <si>
    <t xml:space="preserve">300-1</t>
  </si>
  <si>
    <t xml:space="preserve">301-1</t>
  </si>
  <si>
    <t xml:space="preserve">9,10-Epoxyoctadecenoic acid</t>
  </si>
  <si>
    <t xml:space="preserve">HMDB0004701</t>
  </si>
  <si>
    <t xml:space="preserve">LMFA02000037</t>
  </si>
  <si>
    <t xml:space="preserve">C14825</t>
  </si>
  <si>
    <t xml:space="preserve">34494</t>
  </si>
  <si>
    <t xml:space="preserve">6246154</t>
  </si>
  <si>
    <t xml:space="preserve">C(CCCCCCCC1OC1C/C=C\CCCCC)(=O)O</t>
  </si>
  <si>
    <t xml:space="preserve">FBUKMFOXMZRGRB-YFHOEESVSA-N</t>
  </si>
  <si>
    <t xml:space="preserve">301-2</t>
  </si>
  <si>
    <t xml:space="preserve">12,13-EpOME</t>
  </si>
  <si>
    <t xml:space="preserve">HMDB0004702</t>
  </si>
  <si>
    <t xml:space="preserve">63352</t>
  </si>
  <si>
    <t xml:space="preserve">LMFA02000038</t>
  </si>
  <si>
    <t xml:space="preserve">C14826</t>
  </si>
  <si>
    <t xml:space="preserve">38299</t>
  </si>
  <si>
    <t xml:space="preserve">5356421</t>
  </si>
  <si>
    <t xml:space="preserve">C(CCCCCCC/C=C\CC1OC1CCCCC)(=O)O</t>
  </si>
  <si>
    <t xml:space="preserve">CCPPLLJZDQAOHD-FLIBITNWSA-N</t>
  </si>
  <si>
    <t xml:space="preserve">301-3</t>
  </si>
  <si>
    <t xml:space="preserve">alpha-Dimorphecolic acid</t>
  </si>
  <si>
    <t xml:space="preserve">HMDB0004670</t>
  </si>
  <si>
    <t xml:space="preserve">45662</t>
  </si>
  <si>
    <t xml:space="preserve">LMFA02000188</t>
  </si>
  <si>
    <t xml:space="preserve">C14767</t>
  </si>
  <si>
    <t xml:space="preserve">34496</t>
  </si>
  <si>
    <t xml:space="preserve">5312830</t>
  </si>
  <si>
    <t xml:space="preserve">73543-67-6</t>
  </si>
  <si>
    <t xml:space="preserve">C(CCCCCCC[C@H](O)/C=C/C=C\CCCCC)(=O)O</t>
  </si>
  <si>
    <t xml:space="preserve">NPDSHTNEKLQQIJ-UINYOVNOSA-N</t>
  </si>
  <si>
    <t xml:space="preserve">302-1</t>
  </si>
  <si>
    <t xml:space="preserve">303-1</t>
  </si>
  <si>
    <t xml:space="preserve">304-1</t>
  </si>
  <si>
    <t xml:space="preserve">305-1</t>
  </si>
  <si>
    <t xml:space="preserve">Tuberculostearic acid</t>
  </si>
  <si>
    <t xml:space="preserve">HMDB0004085</t>
  </si>
  <si>
    <t xml:space="preserve">4294</t>
  </si>
  <si>
    <t xml:space="preserve">LMFA01020396</t>
  </si>
  <si>
    <t xml:space="preserve">C16794</t>
  </si>
  <si>
    <t xml:space="preserve">68565</t>
  </si>
  <si>
    <t xml:space="preserve">65037</t>
  </si>
  <si>
    <t xml:space="preserve">542-47-2</t>
  </si>
  <si>
    <t xml:space="preserve">C(CCCCCCCCC(C)CCCCCCCC)(=O)O</t>
  </si>
  <si>
    <t xml:space="preserve">BEOUGZFCUMNGOU-UHFFFAOYSA-N</t>
  </si>
  <si>
    <t xml:space="preserve">305-2</t>
  </si>
  <si>
    <t xml:space="preserve">FA(19:0)</t>
  </si>
  <si>
    <t xml:space="preserve">HMDB0000772</t>
  </si>
  <si>
    <t xml:space="preserve">4207</t>
  </si>
  <si>
    <t xml:space="preserve">LMFA01010019</t>
  </si>
  <si>
    <t xml:space="preserve">C16535</t>
  </si>
  <si>
    <t xml:space="preserve">39246</t>
  </si>
  <si>
    <t xml:space="preserve">12591</t>
  </si>
  <si>
    <t xml:space="preserve">646-30-0</t>
  </si>
  <si>
    <t xml:space="preserve">C(CCCCCCCCC)CCCCCCCCC(=O)O</t>
  </si>
  <si>
    <t xml:space="preserve">ISYWECDDZWTKFF-UHFFFAOYSA-N</t>
  </si>
  <si>
    <t xml:space="preserve">306-1</t>
  </si>
  <si>
    <t xml:space="preserve">307-1</t>
  </si>
  <si>
    <t xml:space="preserve">308-1</t>
  </si>
  <si>
    <t xml:space="preserve">309-1</t>
  </si>
  <si>
    <t xml:space="preserve">310-1</t>
  </si>
  <si>
    <t xml:space="preserve">311-1</t>
  </si>
  <si>
    <t xml:space="preserve">312-1</t>
  </si>
  <si>
    <t xml:space="preserve">313-1</t>
  </si>
  <si>
    <t xml:space="preserve">314-1</t>
  </si>
  <si>
    <t xml:space="preserve">Magnolol</t>
  </si>
  <si>
    <t xml:space="preserve">HMDB0254305</t>
  </si>
  <si>
    <t xml:space="preserve">68465</t>
  </si>
  <si>
    <t xml:space="preserve">C10651</t>
  </si>
  <si>
    <t xml:space="preserve">72300</t>
  </si>
  <si>
    <t xml:space="preserve">528-43-8</t>
  </si>
  <si>
    <t xml:space="preserve">OC1=C(C=C(CC=C)C=C1)C1=C(O)C=CC(CC=C)=C1</t>
  </si>
  <si>
    <t xml:space="preserve">VVOAZFWZEDHOOU-UHFFFAOYSA-N</t>
  </si>
  <si>
    <t xml:space="preserve">314-2</t>
  </si>
  <si>
    <t xml:space="preserve">Honokiol</t>
  </si>
  <si>
    <t xml:space="preserve">HMDB0253212</t>
  </si>
  <si>
    <t xml:space="preserve">68445</t>
  </si>
  <si>
    <t xml:space="preserve">C10630</t>
  </si>
  <si>
    <t xml:space="preserve">72303</t>
  </si>
  <si>
    <t xml:space="preserve">564-73-8</t>
  </si>
  <si>
    <t xml:space="preserve">OC1=C(CC=C)C=C(C=C1)C1=C(O)C=CC(CC=C)=C1</t>
  </si>
  <si>
    <t xml:space="preserve">FVYXIJYOAGAUQK-UHFFFAOYSA-N</t>
  </si>
  <si>
    <t xml:space="preserve">315-1</t>
  </si>
  <si>
    <t xml:space="preserve">316-1</t>
  </si>
  <si>
    <t xml:space="preserve">NOTA</t>
  </si>
  <si>
    <t xml:space="preserve">HMDB0255756</t>
  </si>
  <si>
    <t xml:space="preserve">124326</t>
  </si>
  <si>
    <t xml:space="preserve">OC(=O)CN1CCN(CC(O)=O)CCN(CC(O)=O)CC1</t>
  </si>
  <si>
    <t xml:space="preserve">JHALWMSZGCVVEM-UHFFFAOYSA-N</t>
  </si>
  <si>
    <t xml:space="preserve">316-2</t>
  </si>
  <si>
    <t xml:space="preserve">N-(N-(3-Amino-3-carboxypropyl)-3-amino-3-carboxypropyl)azetidine-2-carboxylic acid</t>
  </si>
  <si>
    <t xml:space="preserve">HMDB0255025</t>
  </si>
  <si>
    <t xml:space="preserve">25520</t>
  </si>
  <si>
    <t xml:space="preserve">3450503</t>
  </si>
  <si>
    <t xml:space="preserve">NC(CCNC(CCN1CCC1C(O)=O)C(O)=O)C(O)=O</t>
  </si>
  <si>
    <t xml:space="preserve">KRGPXXHMOXVMMM-UHFFFAOYSA-N</t>
  </si>
  <si>
    <t xml:space="preserve">316-3</t>
  </si>
  <si>
    <t xml:space="preserve">N5-Acetyl-N2-gamma-L-glutamyl-L-ornithine</t>
  </si>
  <si>
    <t xml:space="preserve">HMDB0039423</t>
  </si>
  <si>
    <t xml:space="preserve">93997</t>
  </si>
  <si>
    <t xml:space="preserve">168581</t>
  </si>
  <si>
    <t xml:space="preserve">131752643</t>
  </si>
  <si>
    <t xml:space="preserve">102148-92-5</t>
  </si>
  <si>
    <t xml:space="preserve">CC(=O)NCCCC(NC(=O)CCC(N)C(O)=O)C(O)=O</t>
  </si>
  <si>
    <t xml:space="preserve">JAAJGIIASALJIT-UHFFFAOYSA-N</t>
  </si>
  <si>
    <t xml:space="preserve">317-1</t>
  </si>
  <si>
    <t xml:space="preserve">318-1</t>
  </si>
  <si>
    <t xml:space="preserve">2-Benzamido-2-iodoacetic acid</t>
  </si>
  <si>
    <t xml:space="preserve">HMDB0252867</t>
  </si>
  <si>
    <t xml:space="preserve">53714767</t>
  </si>
  <si>
    <t xml:space="preserve">OC(=O)C(I)NC(=O)C1=CC=CC=C1</t>
  </si>
  <si>
    <t xml:space="preserve">CCZLNXBCKWTPEU-UHFFFAOYSA-N</t>
  </si>
  <si>
    <t xml:space="preserve">318-2</t>
  </si>
  <si>
    <t xml:space="preserve">2-Iodohippuric acid</t>
  </si>
  <si>
    <t xml:space="preserve">HMDB0245180</t>
  </si>
  <si>
    <t xml:space="preserve">314210</t>
  </si>
  <si>
    <t xml:space="preserve">140408</t>
  </si>
  <si>
    <t xml:space="preserve">8614</t>
  </si>
  <si>
    <t xml:space="preserve">OC(=O)CN=C(O)C1=CC=CC=C1I</t>
  </si>
  <si>
    <t xml:space="preserve">CORFWQGVBFFZHF-UHFFFAOYSA-N</t>
  </si>
  <si>
    <t xml:space="preserve">318-3</t>
  </si>
  <si>
    <t xml:space="preserve">m-Iodohippuric acid</t>
  </si>
  <si>
    <t xml:space="preserve">HMDB0254277</t>
  </si>
  <si>
    <t xml:space="preserve">40341</t>
  </si>
  <si>
    <t xml:space="preserve">OC(=O)CNC(=O)C1=CC(I)=CC=C1</t>
  </si>
  <si>
    <t xml:space="preserve">JFJVYCLGHWPODH-UHFFFAOYSA-N</t>
  </si>
  <si>
    <t xml:space="preserve">319-1</t>
  </si>
  <si>
    <t xml:space="preserve">320-1</t>
  </si>
  <si>
    <t xml:space="preserve">321-1</t>
  </si>
  <si>
    <t xml:space="preserve">322-1</t>
  </si>
  <si>
    <t xml:space="preserve">323-1</t>
  </si>
  <si>
    <t xml:space="preserve">FA(20:2)</t>
  </si>
  <si>
    <t xml:space="preserve">HMDB0005060</t>
  </si>
  <si>
    <t xml:space="preserve">62964</t>
  </si>
  <si>
    <t xml:space="preserve">LMFA01031043</t>
  </si>
  <si>
    <t xml:space="preserve">C16525</t>
  </si>
  <si>
    <t xml:space="preserve">73731</t>
  </si>
  <si>
    <t xml:space="preserve">6439848</t>
  </si>
  <si>
    <t xml:space="preserve">5598-38-9</t>
  </si>
  <si>
    <t xml:space="preserve">C(CCCCCCCCC/C=C\C/C=C\CCCCC)(=O)O</t>
  </si>
  <si>
    <t xml:space="preserve">XSXIVVZCUAHUJO-HZJYTTRNSA-N</t>
  </si>
  <si>
    <t xml:space="preserve">323-2</t>
  </si>
  <si>
    <t xml:space="preserve">Sclareol</t>
  </si>
  <si>
    <t xml:space="preserve">HMDB0036827</t>
  </si>
  <si>
    <t xml:space="preserve">C09183</t>
  </si>
  <si>
    <t xml:space="preserve">9053</t>
  </si>
  <si>
    <t xml:space="preserve">521332</t>
  </si>
  <si>
    <t xml:space="preserve">515-03-7</t>
  </si>
  <si>
    <t xml:space="preserve">CC(O)(CCC1C(C)(O)CCC2C(C)(C)CCCC12C)C=C</t>
  </si>
  <si>
    <t xml:space="preserve">XVULBTBTFGYVRC-UHFFFAOYSA-N</t>
  </si>
  <si>
    <t xml:space="preserve">324-1</t>
  </si>
  <si>
    <t xml:space="preserve">Corchorifatty acid F</t>
  </si>
  <si>
    <t xml:space="preserve">HMDB0035919</t>
  </si>
  <si>
    <t xml:space="preserve">91118</t>
  </si>
  <si>
    <t xml:space="preserve">91218</t>
  </si>
  <si>
    <t xml:space="preserve">44559173</t>
  </si>
  <si>
    <t xml:space="preserve">95341-44-9</t>
  </si>
  <si>
    <t xml:space="preserve">CC\C=C/CC(O)C(O)\C=C\C(O)CCCCCCCC(O)=O</t>
  </si>
  <si>
    <t xml:space="preserve">MKYUCBXUUSZMQB-MKZMYESJSA-N</t>
  </si>
  <si>
    <t xml:space="preserve">324-2</t>
  </si>
  <si>
    <t xml:space="preserve">Auxin a</t>
  </si>
  <si>
    <t xml:space="preserve">HMDB0038483</t>
  </si>
  <si>
    <t xml:space="preserve">93162</t>
  </si>
  <si>
    <t xml:space="preserve">142254</t>
  </si>
  <si>
    <t xml:space="preserve">92772</t>
  </si>
  <si>
    <t xml:space="preserve">CCC(C)C1CC(C(C)CC)C(=C1)C(O)CC(O)C(O)C(O)=O</t>
  </si>
  <si>
    <t xml:space="preserve">RKOUCPMGBBKLNK-UHFFFAOYSA-N</t>
  </si>
  <si>
    <t xml:space="preserve">325-1</t>
  </si>
  <si>
    <t xml:space="preserve">FA(20:1)</t>
  </si>
  <si>
    <t xml:space="preserve">HMDB0002231</t>
  </si>
  <si>
    <t xml:space="preserve">3554</t>
  </si>
  <si>
    <t xml:space="preserve">LMFA01030085</t>
  </si>
  <si>
    <t xml:space="preserve">C16526</t>
  </si>
  <si>
    <t xml:space="preserve">32425</t>
  </si>
  <si>
    <t xml:space="preserve">5282768</t>
  </si>
  <si>
    <t xml:space="preserve">5561-99-9</t>
  </si>
  <si>
    <t xml:space="preserve">C(CCCCCCC(=O)O)CC/C=C\CCCCCCCC</t>
  </si>
  <si>
    <t xml:space="preserve">BITHHVVYSMSWAG-KTKRTIGZSA-N</t>
  </si>
  <si>
    <t xml:space="preserve">325-2</t>
  </si>
  <si>
    <t xml:space="preserve">Ethyl oleate</t>
  </si>
  <si>
    <t xml:space="preserve">HMDB0034451</t>
  </si>
  <si>
    <t xml:space="preserve">318742</t>
  </si>
  <si>
    <t xml:space="preserve">LMFA07010880</t>
  </si>
  <si>
    <t xml:space="preserve">C03425</t>
  </si>
  <si>
    <t xml:space="preserve">5364430</t>
  </si>
  <si>
    <t xml:space="preserve">111-62-6</t>
  </si>
  <si>
    <t xml:space="preserve">CCOC(=O)CCCCCCC/C=C/CCCCCCCC</t>
  </si>
  <si>
    <t xml:space="preserve">LVGKNOAMLMIIKO-VAWYXSNFSA-N</t>
  </si>
  <si>
    <t xml:space="preserve">326-1</t>
  </si>
  <si>
    <t xml:space="preserve">327-1</t>
  </si>
  <si>
    <t xml:space="preserve">Piromelatine</t>
  </si>
  <si>
    <t xml:space="preserve">HMDB0256608</t>
  </si>
  <si>
    <t xml:space="preserve">COC1=CC=C2NC=C(CCNC(=O)C3=CC(=O)C=CO3)C2=C1</t>
  </si>
  <si>
    <t xml:space="preserve">PNTNBIHOAPJYDB-UHFFFAOYSA-N</t>
  </si>
  <si>
    <t xml:space="preserve">327-2</t>
  </si>
  <si>
    <t xml:space="preserve">Dictyoquinazol A</t>
  </si>
  <si>
    <t xml:space="preserve">HMDB0040435</t>
  </si>
  <si>
    <t xml:space="preserve">94941</t>
  </si>
  <si>
    <t xml:space="preserve">169764</t>
  </si>
  <si>
    <t xml:space="preserve">637050</t>
  </si>
  <si>
    <t xml:space="preserve">COC1=CC2=C(C=C1)N=CN(C2=O)C1=CC=C(OC)C=C1CO</t>
  </si>
  <si>
    <t xml:space="preserve">SHUSJJZZTZAKPD-UHFFFAOYSA-N</t>
  </si>
  <si>
    <t xml:space="preserve">328-1</t>
  </si>
  <si>
    <t xml:space="preserve">329-1</t>
  </si>
  <si>
    <t xml:space="preserve">FA(20:0)</t>
  </si>
  <si>
    <t xml:space="preserve">HMDB0002212</t>
  </si>
  <si>
    <t xml:space="preserve">401</t>
  </si>
  <si>
    <t xml:space="preserve">LMFA01010020</t>
  </si>
  <si>
    <t xml:space="preserve">C06425</t>
  </si>
  <si>
    <t xml:space="preserve">28822</t>
  </si>
  <si>
    <t xml:space="preserve">10467</t>
  </si>
  <si>
    <t xml:space="preserve">506-30-9</t>
  </si>
  <si>
    <t xml:space="preserve">C(CCCCCCCCCC)CCCCCCCCC(=O)O</t>
  </si>
  <si>
    <t xml:space="preserve">VKOBVWXKNCXXDE-UHFFFAOYSA-N</t>
  </si>
  <si>
    <t xml:space="preserve">329-2</t>
  </si>
  <si>
    <t xml:space="preserve">Phytanic acid</t>
  </si>
  <si>
    <t xml:space="preserve">HMDB0000801</t>
  </si>
  <si>
    <t xml:space="preserve">200</t>
  </si>
  <si>
    <t xml:space="preserve">C01607</t>
  </si>
  <si>
    <t xml:space="preserve">16285</t>
  </si>
  <si>
    <t xml:space="preserve">26840</t>
  </si>
  <si>
    <t xml:space="preserve">14721-66-5</t>
  </si>
  <si>
    <t xml:space="preserve">CC(C)CCCC(C)CCCC(C)CCCC(C)CC(O)=O</t>
  </si>
  <si>
    <t xml:space="preserve">RLCKHJSFHOZMDR-UHFFFAOYSA-N</t>
  </si>
  <si>
    <t xml:space="preserve">329-3</t>
  </si>
  <si>
    <t xml:space="preserve">3,7R,11R,15-tetramethyl-hexadecanoic acid</t>
  </si>
  <si>
    <t xml:space="preserve">HMDB0062520</t>
  </si>
  <si>
    <t xml:space="preserve">333520</t>
  </si>
  <si>
    <t xml:space="preserve">LMPR0104010004</t>
  </si>
  <si>
    <t xml:space="preserve">468706</t>
  </si>
  <si>
    <t xml:space="preserve">C(CC(C)CCC[C@H](C)CCC[C@H](C)CCCC(C)C)(=O)O</t>
  </si>
  <si>
    <t xml:space="preserve">RLCKHJSFHOZMDR-PWCSWUJKSA-N</t>
  </si>
  <si>
    <t xml:space="preserve">330-1</t>
  </si>
  <si>
    <t xml:space="preserve">331-1</t>
  </si>
  <si>
    <t xml:space="preserve">332-1</t>
  </si>
  <si>
    <t xml:space="preserve">333-1</t>
  </si>
  <si>
    <t xml:space="preserve">334-1</t>
  </si>
  <si>
    <t xml:space="preserve">335-1</t>
  </si>
  <si>
    <t xml:space="preserve">336-1</t>
  </si>
  <si>
    <t xml:space="preserve">337-1</t>
  </si>
  <si>
    <t xml:space="preserve">338-1</t>
  </si>
  <si>
    <t xml:space="preserve">339-1</t>
  </si>
  <si>
    <t xml:space="preserve">340-1</t>
  </si>
  <si>
    <t xml:space="preserve">341-1</t>
  </si>
  <si>
    <t xml:space="preserve">342-1</t>
  </si>
  <si>
    <t xml:space="preserve">343-1</t>
  </si>
  <si>
    <t xml:space="preserve">344-1</t>
  </si>
  <si>
    <t xml:space="preserve">4-Hydroxy-2-oxoglutaric acid</t>
  </si>
  <si>
    <t xml:space="preserve">HMDB0002070</t>
  </si>
  <si>
    <t xml:space="preserve">6471</t>
  </si>
  <si>
    <t xml:space="preserve">C01127</t>
  </si>
  <si>
    <t xml:space="preserve">30923</t>
  </si>
  <si>
    <t xml:space="preserve">599</t>
  </si>
  <si>
    <t xml:space="preserve">1187-99-1</t>
  </si>
  <si>
    <t xml:space="preserve">OC(CC(=O)C(O)=O)C(O)=O</t>
  </si>
  <si>
    <t xml:space="preserve">WXSKVKPSMAHCSG-UHFFFAOYSA-N</t>
  </si>
  <si>
    <t xml:space="preserve">344-2</t>
  </si>
  <si>
    <t xml:space="preserve">D-4-Hydroxy-2-oxoglutarate</t>
  </si>
  <si>
    <t xml:space="preserve">HMDB0060466</t>
  </si>
  <si>
    <t xml:space="preserve">63473</t>
  </si>
  <si>
    <t xml:space="preserve">C05946</t>
  </si>
  <si>
    <t xml:space="preserve">440853</t>
  </si>
  <si>
    <t xml:space="preserve">[H][C@@](O)(CC(=O)C(O)=O)C(O)=O</t>
  </si>
  <si>
    <t xml:space="preserve">WXSKVKPSMAHCSG-UWTATZPHSA-N</t>
  </si>
  <si>
    <t xml:space="preserve">345-1</t>
  </si>
  <si>
    <t xml:space="preserve">346-1</t>
  </si>
  <si>
    <t xml:space="preserve">347-1</t>
  </si>
  <si>
    <t xml:space="preserve">348-1</t>
  </si>
  <si>
    <t xml:space="preserve">349-1</t>
  </si>
  <si>
    <t xml:space="preserve">350-1</t>
  </si>
  <si>
    <t xml:space="preserve">351-1</t>
  </si>
  <si>
    <t xml:space="preserve">(3b,6b,8a,12a)-8,12-Epoxy-7(11)-eremophilene-6,8,12-trimethoxy-3-ol</t>
  </si>
  <si>
    <t xml:space="preserve">HMDB0031963</t>
  </si>
  <si>
    <t xml:space="preserve">88075</t>
  </si>
  <si>
    <t xml:space="preserve">172554</t>
  </si>
  <si>
    <t xml:space="preserve">131751225</t>
  </si>
  <si>
    <t xml:space="preserve">COC1OC2(CC3CCC(O)C(C)C3(C)C(OC)C2=C1C)OC</t>
  </si>
  <si>
    <t xml:space="preserve">CLQUNRBWTPVVAG-UHFFFAOYSA-N</t>
  </si>
  <si>
    <t xml:space="preserve">Naphthofurans</t>
  </si>
  <si>
    <t xml:space="preserve">351-2</t>
  </si>
  <si>
    <t xml:space="preserve">(Z)-5-[(2R,3S,4S)-4-Hydroxy-2-[(E)-3-hydroxyoct-1-enyl]oxan-3-yl]pent-3-enoic acid</t>
  </si>
  <si>
    <t xml:space="preserve">HMDB0244345</t>
  </si>
  <si>
    <t xml:space="preserve">CCCCCC(O)C=CC1OCCC(O)C1CC=CCC(O)=O</t>
  </si>
  <si>
    <t xml:space="preserve">CMBTXTLLBGRNAY-UHFFFAOYSA-N</t>
  </si>
  <si>
    <t xml:space="preserve">Medium-chain hydroxy acids and derivatives</t>
  </si>
  <si>
    <t xml:space="preserve">352-1</t>
  </si>
  <si>
    <t xml:space="preserve">353-1</t>
  </si>
  <si>
    <t xml:space="preserve">354-1</t>
  </si>
  <si>
    <t xml:space="preserve">Phenylalanyltyrosine</t>
  </si>
  <si>
    <t xml:space="preserve">HMDB0029007</t>
  </si>
  <si>
    <t xml:space="preserve">336907</t>
  </si>
  <si>
    <t xml:space="preserve">73637</t>
  </si>
  <si>
    <t xml:space="preserve">13341191</t>
  </si>
  <si>
    <t xml:space="preserve">17355-18-9</t>
  </si>
  <si>
    <t xml:space="preserve">N[C@@H](CC1=CC=CC=C1)C(=O)N[C@@H](CC1=CC=C(O)C=C1)C(O)=O</t>
  </si>
  <si>
    <t xml:space="preserve">FSXRLASFHBWESK-HOTGVXAUSA-N</t>
  </si>
  <si>
    <t xml:space="preserve">354-2</t>
  </si>
  <si>
    <t xml:space="preserve">Tyrosyl-Phenylalanine</t>
  </si>
  <si>
    <t xml:space="preserve">HMDB0029112</t>
  </si>
  <si>
    <t xml:space="preserve">23970</t>
  </si>
  <si>
    <t xml:space="preserve">3421919</t>
  </si>
  <si>
    <t xml:space="preserve">NC(CC1=CC=C(O)C=C1)C(=O)NC(CC1=CC=CC=C1)C(O)=O</t>
  </si>
  <si>
    <t xml:space="preserve">CGWAPUBOXJWXMS-UHFFFAOYSA-N</t>
  </si>
  <si>
    <t xml:space="preserve">354-3</t>
  </si>
  <si>
    <t xml:space="preserve">Dictyoquinazol B</t>
  </si>
  <si>
    <t xml:space="preserve">HMDB0040441</t>
  </si>
  <si>
    <t xml:space="preserve">94944</t>
  </si>
  <si>
    <t xml:space="preserve">174418</t>
  </si>
  <si>
    <t xml:space="preserve">10903565</t>
  </si>
  <si>
    <t xml:space="preserve">COC1=CC=C(N2CN(C=O)C3=CC=C(OC)C=C3C2)C(CO)=C1</t>
  </si>
  <si>
    <t xml:space="preserve">ZPMNGXXERQAMJD-UHFFFAOYSA-N</t>
  </si>
  <si>
    <t xml:space="preserve">355-1</t>
  </si>
  <si>
    <t xml:space="preserve">356-1</t>
  </si>
  <si>
    <t xml:space="preserve">357-1</t>
  </si>
  <si>
    <t xml:space="preserve">358-1</t>
  </si>
  <si>
    <t xml:space="preserve">359-1</t>
  </si>
  <si>
    <t xml:space="preserve">360-1</t>
  </si>
  <si>
    <t xml:space="preserve">Carboxyifosfamide</t>
  </si>
  <si>
    <t xml:space="preserve">HMDB0060692</t>
  </si>
  <si>
    <t xml:space="preserve">71239</t>
  </si>
  <si>
    <t xml:space="preserve">C16557</t>
  </si>
  <si>
    <t xml:space="preserve">124143</t>
  </si>
  <si>
    <t xml:space="preserve">53459-52-2</t>
  </si>
  <si>
    <t xml:space="preserve">OC(=O)CCOP(=O)(NCCCl)NCCCl</t>
  </si>
  <si>
    <t xml:space="preserve">DNDBVHDNSYHKLI-UHFFFAOYSA-N</t>
  </si>
  <si>
    <t xml:space="preserve">360-2</t>
  </si>
  <si>
    <t xml:space="preserve">Carboxyphosphamide</t>
  </si>
  <si>
    <t xml:space="preserve">HMDB0060449</t>
  </si>
  <si>
    <t xml:space="preserve">633</t>
  </si>
  <si>
    <t xml:space="preserve">C07646</t>
  </si>
  <si>
    <t xml:space="preserve">3410</t>
  </si>
  <si>
    <t xml:space="preserve">31515</t>
  </si>
  <si>
    <t xml:space="preserve">22788-18-7</t>
  </si>
  <si>
    <t xml:space="preserve">NP(=O)(OCCC(O)=O)N(CCCl)CCCl</t>
  </si>
  <si>
    <t xml:space="preserve">QLAKAJLYYGOZQL-UHFFFAOYSA-N</t>
  </si>
  <si>
    <t xml:space="preserve">Nitrogen mustard compounds</t>
  </si>
  <si>
    <t xml:space="preserve">361-1</t>
  </si>
  <si>
    <t xml:space="preserve">362-1</t>
  </si>
  <si>
    <t xml:space="preserve">363-1</t>
  </si>
  <si>
    <t xml:space="preserve">364-1</t>
  </si>
  <si>
    <t xml:space="preserve">365-1</t>
  </si>
  <si>
    <t xml:space="preserve">366-1</t>
  </si>
  <si>
    <t xml:space="preserve">Laricitrin</t>
  </si>
  <si>
    <t xml:space="preserve">HMDB0126497</t>
  </si>
  <si>
    <t xml:space="preserve">50898</t>
  </si>
  <si>
    <t xml:space="preserve">LMPK12112482</t>
  </si>
  <si>
    <t xml:space="preserve">C12633</t>
  </si>
  <si>
    <t xml:space="preserve">31763</t>
  </si>
  <si>
    <t xml:space="preserve">5282154</t>
  </si>
  <si>
    <t xml:space="preserve">53472-37-0</t>
  </si>
  <si>
    <t xml:space="preserve">C1(O)=CC2OC(C3C=C(OC)C(O)=C(O)C=3)=C(O)C(=O)C=2C(O)=C1</t>
  </si>
  <si>
    <t xml:space="preserve">CFYMYCCYMJIYAB-UHFFFAOYSA-N</t>
  </si>
  <si>
    <t xml:space="preserve">Flavones</t>
  </si>
  <si>
    <t xml:space="preserve">366-2</t>
  </si>
  <si>
    <t xml:space="preserve">Patuletin</t>
  </si>
  <si>
    <t xml:space="preserve">HMDB0030802</t>
  </si>
  <si>
    <t xml:space="preserve">51398</t>
  </si>
  <si>
    <t xml:space="preserve">LMPK12112986</t>
  </si>
  <si>
    <t xml:space="preserve">C10118</t>
  </si>
  <si>
    <t xml:space="preserve">75164</t>
  </si>
  <si>
    <t xml:space="preserve">5281678</t>
  </si>
  <si>
    <t xml:space="preserve">519-96-0</t>
  </si>
  <si>
    <t xml:space="preserve">C1(O)=CC2OC(C3C=C(O)C(O)=CC=3)=C(O)C(=O)C=2C(O)=C1OC</t>
  </si>
  <si>
    <t xml:space="preserve">JMIFIYIEXODVTO-UHFFFAOYSA-N</t>
  </si>
  <si>
    <t xml:space="preserve">367-1</t>
  </si>
  <si>
    <t xml:space="preserve">368-1</t>
  </si>
  <si>
    <t xml:space="preserve">369-1</t>
  </si>
  <si>
    <t xml:space="preserve">370-1</t>
  </si>
  <si>
    <t xml:space="preserve">4-Hydroxy-5-(4'-hydroxyphenyl)-valeric acid-4'-O-sulphate</t>
  </si>
  <si>
    <t xml:space="preserve">HMDB0059976</t>
  </si>
  <si>
    <t xml:space="preserve">88683</t>
  </si>
  <si>
    <t xml:space="preserve">124202068</t>
  </si>
  <si>
    <t xml:space="preserve">OC(CCC(O)=O)CC1=CC=C(OS(O)(=O)=O)C=C1</t>
  </si>
  <si>
    <t xml:space="preserve">GIYMZAJHBZLOGR-UHFFFAOYSA-N</t>
  </si>
  <si>
    <t xml:space="preserve">370-2</t>
  </si>
  <si>
    <t xml:space="preserve">4-Hydroxy-5-(3'-hydroxyphenyl)-valeric acid-3'-O-sulphate</t>
  </si>
  <si>
    <t xml:space="preserve">HMDB0059975</t>
  </si>
  <si>
    <t xml:space="preserve">88682</t>
  </si>
  <si>
    <t xml:space="preserve">124202067</t>
  </si>
  <si>
    <t xml:space="preserve">OC(CCC(O)=O)CC1=CC(OS(O)(=O)=O)=CC=C1</t>
  </si>
  <si>
    <t xml:space="preserve">DMBFBGLRQKIWGT-UHFFFAOYSA-N</t>
  </si>
  <si>
    <t xml:space="preserve">370-3</t>
  </si>
  <si>
    <t xml:space="preserve">3,5-Dihydroxyphenylvaleric acid sulfate</t>
  </si>
  <si>
    <t xml:space="preserve">HMDB0240452</t>
  </si>
  <si>
    <t xml:space="preserve">OC(=O)CCCCC1=CC(O)=CC(OS(O)(=O)=O)=C1</t>
  </si>
  <si>
    <t xml:space="preserve">GXGQOCNOANVHKV-UHFFFAOYSA-N</t>
  </si>
  <si>
    <t xml:space="preserve">371-1</t>
  </si>
  <si>
    <t xml:space="preserve">372-1</t>
  </si>
  <si>
    <t xml:space="preserve">373-1</t>
  </si>
  <si>
    <t xml:space="preserve">374-1</t>
  </si>
  <si>
    <t xml:space="preserve">375-1</t>
  </si>
  <si>
    <t xml:space="preserve">Propoxycaine</t>
  </si>
  <si>
    <t xml:space="preserve">HMDB0256833</t>
  </si>
  <si>
    <t xml:space="preserve">43316</t>
  </si>
  <si>
    <t xml:space="preserve">C07895</t>
  </si>
  <si>
    <t xml:space="preserve">6843</t>
  </si>
  <si>
    <t xml:space="preserve">CCCOC1=CC(N)=CC=C1C(=O)OCCN(CC)CC</t>
  </si>
  <si>
    <t xml:space="preserve">CAJIGINSTLKQMM-UHFFFAOYSA-N</t>
  </si>
  <si>
    <t xml:space="preserve">375-2</t>
  </si>
  <si>
    <t xml:space="preserve">Proparacaine</t>
  </si>
  <si>
    <t xml:space="preserve">HMDB0014945</t>
  </si>
  <si>
    <t xml:space="preserve">43315</t>
  </si>
  <si>
    <t xml:space="preserve">C07383</t>
  </si>
  <si>
    <t xml:space="preserve">309007</t>
  </si>
  <si>
    <t xml:space="preserve">4935</t>
  </si>
  <si>
    <t xml:space="preserve">499-67-2</t>
  </si>
  <si>
    <t xml:space="preserve">CCCOC1=C(N)C=C(C=C1)C(=O)OCCN(CC)CC</t>
  </si>
  <si>
    <t xml:space="preserve">KCLANYCVBBTKTO-UHFFFAOYSA-N</t>
  </si>
  <si>
    <t xml:space="preserve">376-1</t>
  </si>
  <si>
    <t xml:space="preserve">377-1</t>
  </si>
  <si>
    <t xml:space="preserve">2,3-dinor-6-oxoprostaglandin F1alpha</t>
  </si>
  <si>
    <t xml:space="preserve">HMDB0062618</t>
  </si>
  <si>
    <t xml:space="preserve">LMFA03010089</t>
  </si>
  <si>
    <t xml:space="preserve">73944</t>
  </si>
  <si>
    <t xml:space="preserve">5283084</t>
  </si>
  <si>
    <t xml:space="preserve">64700-71-6</t>
  </si>
  <si>
    <t xml:space="preserve">[C@H]1(/C=C/[C@@H](O)CCCCC)[C@H](O)C[C@H](O)[C@@H]1CC(=O)CCC(=O)O</t>
  </si>
  <si>
    <t xml:space="preserve">DNKGWNLXBRCUCF-NLOSNHEGSA-N</t>
  </si>
  <si>
    <t xml:space="preserve">377-2</t>
  </si>
  <si>
    <t xml:space="preserve">2,3-Dinor-TXB2</t>
  </si>
  <si>
    <t xml:space="preserve">HMDB0002904</t>
  </si>
  <si>
    <t xml:space="preserve">36258</t>
  </si>
  <si>
    <t xml:space="preserve">LMFA03030003</t>
  </si>
  <si>
    <t xml:space="preserve">89991</t>
  </si>
  <si>
    <t xml:space="preserve">5283138</t>
  </si>
  <si>
    <t xml:space="preserve">63250-09-9</t>
  </si>
  <si>
    <t xml:space="preserve">C1[C@H](O)[C@H](C/C=C\CC(=O)O)[C@@H](/C=C/[C@@H](O)CCCCC)OC1O</t>
  </si>
  <si>
    <t xml:space="preserve">RJHNVFKNIJQTQF-LMIBIYGPSA-N</t>
  </si>
  <si>
    <t xml:space="preserve">378-1</t>
  </si>
  <si>
    <t xml:space="preserve">379-1</t>
  </si>
  <si>
    <t xml:space="preserve">380-1</t>
  </si>
  <si>
    <t xml:space="preserve">381-1</t>
  </si>
  <si>
    <t xml:space="preserve">6-(4-carboxy-2,6-dihydroxyphenoxy)-3,4,5-trihydroxyoxane-2-carboxylic acid</t>
  </si>
  <si>
    <t xml:space="preserve">HMDB0126636</t>
  </si>
  <si>
    <t xml:space="preserve">131833020</t>
  </si>
  <si>
    <t xml:space="preserve">OC1C(O)C(OC2=C(O)C=C(C=C2O)C(O)=O)OC(C1O)C(O)=O</t>
  </si>
  <si>
    <t xml:space="preserve">DSZHBCQGMXJFGB-UHFFFAOYSA-N</t>
  </si>
  <si>
    <t xml:space="preserve">381-2</t>
  </si>
  <si>
    <t xml:space="preserve">6-(5-carboxy-2,3-dihydroxyphenoxy)-3,4,5-trihydroxyoxane-2-carboxylic acid</t>
  </si>
  <si>
    <t xml:space="preserve">HMDB0126637</t>
  </si>
  <si>
    <t xml:space="preserve">131833021</t>
  </si>
  <si>
    <t xml:space="preserve">OC1C(O)C(OC2=CC(=CC(O)=C2O)C(O)=O)OC(C1O)C(O)=O</t>
  </si>
  <si>
    <t xml:space="preserve">WGYCQDRFPFTOJY-UHFFFAOYSA-N</t>
  </si>
  <si>
    <t xml:space="preserve">382-1</t>
  </si>
  <si>
    <t xml:space="preserve">Spirorenone</t>
  </si>
  <si>
    <t xml:space="preserve">HMDB0258430</t>
  </si>
  <si>
    <t xml:space="preserve">14860725</t>
  </si>
  <si>
    <t xml:space="preserve">CC12CCC3C(C4CC4C4=CC(=O)C=CC34C)C1C1CC1C21CCC(=O)O1</t>
  </si>
  <si>
    <t xml:space="preserve">NZUIUYWHFPQZBH-UHFFFAOYSA-N</t>
  </si>
  <si>
    <t xml:space="preserve">382-2</t>
  </si>
  <si>
    <t xml:space="preserve">3-(1,1-Dimethyl-2-propenyl)-8-(3-methyl-2-butenyl)xanthyletin</t>
  </si>
  <si>
    <t xml:space="preserve">HMDB0030730</t>
  </si>
  <si>
    <t xml:space="preserve">87156</t>
  </si>
  <si>
    <t xml:space="preserve">174872</t>
  </si>
  <si>
    <t xml:space="preserve">14604074</t>
  </si>
  <si>
    <t xml:space="preserve">30310-55-5</t>
  </si>
  <si>
    <t xml:space="preserve">CC(C)=CCC1=C2OC(=O)C(=CC2=CC2=C1OC(C)(C)C=C2)C(C)(C)C=C</t>
  </si>
  <si>
    <t xml:space="preserve">PIOKBHKPGZHPHS-UHFFFAOYSA-N</t>
  </si>
  <si>
    <t xml:space="preserve">383-1</t>
  </si>
  <si>
    <t xml:space="preserve">Adenosine monophosphate</t>
  </si>
  <si>
    <t xml:space="preserve">HMDB0000045</t>
  </si>
  <si>
    <t xml:space="preserve">34478</t>
  </si>
  <si>
    <t xml:space="preserve">C00020</t>
  </si>
  <si>
    <t xml:space="preserve">16027</t>
  </si>
  <si>
    <t xml:space="preserve">6083</t>
  </si>
  <si>
    <t xml:space="preserve">61-19-8</t>
  </si>
  <si>
    <t xml:space="preserve">NC1=C2N=CN([C@@H]3O[C@H](COP(O)(O)=O)[C@@H](O)[C@H]3O)C2=NC=N1</t>
  </si>
  <si>
    <t xml:space="preserve">UDMBCSSLTHHNCD-KQYNXXCUSA-N</t>
  </si>
  <si>
    <t xml:space="preserve">383-2</t>
  </si>
  <si>
    <t xml:space="preserve">2'-Deoxyguanosine 5'-monophosphate</t>
  </si>
  <si>
    <t xml:space="preserve">HMDB0001044</t>
  </si>
  <si>
    <t xml:space="preserve">C00362</t>
  </si>
  <si>
    <t xml:space="preserve">16192</t>
  </si>
  <si>
    <t xml:space="preserve">65059</t>
  </si>
  <si>
    <t xml:space="preserve">902-04-5</t>
  </si>
  <si>
    <t xml:space="preserve">NC1=NC2=C(N=CN2[C@H]2C[C@H](O)[C@@H](COP(O)(O)=O)O2)C(=O)N1</t>
  </si>
  <si>
    <t xml:space="preserve">LTFMZDNNPPEQNG-KVQBGUIXSA-N</t>
  </si>
  <si>
    <t xml:space="preserve">Purine deoxyribonucleotides</t>
  </si>
  <si>
    <t xml:space="preserve">384-1</t>
  </si>
  <si>
    <t xml:space="preserve">385-1</t>
  </si>
  <si>
    <t xml:space="preserve">386-1</t>
  </si>
  <si>
    <t xml:space="preserve">(S)-5'-Deoxy-5'-(methylsulfinyl)adenosine</t>
  </si>
  <si>
    <t xml:space="preserve">HMDB0033662</t>
  </si>
  <si>
    <t xml:space="preserve">89459</t>
  </si>
  <si>
    <t xml:space="preserve">172121</t>
  </si>
  <si>
    <t xml:space="preserve">13342874</t>
  </si>
  <si>
    <t xml:space="preserve">897-42-7</t>
  </si>
  <si>
    <t xml:space="preserve">CS(=O)CC1OC(C(O)C1O)N1C=NC2=C1N=CN=C2N</t>
  </si>
  <si>
    <t xml:space="preserve">WXOJULRVRHWMGT-UHFFFAOYSA-N</t>
  </si>
  <si>
    <t xml:space="preserve">5'-deoxyribonucleosides</t>
  </si>
  <si>
    <t xml:space="preserve">386-2</t>
  </si>
  <si>
    <t xml:space="preserve">2-Methylthioadenosine</t>
  </si>
  <si>
    <t xml:space="preserve">HMDB0245242</t>
  </si>
  <si>
    <t xml:space="preserve">235484</t>
  </si>
  <si>
    <t xml:space="preserve">CSC1=NC2=C(N=CN2C2OC(CO)C(O)C2O)C(N)=N1</t>
  </si>
  <si>
    <t xml:space="preserve">AJNDEAZTAFKOOO-UHFFFAOYSA-N</t>
  </si>
  <si>
    <t xml:space="preserve">387-1</t>
  </si>
  <si>
    <t xml:space="preserve">Arginylglutamic acid</t>
  </si>
  <si>
    <t xml:space="preserve">HMDB0028708</t>
  </si>
  <si>
    <t xml:space="preserve">63357</t>
  </si>
  <si>
    <t xml:space="preserve">6995003</t>
  </si>
  <si>
    <t xml:space="preserve">15706-89-5</t>
  </si>
  <si>
    <t xml:space="preserve">N[C@@H](CCCNC(N)=N)C(=O)N[C@@H](CCC(O)=O)C(O)=O</t>
  </si>
  <si>
    <t xml:space="preserve">HFKJBCPRWWGPEY-BQBZGAKWSA-N</t>
  </si>
  <si>
    <t xml:space="preserve">387-2</t>
  </si>
  <si>
    <t xml:space="preserve">Glutamylarginine</t>
  </si>
  <si>
    <t xml:space="preserve">HMDB0028813</t>
  </si>
  <si>
    <t xml:space="preserve">157844</t>
  </si>
  <si>
    <t xml:space="preserve">9796450</t>
  </si>
  <si>
    <t xml:space="preserve">7219-59-2</t>
  </si>
  <si>
    <t xml:space="preserve">N[C@@H](CCC(O)=O)C(=O)N[C@@H](CCCNC(N)=N)C(O)=O</t>
  </si>
  <si>
    <t xml:space="preserve">MPZWMIIOPAPAKE-BQBZGAKWSA-N</t>
  </si>
  <si>
    <t xml:space="preserve">387-3</t>
  </si>
  <si>
    <t xml:space="preserve">gamma-Glutamylarginine</t>
  </si>
  <si>
    <t xml:space="preserve">HMDB0029143</t>
  </si>
  <si>
    <t xml:space="preserve">20719180</t>
  </si>
  <si>
    <t xml:space="preserve">31106-03-3</t>
  </si>
  <si>
    <t xml:space="preserve">N[C@@H](CCC(=O)N[C@@H](CCCNC(N)=N)C(O)=O)C(O)=O</t>
  </si>
  <si>
    <t xml:space="preserve">AKAHWGGIUSJNNM-BQBZGAKWSA-N</t>
  </si>
  <si>
    <t xml:space="preserve">388-1</t>
  </si>
  <si>
    <t xml:space="preserve">389-1</t>
  </si>
  <si>
    <t xml:space="preserve">390-1</t>
  </si>
  <si>
    <t xml:space="preserve">(-)-1-Chloro-2-(2,2,2-trichloro-1-(4-chlorophenyl)ethyl)benzene</t>
  </si>
  <si>
    <t xml:space="preserve">HMDB0242196</t>
  </si>
  <si>
    <t xml:space="preserve">69860</t>
  </si>
  <si>
    <t xml:space="preserve">C14187</t>
  </si>
  <si>
    <t xml:space="preserve">13089</t>
  </si>
  <si>
    <t xml:space="preserve">789-02-6</t>
  </si>
  <si>
    <t xml:space="preserve">ClC1=CC=C(C=C1)C(C1=CC=CC=C1Cl)C(Cl)(Cl)Cl</t>
  </si>
  <si>
    <t xml:space="preserve">CVUGPAFCQJIYDT-UHFFFAOYSA-N</t>
  </si>
  <si>
    <t xml:space="preserve">390-2</t>
  </si>
  <si>
    <t xml:space="preserve">Clofenotane</t>
  </si>
  <si>
    <t xml:space="preserve">HMDB0032127</t>
  </si>
  <si>
    <t xml:space="preserve">44244</t>
  </si>
  <si>
    <t xml:space="preserve">C04623</t>
  </si>
  <si>
    <t xml:space="preserve">16130</t>
  </si>
  <si>
    <t xml:space="preserve">3036</t>
  </si>
  <si>
    <t xml:space="preserve">50-29-3</t>
  </si>
  <si>
    <t xml:space="preserve">ClC1=CC=C(C=C1)C(C1=CC=C(Cl)C=C1)C(Cl)(Cl)Cl</t>
  </si>
  <si>
    <t xml:space="preserve">YVGGHNCTFXOJCH-UHFFFAOYSA-N</t>
  </si>
  <si>
    <t xml:space="preserve">391-1</t>
  </si>
  <si>
    <t xml:space="preserve">392-1</t>
  </si>
  <si>
    <t xml:space="preserve">393-1</t>
  </si>
  <si>
    <t xml:space="preserve">394-1</t>
  </si>
  <si>
    <t xml:space="preserve">395-1</t>
  </si>
  <si>
    <t xml:space="preserve">396-1</t>
  </si>
  <si>
    <t xml:space="preserve">397-1</t>
  </si>
  <si>
    <t xml:space="preserve">398-1</t>
  </si>
  <si>
    <t xml:space="preserve">399-1</t>
  </si>
  <si>
    <t xml:space="preserve">400-1</t>
  </si>
  <si>
    <t xml:space="preserve">401-1</t>
  </si>
  <si>
    <t xml:space="preserve">402-1</t>
  </si>
  <si>
    <t xml:space="preserve">Tenoxicam</t>
  </si>
  <si>
    <t xml:space="preserve">HMDB0014612</t>
  </si>
  <si>
    <t xml:space="preserve">553047</t>
  </si>
  <si>
    <t xml:space="preserve">5312154</t>
  </si>
  <si>
    <t xml:space="preserve">59804-37-4</t>
  </si>
  <si>
    <t xml:space="preserve">CN1\C(=C(/O)NC2=CC=CC=N2)C(=O)C2=C(C=CS2)S1(=O)=O</t>
  </si>
  <si>
    <t xml:space="preserve">WZWYJBNHTWCXIM-RAXLEYEMSA-N</t>
  </si>
  <si>
    <t xml:space="preserve">402-2</t>
  </si>
  <si>
    <t xml:space="preserve">Sudoxicam</t>
  </si>
  <si>
    <t xml:space="preserve">HMDB0258562</t>
  </si>
  <si>
    <t xml:space="preserve">CN1C(C(=O)NC2=NC=CS2)=C(O)C2=CC=CC=C2S1(=O)=O</t>
  </si>
  <si>
    <t xml:space="preserve">SYCHUQUJURZQMO-UHFFFAOYSA-N</t>
  </si>
  <si>
    <t xml:space="preserve">Benzothiazines</t>
  </si>
  <si>
    <t xml:space="preserve">402-3</t>
  </si>
  <si>
    <t xml:space="preserve">4-(2,5-Dihydroxypyrrol-1-yl)-N-(1,3-thiazol-2-yl)benzenesulfonamide</t>
  </si>
  <si>
    <t xml:space="preserve">HMDB0260273</t>
  </si>
  <si>
    <t xml:space="preserve">54037138</t>
  </si>
  <si>
    <t xml:space="preserve">OC1=CC=C(O)N1C1=CC=C(C=C1)S(=O)(=O)NC1=NC=CS1</t>
  </si>
  <si>
    <t xml:space="preserve">LJTLSWHFQQZJIB-UHFFFAOYSA-N</t>
  </si>
  <si>
    <t xml:space="preserve">Pyrroles</t>
  </si>
  <si>
    <t xml:space="preserve">Substituted pyrroles</t>
  </si>
  <si>
    <t xml:space="preserve">403-1</t>
  </si>
  <si>
    <t xml:space="preserve">404-1</t>
  </si>
  <si>
    <t xml:space="preserve">Melilotoside</t>
  </si>
  <si>
    <t xml:space="preserve">HMDB0033581</t>
  </si>
  <si>
    <t xml:space="preserve">984972</t>
  </si>
  <si>
    <t xml:space="preserve">C05158</t>
  </si>
  <si>
    <t xml:space="preserve">17531</t>
  </si>
  <si>
    <t xml:space="preserve">5280759</t>
  </si>
  <si>
    <t xml:space="preserve">618-67-7</t>
  </si>
  <si>
    <t xml:space="preserve">OC[C@H]1O[C@@H](OC2=C(\C=C\C(O)=O)C=CC=C2)[C@H](O)[C@@H](O)[C@@H]1O</t>
  </si>
  <si>
    <t xml:space="preserve">GVRIYIMNJGULCZ-ZMKUSUEASA-N</t>
  </si>
  <si>
    <t xml:space="preserve">404-2</t>
  </si>
  <si>
    <t xml:space="preserve">Bilobalide A</t>
  </si>
  <si>
    <t xml:space="preserve">HMDB0036735</t>
  </si>
  <si>
    <t xml:space="preserve">C07605</t>
  </si>
  <si>
    <t xml:space="preserve">11875005</t>
  </si>
  <si>
    <t xml:space="preserve">33570-04-6</t>
  </si>
  <si>
    <t xml:space="preserve">[H][C@]12C[C@@](O)(C(C)(C)C)[C@]34[C@H](O)C(=O)O[C@@]3([H])OC(=O)[C@]14CC(=O)O2</t>
  </si>
  <si>
    <t xml:space="preserve">MOLPUWBMSBJXER-NRSGSQFTSA-N</t>
  </si>
  <si>
    <t xml:space="preserve">404-3</t>
  </si>
  <si>
    <t xml:space="preserve">cis-Melilotoside</t>
  </si>
  <si>
    <t xml:space="preserve">HMDB0060077</t>
  </si>
  <si>
    <t xml:space="preserve">C05839</t>
  </si>
  <si>
    <t xml:space="preserve">62251</t>
  </si>
  <si>
    <t xml:space="preserve">5316113</t>
  </si>
  <si>
    <t xml:space="preserve">2446-60-8</t>
  </si>
  <si>
    <t xml:space="preserve">OC[C@H]1O[C@@H](OC2=C(\C=C/C(O)=O)C=CC=C2)[C@H](O)[C@@H](O)[C@@H]1O</t>
  </si>
  <si>
    <t xml:space="preserve">GVRIYIMNJGULCZ-QLFWQTQQSA-N</t>
  </si>
  <si>
    <t xml:space="preserve">405-1</t>
  </si>
  <si>
    <t xml:space="preserve">406-1</t>
  </si>
  <si>
    <t xml:space="preserve">407-1</t>
  </si>
  <si>
    <t xml:space="preserve">Metolazone</t>
  </si>
  <si>
    <t xml:space="preserve">HMDB0014665</t>
  </si>
  <si>
    <t xml:space="preserve">1249</t>
  </si>
  <si>
    <t xml:space="preserve">C07248</t>
  </si>
  <si>
    <t xml:space="preserve">64354</t>
  </si>
  <si>
    <t xml:space="preserve">4170</t>
  </si>
  <si>
    <t xml:space="preserve">17560-51-9</t>
  </si>
  <si>
    <t xml:space="preserve">CC1NC2=CC(Cl)=C(C=C2C(=O)N1C1=CC=CC=C1C)S(N)(=O)=O</t>
  </si>
  <si>
    <t xml:space="preserve">AQCHWTWZEMGIFD-UHFFFAOYSA-N</t>
  </si>
  <si>
    <t xml:space="preserve">407-2</t>
  </si>
  <si>
    <t xml:space="preserve">Indapamide</t>
  </si>
  <si>
    <t xml:space="preserve">HMDB0014946</t>
  </si>
  <si>
    <t xml:space="preserve">810</t>
  </si>
  <si>
    <t xml:space="preserve">C07050</t>
  </si>
  <si>
    <t xml:space="preserve">5893</t>
  </si>
  <si>
    <t xml:space="preserve">3702</t>
  </si>
  <si>
    <t xml:space="preserve">26807-65-8</t>
  </si>
  <si>
    <t xml:space="preserve">CC1CC2=CC=CC=C2N1NC(=O)C1=CC(=C(Cl)C=C1)S(N)(=O)=O</t>
  </si>
  <si>
    <t xml:space="preserve">NDDAHWYSQHTHNT-UHFFFAOYSA-N</t>
  </si>
  <si>
    <t xml:space="preserve">408-1</t>
  </si>
  <si>
    <t xml:space="preserve">409-1</t>
  </si>
  <si>
    <t xml:space="preserve">410-1</t>
  </si>
  <si>
    <t xml:space="preserve">411-1</t>
  </si>
  <si>
    <t xml:space="preserve">412-1</t>
  </si>
  <si>
    <t xml:space="preserve">413-1</t>
  </si>
  <si>
    <t xml:space="preserve">414-1</t>
  </si>
  <si>
    <t xml:space="preserve">415-1</t>
  </si>
  <si>
    <t xml:space="preserve">416-1</t>
  </si>
  <si>
    <t xml:space="preserve">417-1</t>
  </si>
  <si>
    <t xml:space="preserve">Licoagrochalcone B</t>
  </si>
  <si>
    <t xml:space="preserve">HMDB0035501</t>
  </si>
  <si>
    <t xml:space="preserve">52233</t>
  </si>
  <si>
    <t xml:space="preserve">LMPK12120430</t>
  </si>
  <si>
    <t xml:space="preserve">5318989</t>
  </si>
  <si>
    <t xml:space="preserve">C1(O)C=CC(C(=O)/C=C/C2C=CC3OC(C)(C)C=CC=3C=2OC)=CC=1</t>
  </si>
  <si>
    <t xml:space="preserve">BOJUBZPEDAAMPG-UXBLZVDNSA-N</t>
  </si>
  <si>
    <t xml:space="preserve">417-2</t>
  </si>
  <si>
    <t xml:space="preserve">Curcumin III</t>
  </si>
  <si>
    <t xml:space="preserve">HMDB0039609</t>
  </si>
  <si>
    <t xml:space="preserve">131752689</t>
  </si>
  <si>
    <t xml:space="preserve">91884-88-7</t>
  </si>
  <si>
    <t xml:space="preserve">OC1=CC=C(C\C=C\C(=O)CC(=O)\C=C/CC2=CC=C(O)C=C2)C=C1</t>
  </si>
  <si>
    <t xml:space="preserve">YIKBSQXTKGFYHB-SOSXVSKCSA-N</t>
  </si>
  <si>
    <t xml:space="preserve">418-1</t>
  </si>
  <si>
    <t xml:space="preserve">419-1</t>
  </si>
  <si>
    <t xml:space="preserve">420-1</t>
  </si>
  <si>
    <t xml:space="preserve">2,3-Di-O-methylellagic acid</t>
  </si>
  <si>
    <t xml:space="preserve">HMDB0041395</t>
  </si>
  <si>
    <t xml:space="preserve">95796</t>
  </si>
  <si>
    <t xml:space="preserve">5316858</t>
  </si>
  <si>
    <t xml:space="preserve">52600-48-3</t>
  </si>
  <si>
    <t xml:space="preserve">COC1=C(OC)C2=C3C(=C1)C(=O)OC1=C3C(=CC(O)=C1O)C(=O)O2</t>
  </si>
  <si>
    <t xml:space="preserve">DMPZOHHHRRENRS-UHFFFAOYSA-N</t>
  </si>
  <si>
    <t xml:space="preserve">420-2</t>
  </si>
  <si>
    <t xml:space="preserve">2,8-Di-O-methylellagic acid</t>
  </si>
  <si>
    <t xml:space="preserve">HMDB0041396</t>
  </si>
  <si>
    <t xml:space="preserve">95797</t>
  </si>
  <si>
    <t xml:space="preserve">5491816</t>
  </si>
  <si>
    <t xml:space="preserve">57499-59-9</t>
  </si>
  <si>
    <t xml:space="preserve">COC1=C(O)C2=C3C(=C1)C(=O)OC1=C3C(=CC(O)=C1OC)C(=O)O2</t>
  </si>
  <si>
    <t xml:space="preserve">SUBZWRYOAOVYOC-UHFFFAOYSA-N</t>
  </si>
  <si>
    <t xml:space="preserve">420-3</t>
  </si>
  <si>
    <t xml:space="preserve">Blighinone</t>
  </si>
  <si>
    <t xml:space="preserve">HMDB0030643</t>
  </si>
  <si>
    <t xml:space="preserve">175199</t>
  </si>
  <si>
    <t xml:space="preserve">137185904</t>
  </si>
  <si>
    <t xml:space="preserve">20544-62-1</t>
  </si>
  <si>
    <t xml:space="preserve">CC1(O)C(=O)C2=C(O)C(=CC(O)=C2C2=C1C(=O)C=CC2=O)C(O)=O</t>
  </si>
  <si>
    <t xml:space="preserve">YFUQJMOETZJFHO-UHFFFAOYSA-N</t>
  </si>
  <si>
    <t xml:space="preserve">Phenanthrenes and derivatives</t>
  </si>
  <si>
    <t xml:space="preserve">Hydrophenanthrenes</t>
  </si>
  <si>
    <t xml:space="preserve">421-1</t>
  </si>
  <si>
    <t xml:space="preserve">422-1</t>
  </si>
  <si>
    <t xml:space="preserve">3,4',5-Trihydroxy-3',7-dimethoxyflavanone</t>
  </si>
  <si>
    <t xml:space="preserve">HMDB0037503</t>
  </si>
  <si>
    <t xml:space="preserve">92379</t>
  </si>
  <si>
    <t xml:space="preserve">175236</t>
  </si>
  <si>
    <t xml:space="preserve">14353345</t>
  </si>
  <si>
    <t xml:space="preserve">37971-67-8</t>
  </si>
  <si>
    <t xml:space="preserve">COC1=CC(O)=C2C(=O)C(O)C(OC2=C1)C1=CC(OC)=C(O)C=C1</t>
  </si>
  <si>
    <t xml:space="preserve">DQZRHRLTSJNVBC-UHFFFAOYSA-N</t>
  </si>
  <si>
    <t xml:space="preserve">422-2</t>
  </si>
  <si>
    <t xml:space="preserve">3,3',5-Trihydroxy-4',7-dimethoxyflavanone</t>
  </si>
  <si>
    <t xml:space="preserve">HMDB0037504</t>
  </si>
  <si>
    <t xml:space="preserve">92380</t>
  </si>
  <si>
    <t xml:space="preserve">175238</t>
  </si>
  <si>
    <t xml:space="preserve">11256019</t>
  </si>
  <si>
    <t xml:space="preserve">79995-67-8</t>
  </si>
  <si>
    <t xml:space="preserve">COC1=CC(O)=C2C(=O)C(O)C(OC2=C1)C1=CC(O)=C(OC)C=C1</t>
  </si>
  <si>
    <t xml:space="preserve">SVPNMFZMHPLGRR-UHFFFAOYSA-N</t>
  </si>
  <si>
    <t xml:space="preserve">423-1</t>
  </si>
  <si>
    <t xml:space="preserve">424-1</t>
  </si>
  <si>
    <t xml:space="preserve">425-1</t>
  </si>
  <si>
    <t xml:space="preserve">Pentacosanoic acid</t>
  </si>
  <si>
    <t xml:space="preserve">HMDB0002361</t>
  </si>
  <si>
    <t xml:space="preserve">4209</t>
  </si>
  <si>
    <t xml:space="preserve">LMFA01010025</t>
  </si>
  <si>
    <t xml:space="preserve">39420</t>
  </si>
  <si>
    <t xml:space="preserve">10468</t>
  </si>
  <si>
    <t xml:space="preserve">506-38-7</t>
  </si>
  <si>
    <t xml:space="preserve">C(CCCCCCCCCCCCC(=O)O)CCCCCCCCCCC</t>
  </si>
  <si>
    <t xml:space="preserve">MWMPEAHGUXCSMY-UHFFFAOYSA-N</t>
  </si>
  <si>
    <t xml:space="preserve">425-2</t>
  </si>
  <si>
    <t xml:space="preserve">6-Hydroxy-8-pentacosanone</t>
  </si>
  <si>
    <t xml:space="preserve">HMDB0035629</t>
  </si>
  <si>
    <t xml:space="preserve">90899</t>
  </si>
  <si>
    <t xml:space="preserve">131751819</t>
  </si>
  <si>
    <t xml:space="preserve">CCCCCCCCCCCCCCCCCC(=O)CC(O)CCCCC</t>
  </si>
  <si>
    <t xml:space="preserve">GWONURZMUVCQJN-UHFFFAOYSA-N</t>
  </si>
  <si>
    <t xml:space="preserve">425-3</t>
  </si>
  <si>
    <t xml:space="preserve">4-Hydroxy-6-pentacosanone</t>
  </si>
  <si>
    <t xml:space="preserve">HMDB0035630</t>
  </si>
  <si>
    <t xml:space="preserve">90900</t>
  </si>
  <si>
    <t xml:space="preserve">131751820</t>
  </si>
  <si>
    <t xml:space="preserve">CCCCCCCCCCCCCCCCCCCC(=O)CC(O)CCC</t>
  </si>
  <si>
    <t xml:space="preserve">SXAOJJRLCHVAGW-UHFFFAOYSA-N</t>
  </si>
  <si>
    <t xml:space="preserve">426-1</t>
  </si>
  <si>
    <t xml:space="preserve">427-1</t>
  </si>
  <si>
    <t xml:space="preserve">428-1</t>
  </si>
  <si>
    <t xml:space="preserve">429-1</t>
  </si>
  <si>
    <t xml:space="preserve">430-1</t>
  </si>
  <si>
    <t xml:space="preserve">Wushanicaritin</t>
  </si>
  <si>
    <t xml:space="preserve">HMDB0257872</t>
  </si>
  <si>
    <t xml:space="preserve">LMPK12110561</t>
  </si>
  <si>
    <t xml:space="preserve">12310757</t>
  </si>
  <si>
    <t xml:space="preserve">C1(O)=C(CCC(O)(C)C)C2OC(C3C=CC(OC)=CC=3)=C(O)C(=O)C=2C(O)=C1</t>
  </si>
  <si>
    <t xml:space="preserve">VAYWXTLNNGACLF-UHFFFAOYSA-N</t>
  </si>
  <si>
    <t xml:space="preserve">430-2</t>
  </si>
  <si>
    <t xml:space="preserve">Edultin</t>
  </si>
  <si>
    <t xml:space="preserve">HMDB0030601</t>
  </si>
  <si>
    <t xml:space="preserve">91698393</t>
  </si>
  <si>
    <t xml:space="preserve">15591-75-0</t>
  </si>
  <si>
    <t xml:space="preserve">C\C=C(\C)C(=O)OC1C(OC2=C1C1=C(C=C2)C=CC(=O)O1)C(C)(C)OC(C)=O</t>
  </si>
  <si>
    <t xml:space="preserve">FFCDTHIJWHJUQJ-WDZFZDKYSA-N</t>
  </si>
  <si>
    <t xml:space="preserve">431-1</t>
  </si>
  <si>
    <t xml:space="preserve">432-1</t>
  </si>
  <si>
    <t xml:space="preserve">rac-Sitagliptin</t>
  </si>
  <si>
    <t xml:space="preserve">HMDB0257085</t>
  </si>
  <si>
    <t xml:space="preserve">NC(CC(=O)N1CCN2C(C1)=NN=C2C(F)(F)F)CC1=CC(F)=C(F)C=C1F</t>
  </si>
  <si>
    <t xml:space="preserve">MFFMDFFZMYYVKS-UHFFFAOYSA-N</t>
  </si>
  <si>
    <t xml:space="preserve">432-2</t>
  </si>
  <si>
    <t xml:space="preserve">Sitagliptin</t>
  </si>
  <si>
    <t xml:space="preserve">HMDB0015390</t>
  </si>
  <si>
    <t xml:space="preserve">85042</t>
  </si>
  <si>
    <t xml:space="preserve">40237</t>
  </si>
  <si>
    <t xml:space="preserve">4369359</t>
  </si>
  <si>
    <t xml:space="preserve">486460-32-6</t>
  </si>
  <si>
    <t xml:space="preserve">N[C@@H](CC(=O)N1CCN2C(C1)=NN=C2C(F)(F)F)CC1=CC(F)=C(F)C=C1F</t>
  </si>
  <si>
    <t xml:space="preserve">MFFMDFFZMYYVKS-SECBINFHSA-N</t>
  </si>
  <si>
    <t xml:space="preserve">433-1</t>
  </si>
  <si>
    <t xml:space="preserve">434-1</t>
  </si>
  <si>
    <t xml:space="preserve">435-1</t>
  </si>
  <si>
    <t xml:space="preserve">436-1</t>
  </si>
  <si>
    <t xml:space="preserve">Gravacridonechlorine</t>
  </si>
  <si>
    <t xml:space="preserve">HMDB0030384</t>
  </si>
  <si>
    <t xml:space="preserve">86935</t>
  </si>
  <si>
    <t xml:space="preserve">5315835</t>
  </si>
  <si>
    <t xml:space="preserve">38494-84-7</t>
  </si>
  <si>
    <t xml:space="preserve">CN1C2=CC=CC=C2C(=O)C2=C1C1=C(OC(C1)C(C)(Cl)CO)C=C2O</t>
  </si>
  <si>
    <t xml:space="preserve">NJSSDVNYKRNTDP-UHFFFAOYSA-N</t>
  </si>
  <si>
    <t xml:space="preserve">436-2</t>
  </si>
  <si>
    <t xml:space="preserve">Romucosine B</t>
  </si>
  <si>
    <t xml:space="preserve">HMDB0036989</t>
  </si>
  <si>
    <t xml:space="preserve">85152934</t>
  </si>
  <si>
    <t xml:space="preserve">356048-24-3</t>
  </si>
  <si>
    <t xml:space="preserve">COC(=O)N1CCC2=C(Cl)C(O)=C(OC)C3=C2C1CC1=C3C=CC=C1</t>
  </si>
  <si>
    <t xml:space="preserve">FFSNCZHOAOMPLR-UHFFFAOYSA-N</t>
  </si>
  <si>
    <t xml:space="preserve">Aporphines</t>
  </si>
  <si>
    <t xml:space="preserve">436-3</t>
  </si>
  <si>
    <t xml:space="preserve">Isogravacridonechlorine</t>
  </si>
  <si>
    <t xml:space="preserve">HMDB0030189</t>
  </si>
  <si>
    <t xml:space="preserve">86782</t>
  </si>
  <si>
    <t xml:space="preserve">542693</t>
  </si>
  <si>
    <t xml:space="preserve">5486900</t>
  </si>
  <si>
    <t xml:space="preserve">62512-94-1</t>
  </si>
  <si>
    <t xml:space="preserve">CN1C2=CC=CC=C2C(=O)C2=C1C1=C(OC(C1)C(C)(O)CCl)C=C2O</t>
  </si>
  <si>
    <t xml:space="preserve">PGOOUZZLZBIMRI-UHFFFAOYSA-N</t>
  </si>
  <si>
    <t xml:space="preserve">437-1</t>
  </si>
  <si>
    <t xml:space="preserve">4-hydroxytriazolam</t>
  </si>
  <si>
    <t xml:space="preserve">HMDB0061052</t>
  </si>
  <si>
    <t xml:space="preserve">2915</t>
  </si>
  <si>
    <t xml:space="preserve">128260</t>
  </si>
  <si>
    <t xml:space="preserve">65686-11-5</t>
  </si>
  <si>
    <t xml:space="preserve">CC1=NN=C2C(O)N=C(C3=CC=CC=C3Cl)C3=C(C=CC(Cl)=C3)N12</t>
  </si>
  <si>
    <t xml:space="preserve">YUQRFPYHTPARRM-UHFFFAOYSA-N</t>
  </si>
  <si>
    <t xml:space="preserve">437-2</t>
  </si>
  <si>
    <t xml:space="preserve">1'-hydroxytriazolam</t>
  </si>
  <si>
    <t xml:space="preserve">HMDB0061053</t>
  </si>
  <si>
    <t xml:space="preserve">3035212</t>
  </si>
  <si>
    <t xml:space="preserve">OCC1=NN=C2CN=C(C3=CC=CC=C3Cl)C3=C(C=CC(Cl)=C3)N12</t>
  </si>
  <si>
    <t xml:space="preserve">BHUYWUDMVCLHND-UHFFFAOYSA-N</t>
  </si>
  <si>
    <t xml:space="preserve">438-1</t>
  </si>
  <si>
    <t xml:space="preserve">439-1</t>
  </si>
  <si>
    <t xml:space="preserve">FA(26:0)</t>
  </si>
  <si>
    <t xml:space="preserve">HMDB0002356</t>
  </si>
  <si>
    <t xml:space="preserve">4212</t>
  </si>
  <si>
    <t xml:space="preserve">LMFA01010026</t>
  </si>
  <si>
    <t xml:space="preserve">31009</t>
  </si>
  <si>
    <t xml:space="preserve">10469</t>
  </si>
  <si>
    <t xml:space="preserve">506-46-7</t>
  </si>
  <si>
    <t xml:space="preserve">C(CCCCCCCCCCCCC(=O)O)CCCCCCCCCCCC</t>
  </si>
  <si>
    <t xml:space="preserve">XMHIUKTWLZUKEX-UHFFFAOYSA-N</t>
  </si>
  <si>
    <t xml:space="preserve">439-2</t>
  </si>
  <si>
    <t xml:space="preserve">6-Hydroxy-8-hexacosanone</t>
  </si>
  <si>
    <t xml:space="preserve">HMDB0035628</t>
  </si>
  <si>
    <t xml:space="preserve">90898</t>
  </si>
  <si>
    <t xml:space="preserve">131751818</t>
  </si>
  <si>
    <t xml:space="preserve">CCCCCCCCCCCCCCCCCCC(=O)CC(O)CCCCC</t>
  </si>
  <si>
    <t xml:space="preserve">AZPCZHMEQBFZQM-UHFFFAOYSA-N</t>
  </si>
  <si>
    <t xml:space="preserve">440-1</t>
  </si>
  <si>
    <t xml:space="preserve">441-1</t>
  </si>
  <si>
    <t xml:space="preserve">3',6'-Dihydroxy-4,5-diaminospiro[isobenzofuran-1(3H),9'-[9H]xanthene]-3-one</t>
  </si>
  <si>
    <t xml:space="preserve">HMDB0257630</t>
  </si>
  <si>
    <t xml:space="preserve">9947067</t>
  </si>
  <si>
    <t xml:space="preserve">NC1=C(N)C2=C(C=C1)C1(OC2=O)C2=C(OC3=C1C=CC(O)=C3)C=C(O)C=C2</t>
  </si>
  <si>
    <t xml:space="preserve">LPVRTLOUIWNQCQ-UHFFFAOYSA-N</t>
  </si>
  <si>
    <t xml:space="preserve">441-2</t>
  </si>
  <si>
    <t xml:space="preserve">4,5-Diaminofluorescein</t>
  </si>
  <si>
    <t xml:space="preserve">HMDB0250826</t>
  </si>
  <si>
    <t xml:space="preserve">64883</t>
  </si>
  <si>
    <t xml:space="preserve">10666340</t>
  </si>
  <si>
    <t xml:space="preserve">205391-01-1</t>
  </si>
  <si>
    <t xml:space="preserve">NC1=C(N)C=C2C(=C1)C(=O)OC21C2=C(OC3=C1C=CC(O)=C3)C=C(O)C=C2</t>
  </si>
  <si>
    <t xml:space="preserve">LTYUPYUWXRTNFQ-UHFFFAOYSA-N</t>
  </si>
  <si>
    <t xml:space="preserve">442-1</t>
  </si>
  <si>
    <t xml:space="preserve">3'-Monoiodo-L-thyronine</t>
  </si>
  <si>
    <t xml:space="preserve">HMDB0062356</t>
  </si>
  <si>
    <t xml:space="preserve">122056</t>
  </si>
  <si>
    <t xml:space="preserve">4732-82-5</t>
  </si>
  <si>
    <t xml:space="preserve">N[C@@H](CC1=CC=C(OC2=CC(I)=C(O)C=C2)C=C1)C(O)=O</t>
  </si>
  <si>
    <t xml:space="preserve">RUIUIJSMLKJUDC-ZDUSSCGKSA-N</t>
  </si>
  <si>
    <t xml:space="preserve">442-2</t>
  </si>
  <si>
    <t xml:space="preserve">2-Amino-3-(4-(4-hydroxyphenoxy)-3-iodophenyl)propanoic acid</t>
  </si>
  <si>
    <t xml:space="preserve">HMDB0244731</t>
  </si>
  <si>
    <t xml:space="preserve">123785</t>
  </si>
  <si>
    <t xml:space="preserve">NC(CC1=CC(I)=C(OC2=CC=C(O)C=C2)C=C1)C(O)=O</t>
  </si>
  <si>
    <t xml:space="preserve">SXQVOFSDWXYIRP-UHFFFAOYSA-N</t>
  </si>
  <si>
    <t xml:space="preserve">442-3</t>
  </si>
  <si>
    <t xml:space="preserve">Monoiodothyronine</t>
  </si>
  <si>
    <t xml:space="preserve">HMDB0000793</t>
  </si>
  <si>
    <t xml:space="preserve">5758</t>
  </si>
  <si>
    <t xml:space="preserve">53477717</t>
  </si>
  <si>
    <t xml:space="preserve">29354-16-3</t>
  </si>
  <si>
    <t xml:space="preserve">N[C@H](CC1=CC(I)=C(OC2=CC=C(O)C=C2)C=C1)C(O)=O</t>
  </si>
  <si>
    <t xml:space="preserve">SXQVOFSDWXYIRP-CYBMUJFWSA-N</t>
  </si>
  <si>
    <t xml:space="preserve">443-1</t>
  </si>
  <si>
    <t xml:space="preserve">444-1</t>
  </si>
  <si>
    <t xml:space="preserve">445-1</t>
  </si>
  <si>
    <t xml:space="preserve">Fludarabine</t>
  </si>
  <si>
    <t xml:space="preserve">HMDB0015206</t>
  </si>
  <si>
    <t xml:space="preserve">675</t>
  </si>
  <si>
    <t xml:space="preserve">63599</t>
  </si>
  <si>
    <t xml:space="preserve">30751</t>
  </si>
  <si>
    <t xml:space="preserve">75607-67-9</t>
  </si>
  <si>
    <t xml:space="preserve">NC1=C2N=CN([C@@H]3O[C@H](COP(O)(O)=O)[C@@H](O)[C@@H]3O)C2=NC(F)=N1</t>
  </si>
  <si>
    <t xml:space="preserve">GIUYCYHIANZCFB-FJFJXFQQSA-N</t>
  </si>
  <si>
    <t xml:space="preserve">445-2</t>
  </si>
  <si>
    <t xml:space="preserve">Fludara</t>
  </si>
  <si>
    <t xml:space="preserve">HMDB0245127</t>
  </si>
  <si>
    <t xml:space="preserve">3368</t>
  </si>
  <si>
    <t xml:space="preserve">NC1=NC(F)=NC2=C1N=CN2C1OC(COP(O)(O)=O)C(O)C1O</t>
  </si>
  <si>
    <t xml:space="preserve">GIUYCYHIANZCFB-UHFFFAOYSA-N</t>
  </si>
  <si>
    <t xml:space="preserve">446-1</t>
  </si>
  <si>
    <t xml:space="preserve">447-1</t>
  </si>
  <si>
    <t xml:space="preserve">448-1</t>
  </si>
  <si>
    <t xml:space="preserve">449-1</t>
  </si>
  <si>
    <t xml:space="preserve">450-1</t>
  </si>
  <si>
    <t xml:space="preserve">451-1</t>
  </si>
  <si>
    <t xml:space="preserve">452-1</t>
  </si>
  <si>
    <t xml:space="preserve">453-1</t>
  </si>
  <si>
    <t xml:space="preserve">454-1</t>
  </si>
  <si>
    <t xml:space="preserve">455-1</t>
  </si>
  <si>
    <t xml:space="preserve">(2S)-5-(Diaminomethylideneamino)-2-[[2-(2,2-diphenylethoxy)acetyl]amino]pentanoic acid</t>
  </si>
  <si>
    <t xml:space="preserve">HMDB0257522</t>
  </si>
  <si>
    <t xml:space="preserve">5167</t>
  </si>
  <si>
    <t xml:space="preserve">NC(N)=NCCCC(NC(=O)COCC(C1=CC=CC=C1)C1=CC=CC=C1)C(O)=O</t>
  </si>
  <si>
    <t xml:space="preserve">RRKKJYBCPXAJAO-UHFFFAOYSA-N</t>
  </si>
  <si>
    <t xml:space="preserve">455-2</t>
  </si>
  <si>
    <t xml:space="preserve">(E)-8-(3,4-Dimethoxystyryl)-7-methyl-1,3-dipropylxanthine</t>
  </si>
  <si>
    <t xml:space="preserve">HMDB0253795</t>
  </si>
  <si>
    <t xml:space="preserve">3072326</t>
  </si>
  <si>
    <t xml:space="preserve">CCCN1C2=C(N(C)C(C=CC3=CC(OC)=C(OC)C=C3)=N2)C(=O)N(CCC)C1=O</t>
  </si>
  <si>
    <t xml:space="preserve">UQGGPCQNHJCOPS-UHFFFAOYSA-N</t>
  </si>
  <si>
    <t xml:space="preserve">455-3</t>
  </si>
  <si>
    <t xml:space="preserve">Ametantrone</t>
  </si>
  <si>
    <t xml:space="preserve">HMDB0249621</t>
  </si>
  <si>
    <t xml:space="preserve">351491</t>
  </si>
  <si>
    <t xml:space="preserve">2134</t>
  </si>
  <si>
    <t xml:space="preserve">OCCNCCNC1=C2C(=O)C3=CC=CC=C3C(=O)C2=C(NCCNCCO)C=C1</t>
  </si>
  <si>
    <t xml:space="preserve">FFGSXKJJVBXWCY-UHFFFAOYSA-N</t>
  </si>
  <si>
    <t xml:space="preserve">456-1</t>
  </si>
  <si>
    <t xml:space="preserve">457-1</t>
  </si>
  <si>
    <t xml:space="preserve">Podofilox</t>
  </si>
  <si>
    <t xml:space="preserve">HMDB0015310</t>
  </si>
  <si>
    <t xml:space="preserve">C10874</t>
  </si>
  <si>
    <t xml:space="preserve">50305</t>
  </si>
  <si>
    <t xml:space="preserve">10607</t>
  </si>
  <si>
    <t xml:space="preserve">477-47-4</t>
  </si>
  <si>
    <t xml:space="preserve">[H][C@]12COC(=O)[C@]1([H])[C@H](C1=CC(OC)=C(OC)C(OC)=C1)C1=CC3=C(OCO3)C=C1[C@@H]2O</t>
  </si>
  <si>
    <t xml:space="preserve">YJGVMLPVUAXIQN-XVVDYKMHSA-N</t>
  </si>
  <si>
    <t xml:space="preserve">Lignan lactones</t>
  </si>
  <si>
    <t xml:space="preserve">Podophyllotoxins</t>
  </si>
  <si>
    <t xml:space="preserve">457-2</t>
  </si>
  <si>
    <t xml:space="preserve">Lignans</t>
  </si>
  <si>
    <t xml:space="preserve">HMDB0031452</t>
  </si>
  <si>
    <t xml:space="preserve">87691</t>
  </si>
  <si>
    <t xml:space="preserve">C10871</t>
  </si>
  <si>
    <t xml:space="preserve">443013</t>
  </si>
  <si>
    <t xml:space="preserve">COC1=CC(=CC(OC)=C1OC)[C@H]1[C@H]2C(COC2=O)[C@@H](O)C2=CC3=C(OCO3)C=C12</t>
  </si>
  <si>
    <t xml:space="preserve">YJGVMLPVUAXIQN-BCVBHCCTSA-N</t>
  </si>
  <si>
    <t xml:space="preserve">458-1</t>
  </si>
  <si>
    <t xml:space="preserve">Catechin 7-sulfate</t>
  </si>
  <si>
    <t xml:space="preserve">HMDB0240436</t>
  </si>
  <si>
    <t xml:space="preserve">1123761-39-6</t>
  </si>
  <si>
    <t xml:space="preserve">[H][C@]1(O)CC2=C(O)C=C(OS(O)(=O)=O)C=C2O[C@]1([H])C1=CC(O)=C(O)C=C1</t>
  </si>
  <si>
    <t xml:space="preserve">RTMISWLJQDWIPT-DZGCQCFKSA-N</t>
  </si>
  <si>
    <t xml:space="preserve">Flavans</t>
  </si>
  <si>
    <t xml:space="preserve">458-2</t>
  </si>
  <si>
    <t xml:space="preserve">Catechin 3-sulfate</t>
  </si>
  <si>
    <t xml:space="preserve">HMDB0240437</t>
  </si>
  <si>
    <t xml:space="preserve">149590</t>
  </si>
  <si>
    <t xml:space="preserve">146026647</t>
  </si>
  <si>
    <t xml:space="preserve">2095326-82-0</t>
  </si>
  <si>
    <t xml:space="preserve">[H][C@@]1(CC2=C(O)C=C(O)C=C2O[C@]1([H])C1=CC(O)=C(O)C=C1)OS(O)(=O)=O</t>
  </si>
  <si>
    <t xml:space="preserve">FLSYXGAHKYHTCZ-LSDHHAIUSA-N</t>
  </si>
  <si>
    <t xml:space="preserve">458-3</t>
  </si>
  <si>
    <t xml:space="preserve">Catechin 3'-sulfate</t>
  </si>
  <si>
    <t xml:space="preserve">HMDB0240485</t>
  </si>
  <si>
    <t xml:space="preserve">102232874</t>
  </si>
  <si>
    <t xml:space="preserve">[H][C@]1(O)CC2=C(O)C=C(O)C=C2O[C@]1([H])C1=CC(OS(O)(=O)=O)=C(O)C=C1</t>
  </si>
  <si>
    <t xml:space="preserve">VBSMBNMUYITMLB-SWLSCSKDSA-N</t>
  </si>
  <si>
    <t xml:space="preserve">459-1</t>
  </si>
  <si>
    <t xml:space="preserve">460-1</t>
  </si>
  <si>
    <t xml:space="preserve">461-1</t>
  </si>
  <si>
    <t xml:space="preserve">462-1</t>
  </si>
  <si>
    <t xml:space="preserve">UVA-1</t>
  </si>
  <si>
    <t xml:space="preserve">HMDB0259732</t>
  </si>
  <si>
    <t xml:space="preserve">23508622</t>
  </si>
  <si>
    <t xml:space="preserve">CC1=CC(CN2C(=O)C3=CC=CC=C3C2=O)=C(O)C(=C1)N1N=C2C=CC=CC2=N1</t>
  </si>
  <si>
    <t xml:space="preserve">MRPAPSRRNXMGJW-UHFFFAOYSA-N</t>
  </si>
  <si>
    <t xml:space="preserve">462-2</t>
  </si>
  <si>
    <t xml:space="preserve">4-(4-(Benzo[d][1,3]dioxol-5-yl)-5-(pyridin-2-yl)-1H-imidazol-2-yl)benzamide</t>
  </si>
  <si>
    <t xml:space="preserve">HMDB0246120</t>
  </si>
  <si>
    <t xml:space="preserve">45432</t>
  </si>
  <si>
    <t xml:space="preserve">91108</t>
  </si>
  <si>
    <t xml:space="preserve">4521392</t>
  </si>
  <si>
    <t xml:space="preserve">301836-41-9</t>
  </si>
  <si>
    <t xml:space="preserve">NC(=O)C1=CC=C(C=C1)C1=NC(=C(N1)C1=CC2=C(OCO2)C=C1)C1=CC=CC=N1</t>
  </si>
  <si>
    <t xml:space="preserve">FHYUGAJXYORMHI-UHFFFAOYSA-N</t>
  </si>
  <si>
    <t xml:space="preserve">463-1</t>
  </si>
  <si>
    <t xml:space="preserve">464-1</t>
  </si>
  <si>
    <t xml:space="preserve">465-1</t>
  </si>
  <si>
    <t xml:space="preserve">Cryptomeridiol 11-rhamnoside</t>
  </si>
  <si>
    <t xml:space="preserve">HMDB0038018</t>
  </si>
  <si>
    <t xml:space="preserve">73077690</t>
  </si>
  <si>
    <t xml:space="preserve">349112-30-7</t>
  </si>
  <si>
    <t xml:space="preserve">CC1OC(OC(C)(C)C2CCC3(C)CCCC(C)(O)C3C2)C(O)C(O)C1O</t>
  </si>
  <si>
    <t xml:space="preserve">HUSBLOAZNQURFJ-UHFFFAOYSA-N</t>
  </si>
  <si>
    <t xml:space="preserve">465-2</t>
  </si>
  <si>
    <t xml:space="preserve">Mangalkanyl glucoside</t>
  </si>
  <si>
    <t xml:space="preserve">HMDB0036015</t>
  </si>
  <si>
    <t xml:space="preserve">91194</t>
  </si>
  <si>
    <t xml:space="preserve">168982</t>
  </si>
  <si>
    <t xml:space="preserve">131751899</t>
  </si>
  <si>
    <t xml:space="preserve">259144-63-3</t>
  </si>
  <si>
    <t xml:space="preserve">CCCCCCCCCC1CCC=CC1OC1OC(CO)C(O)C(O)C1O</t>
  </si>
  <si>
    <t xml:space="preserve">UMZTUZCMBMNJSZ-UHFFFAOYSA-N</t>
  </si>
  <si>
    <t xml:space="preserve">465-3</t>
  </si>
  <si>
    <t xml:space="preserve">Glycerol trihexanoate</t>
  </si>
  <si>
    <t xml:space="preserve">HMDB0031125</t>
  </si>
  <si>
    <t xml:space="preserve">87428</t>
  </si>
  <si>
    <t xml:space="preserve">77386</t>
  </si>
  <si>
    <t xml:space="preserve">12131</t>
  </si>
  <si>
    <t xml:space="preserve">621-70-5</t>
  </si>
  <si>
    <t xml:space="preserve">CCCCCC(=O)OCC(COC(=O)CCCCC)OC(=O)CCCCC</t>
  </si>
  <si>
    <t xml:space="preserve">MAYCICSNZYXLHB-UHFFFAOYSA-N</t>
  </si>
  <si>
    <t xml:space="preserve">466-1</t>
  </si>
  <si>
    <t xml:space="preserve">467-1</t>
  </si>
  <si>
    <t xml:space="preserve">468-1</t>
  </si>
  <si>
    <t xml:space="preserve">(6E,9E,12E)-hexadeca-6,9,12-trienedioylcarnitine</t>
  </si>
  <si>
    <t xml:space="preserve">HMDB0241500</t>
  </si>
  <si>
    <t xml:space="preserve">C[N+](C)(C)CC(CC([O-])=O)OC(=O)CCCCC=CCC=CCC=CCCC(O)=O</t>
  </si>
  <si>
    <t xml:space="preserve">WQYJEEUDWOXWCP-UHFFFAOYSA-N</t>
  </si>
  <si>
    <t xml:space="preserve">468-2</t>
  </si>
  <si>
    <t xml:space="preserve">(5E,8E,11E)-Hexadeca-5,8,11-trienedioylcarnitine</t>
  </si>
  <si>
    <t xml:space="preserve">HMDB0241501</t>
  </si>
  <si>
    <t xml:space="preserve">C[N+](C)(C)CC(CC([O-])=O)OC(=O)CCCC=CCC=CCC=CCCCC(O)=O</t>
  </si>
  <si>
    <t xml:space="preserve">WRLHCOOWSPPGFT-UHFFFAOYSA-N</t>
  </si>
  <si>
    <t xml:space="preserve">468-3</t>
  </si>
  <si>
    <t xml:space="preserve">(2Z,6Z,10Z)-Hexadeca-2,6,10-trienedioylcarnitine</t>
  </si>
  <si>
    <t xml:space="preserve">HMDB0241502</t>
  </si>
  <si>
    <t xml:space="preserve">C[N+](C)(C)CC(CC([O-])=O)OC(=O)C=CCCC=CCCC=CCCCCC(O)=O</t>
  </si>
  <si>
    <t xml:space="preserve">UIAPNQBOFVJRPV-UHFFFAOYSA-N</t>
  </si>
  <si>
    <t xml:space="preserve">469-1</t>
  </si>
  <si>
    <t xml:space="preserve">470-1</t>
  </si>
  <si>
    <t xml:space="preserve">471-1</t>
  </si>
  <si>
    <t xml:space="preserve">472-1</t>
  </si>
  <si>
    <t xml:space="preserve">473-1</t>
  </si>
  <si>
    <t xml:space="preserve">474-1</t>
  </si>
  <si>
    <t xml:space="preserve">ADP</t>
  </si>
  <si>
    <t xml:space="preserve">HMDB0001341</t>
  </si>
  <si>
    <t xml:space="preserve">34522</t>
  </si>
  <si>
    <t xml:space="preserve">C00008</t>
  </si>
  <si>
    <t xml:space="preserve">16761</t>
  </si>
  <si>
    <t xml:space="preserve">6022</t>
  </si>
  <si>
    <t xml:space="preserve">58-64-0</t>
  </si>
  <si>
    <t xml:space="preserve">NC1=NC=NC2=C1N=CN2[C@@H]1O[C@H](COP(O)(=O)OP(O)(O)=O)[C@@H](O)[C@H]1O</t>
  </si>
  <si>
    <t xml:space="preserve">XTWYTFMLZFPYCI-KQYNXXCUSA-N</t>
  </si>
  <si>
    <t xml:space="preserve">474-2</t>
  </si>
  <si>
    <t xml:space="preserve">Adenosine 3',5'-diphosphate</t>
  </si>
  <si>
    <t xml:space="preserve">HMDB0000061</t>
  </si>
  <si>
    <t xml:space="preserve">C00054</t>
  </si>
  <si>
    <t xml:space="preserve">17985</t>
  </si>
  <si>
    <t xml:space="preserve">159296</t>
  </si>
  <si>
    <t xml:space="preserve">1053-73-2</t>
  </si>
  <si>
    <t xml:space="preserve">NC1=C2N=CN([C@@H]3O[C@H](COP(O)(O)=O)[C@@H](OP(O)(O)=O)[C@H]3O)C2=NC=N1</t>
  </si>
  <si>
    <t xml:space="preserve">WHTCPDAXWFLDIH-KQYNXXCUSA-N</t>
  </si>
  <si>
    <t xml:space="preserve">474-3</t>
  </si>
  <si>
    <t xml:space="preserve">dGDP</t>
  </si>
  <si>
    <t xml:space="preserve">HMDB0000960</t>
  </si>
  <si>
    <t xml:space="preserve">5906</t>
  </si>
  <si>
    <t xml:space="preserve">C00361</t>
  </si>
  <si>
    <t xml:space="preserve">28862</t>
  </si>
  <si>
    <t xml:space="preserve">439220</t>
  </si>
  <si>
    <t xml:space="preserve">3493-09-2</t>
  </si>
  <si>
    <t xml:space="preserve">NC1=NC2=C(N=CN2[C@H]2C[C@H](O)[C@@H](COP(O)(=O)OP(O)(O)=O)O2)C(=O)N1</t>
  </si>
  <si>
    <t xml:space="preserve">CIKGWCTVFSRMJU-KVQBGUIXSA-N</t>
  </si>
  <si>
    <t xml:space="preserve">475-1</t>
  </si>
  <si>
    <t xml:space="preserve">4-Allylphenol sulfate</t>
  </si>
  <si>
    <t xml:space="preserve">HMDB0170765</t>
  </si>
  <si>
    <t xml:space="preserve">133096</t>
  </si>
  <si>
    <t xml:space="preserve">66633409</t>
  </si>
  <si>
    <t xml:space="preserve">1823179-01-6</t>
  </si>
  <si>
    <t xml:space="preserve">OS(=O)(=O)OC1=CC=C(CC=C)C=C1</t>
  </si>
  <si>
    <t xml:space="preserve">KFDHKOFCRYUXLA-UHFFFAOYSA-N</t>
  </si>
  <si>
    <t xml:space="preserve">475-2</t>
  </si>
  <si>
    <t xml:space="preserve">3- Allylphenol sulfate</t>
  </si>
  <si>
    <t xml:space="preserve">HMDB0304933</t>
  </si>
  <si>
    <t xml:space="preserve">67613298</t>
  </si>
  <si>
    <t xml:space="preserve">OS(=O)(=O)OC1=CC=CC(CC=C)=C1</t>
  </si>
  <si>
    <t xml:space="preserve">TWEFFSVOCVXBPV-UHFFFAOYSA-N</t>
  </si>
  <si>
    <t xml:space="preserve">476-1</t>
  </si>
  <si>
    <t xml:space="preserve">477-1</t>
  </si>
  <si>
    <t xml:space="preserve">478-1</t>
  </si>
  <si>
    <t xml:space="preserve">479-1</t>
  </si>
  <si>
    <t xml:space="preserve">480-1</t>
  </si>
  <si>
    <t xml:space="preserve">481-1</t>
  </si>
  <si>
    <t xml:space="preserve">482-1</t>
  </si>
  <si>
    <t xml:space="preserve">483-1</t>
  </si>
  <si>
    <t xml:space="preserve">484-1</t>
  </si>
  <si>
    <t xml:space="preserve">2-O-Caffeoylarbutin</t>
  </si>
  <si>
    <t xml:space="preserve">HMDB0031347</t>
  </si>
  <si>
    <t xml:space="preserve">87601</t>
  </si>
  <si>
    <t xml:space="preserve">131751154</t>
  </si>
  <si>
    <t xml:space="preserve">230955-36-9</t>
  </si>
  <si>
    <t xml:space="preserve">OCC1OC(OC2=CC=C(O)C=C2)C(OC(=O)\C=C\C2=CC(O)=C(O)C=C2)C(O)C1O</t>
  </si>
  <si>
    <t xml:space="preserve">SAHZOJQMDIDFST-KRXBUXKQSA-N</t>
  </si>
  <si>
    <t xml:space="preserve">484-2</t>
  </si>
  <si>
    <t xml:space="preserve">Floribundoside</t>
  </si>
  <si>
    <t xml:space="preserve">HMDB0033739</t>
  </si>
  <si>
    <t xml:space="preserve">3483754</t>
  </si>
  <si>
    <t xml:space="preserve">529-41-9</t>
  </si>
  <si>
    <t xml:space="preserve">OCC1OC(OC2=CC(O)=CC3=C2C(=O)CC(O3)C2=CC=C(O)C=C2)C(O)C(O)C1O</t>
  </si>
  <si>
    <t xml:space="preserve">MFQIWHVVFBCURA-UHFFFAOYSA-N</t>
  </si>
  <si>
    <t xml:space="preserve">484-3</t>
  </si>
  <si>
    <t xml:space="preserve">Eriodictin</t>
  </si>
  <si>
    <t xml:space="preserve">HMDB0037480</t>
  </si>
  <si>
    <t xml:space="preserve">12308984</t>
  </si>
  <si>
    <t xml:space="preserve">480-35-3</t>
  </si>
  <si>
    <t xml:space="preserve">CC1OC(OC2=CC(O)=C3C(=O)CC(OC3=C2)C2=CC(O)=C(O)C=C2)C(O)C(O)C1O</t>
  </si>
  <si>
    <t xml:space="preserve">JMVXRLMOIOTWSB-UHFFFAOYSA-N</t>
  </si>
  <si>
    <t xml:space="preserve">485-1</t>
  </si>
  <si>
    <t xml:space="preserve">486-1</t>
  </si>
  <si>
    <t xml:space="preserve">487-1</t>
  </si>
  <si>
    <t xml:space="preserve">488-1</t>
  </si>
  <si>
    <t xml:space="preserve">489-1</t>
  </si>
  <si>
    <t xml:space="preserve">490-1</t>
  </si>
  <si>
    <t xml:space="preserve">491-1</t>
  </si>
  <si>
    <t xml:space="preserve">492-1</t>
  </si>
  <si>
    <t xml:space="preserve">alpha-Muricholic acid</t>
  </si>
  <si>
    <t xml:space="preserve">HMDB0000506</t>
  </si>
  <si>
    <t xml:space="preserve">84381</t>
  </si>
  <si>
    <t xml:space="preserve">LMST04010066</t>
  </si>
  <si>
    <t xml:space="preserve">C17647</t>
  </si>
  <si>
    <t xml:space="preserve">81243</t>
  </si>
  <si>
    <t xml:space="preserve">5283852</t>
  </si>
  <si>
    <t xml:space="preserve">2393-58-0</t>
  </si>
  <si>
    <t xml:space="preserve">C1[C@]2(C)[C@@]3([H])CC[C@]4(C)[C@@]([H])([C@]([H])(C)CCC(O)=O)CC[C@@]4([H])[C@]3([H])[C@H](O)[C@@H](O)[C@]2([H])C[C@H](O)C1</t>
  </si>
  <si>
    <t xml:space="preserve">DKPMWHFRUGMUKF-GDYCBZMLSA-N</t>
  </si>
  <si>
    <t xml:space="preserve">492-2</t>
  </si>
  <si>
    <t xml:space="preserve">Cholic acid</t>
  </si>
  <si>
    <t xml:space="preserve">HMDB0000619</t>
  </si>
  <si>
    <t xml:space="preserve">206</t>
  </si>
  <si>
    <t xml:space="preserve">LMST04010001</t>
  </si>
  <si>
    <t xml:space="preserve">C00695</t>
  </si>
  <si>
    <t xml:space="preserve">16359</t>
  </si>
  <si>
    <t xml:space="preserve">221493</t>
  </si>
  <si>
    <t xml:space="preserve">81-25-4</t>
  </si>
  <si>
    <t xml:space="preserve">[C@]12([C@H](O)C[C@]3([H])C[C@H](O)CC[C@]3(C)[C@@]1([H])C[C@H](O)[C@]1(C)[C@@]([H])([C@@](C)([H])CCC(O)=O)CC[C@@]21[H])[H]</t>
  </si>
  <si>
    <t xml:space="preserve">BHQCQFFYRZLCQQ-OELDTZBJSA-N</t>
  </si>
  <si>
    <t xml:space="preserve">492-3</t>
  </si>
  <si>
    <t xml:space="preserve">3a,6a,7b-Trihydroxy-5b-cholanoic acid</t>
  </si>
  <si>
    <t xml:space="preserve">HMDB0000364</t>
  </si>
  <si>
    <t xml:space="preserve">5353</t>
  </si>
  <si>
    <t xml:space="preserve">LMST04010065</t>
  </si>
  <si>
    <t xml:space="preserve">C17727</t>
  </si>
  <si>
    <t xml:space="preserve">81299</t>
  </si>
  <si>
    <t xml:space="preserve">5283851</t>
  </si>
  <si>
    <t xml:space="preserve">6830-03-1</t>
  </si>
  <si>
    <t xml:space="preserve">C1[C@]2(C)[C@@]3([H])CC[C@]4(C)[C@@]([H])([C@]([H])(C)CCC(O)=O)CC[C@@]4([H])[C@]3([H])[C@@H](O)[C@H](O)[C@]2([H])C[C@H](O)C1</t>
  </si>
  <si>
    <t xml:space="preserve">DKPMWHFRUGMUKF-NTPBNISXSA-N</t>
  </si>
  <si>
    <t xml:space="preserve">493-1</t>
  </si>
  <si>
    <t xml:space="preserve">494-1</t>
  </si>
  <si>
    <t xml:space="preserve">495-1</t>
  </si>
  <si>
    <t xml:space="preserve">496-1</t>
  </si>
  <si>
    <t xml:space="preserve">N-(Cyclopropylmethoxy)-N-(3,5-dichloropyridin-4-yl)-4-(difluoromethoxy)benzamide</t>
  </si>
  <si>
    <t xml:space="preserve">HMDB0245847</t>
  </si>
  <si>
    <t xml:space="preserve">158787</t>
  </si>
  <si>
    <t xml:space="preserve">FC(F)OC1=CC=C(C=C1)C(=O)N(OCC1CC1)C1=C(Cl)C=NC=C1Cl</t>
  </si>
  <si>
    <t xml:space="preserve">IWONQDOIPBAXGV-UHFFFAOYSA-N</t>
  </si>
  <si>
    <t xml:space="preserve">496-2</t>
  </si>
  <si>
    <t xml:space="preserve">Roflumilast</t>
  </si>
  <si>
    <t xml:space="preserve">HMDB0257288</t>
  </si>
  <si>
    <t xml:space="preserve">47657</t>
  </si>
  <si>
    <t xml:space="preserve">FC(F)OC1=C(OCC2CC2)C=C(C=C1)C(=O)NC1=C(Cl)C=NC=C1Cl</t>
  </si>
  <si>
    <t xml:space="preserve">MNDBXUUTURYVHR-UHFFFAOYSA-N</t>
  </si>
  <si>
    <t xml:space="preserve">497-1</t>
  </si>
  <si>
    <t xml:space="preserve">Mutant IDH1 inhibitor</t>
  </si>
  <si>
    <t xml:space="preserve">HMDB0254960</t>
  </si>
  <si>
    <t xml:space="preserve">78105015</t>
  </si>
  <si>
    <t xml:space="preserve">CC(C)C1COC(=O)N1C1=NC(NC(C)C2=CC=C(CN3CCN(CC3)C(C)=O)C=C2)=NC=C1</t>
  </si>
  <si>
    <t xml:space="preserve">BEWLUEOYYPKPQL-UHFFFAOYSA-N</t>
  </si>
  <si>
    <t xml:space="preserve">497-2</t>
  </si>
  <si>
    <t xml:space="preserve">Acetildenafil</t>
  </si>
  <si>
    <t xml:space="preserve">HMDB0247908</t>
  </si>
  <si>
    <t xml:space="preserve">29918992</t>
  </si>
  <si>
    <t xml:space="preserve">CCCC1=NN(C)C2=C1N=C(NC2=O)C1=C(OCC)C=CC(=C1)C(=O)CN1CCN(CC)CC1</t>
  </si>
  <si>
    <t xml:space="preserve">RRBRQNALHKQCAI-UHFFFAOYSA-N</t>
  </si>
  <si>
    <t xml:space="preserve">498-1</t>
  </si>
  <si>
    <t xml:space="preserve">499-1</t>
  </si>
  <si>
    <t xml:space="preserve">500-1</t>
  </si>
  <si>
    <t xml:space="preserve">501-1</t>
  </si>
  <si>
    <t xml:space="preserve">11,17-Dihydroxy-3,20-dioxopregn-4-en-21-yl acetate</t>
  </si>
  <si>
    <t xml:space="preserve">HMDB0244374</t>
  </si>
  <si>
    <t xml:space="preserve">3641</t>
  </si>
  <si>
    <t xml:space="preserve">CC(=O)OCC(=O)C1(O)CCC2C3CCC4=CC(=O)CCC4(C)C3C(O)CC12C</t>
  </si>
  <si>
    <t xml:space="preserve">ALEXXDVDDISNDU-UHFFFAOYSA-N</t>
  </si>
  <si>
    <t xml:space="preserve">501-2</t>
  </si>
  <si>
    <t xml:space="preserve">1alpha-O-Methylquassin</t>
  </si>
  <si>
    <t xml:space="preserve">HMDB0039558</t>
  </si>
  <si>
    <t xml:space="preserve">94117</t>
  </si>
  <si>
    <t xml:space="preserve">85102744</t>
  </si>
  <si>
    <t xml:space="preserve">COC1C(OC)=CC(C)C2CC3OC(=O)CC4C(C)=C(OC)C(=O)C(C34C)C12C</t>
  </si>
  <si>
    <t xml:space="preserve">YHEQIRIWAKHQFI-UHFFFAOYSA-N</t>
  </si>
  <si>
    <t xml:space="preserve">501-3</t>
  </si>
  <si>
    <t xml:space="preserve">16-Methyl-epi-nigakihemiacetal B</t>
  </si>
  <si>
    <t xml:space="preserve">HMDB0039886</t>
  </si>
  <si>
    <t xml:space="preserve">94430</t>
  </si>
  <si>
    <t xml:space="preserve">85234534</t>
  </si>
  <si>
    <t xml:space="preserve">COC1CC2C(C)=C(OC)C(=O)C3C2(C)C(CC2C(C)C=C(OC)C(=O)C32C)O1</t>
  </si>
  <si>
    <t xml:space="preserve">MSXBIQMJEOYRDV-UHFFFAOYSA-N</t>
  </si>
  <si>
    <t xml:space="preserve">502-1</t>
  </si>
  <si>
    <t xml:space="preserve">503-1</t>
  </si>
  <si>
    <t xml:space="preserve">504-1</t>
  </si>
  <si>
    <t xml:space="preserve">505-1</t>
  </si>
  <si>
    <t xml:space="preserve">LPE(16:0)</t>
  </si>
  <si>
    <t xml:space="preserve">HMDB0011473</t>
  </si>
  <si>
    <t xml:space="preserve">62261</t>
  </si>
  <si>
    <t xml:space="preserve">LMGP02050036</t>
  </si>
  <si>
    <t xml:space="preserve">131743</t>
  </si>
  <si>
    <t xml:space="preserve">53480922</t>
  </si>
  <si>
    <t xml:space="preserve">C(OP(OCCN)(O)=O)[C@]([H])(OC(=O)CCCCCCCCCCCCCCC)CO</t>
  </si>
  <si>
    <t xml:space="preserve">CKPBBEOJHAPPBT-HXUWFJFHSA-N</t>
  </si>
  <si>
    <t xml:space="preserve">505-2</t>
  </si>
  <si>
    <t xml:space="preserve">[3-[2-Aminoethoxy(hydroxy)phosphoryl]oxy-2-hydroxypropyl] hexadecanoate</t>
  </si>
  <si>
    <t xml:space="preserve">HMDB0256030</t>
  </si>
  <si>
    <t xml:space="preserve">CCCCCCCCCCCCCCCC(=O)OCC(O)COP(O)(=O)OCCN</t>
  </si>
  <si>
    <t xml:space="preserve">YVYMBNSKXOXSKW-UHFFFAOYSA-N</t>
  </si>
  <si>
    <t xml:space="preserve">505-3</t>
  </si>
  <si>
    <t xml:space="preserve">GPE(16:0)</t>
  </si>
  <si>
    <t xml:space="preserve">HMDB0011503</t>
  </si>
  <si>
    <t xml:space="preserve">40776</t>
  </si>
  <si>
    <t xml:space="preserve">LMGP02050002</t>
  </si>
  <si>
    <t xml:space="preserve">73004</t>
  </si>
  <si>
    <t xml:space="preserve">9547069</t>
  </si>
  <si>
    <t xml:space="preserve">53862-35-4</t>
  </si>
  <si>
    <t xml:space="preserve">[C@](COP(=O)(O)OCCN)([H])(O)COC(CCCCCCCCCCCCCCC)=O</t>
  </si>
  <si>
    <t xml:space="preserve">YVYMBNSKXOXSKW-HXUWFJFHSA-N</t>
  </si>
  <si>
    <t xml:space="preserve">506-1</t>
  </si>
  <si>
    <t xml:space="preserve">507-1</t>
  </si>
  <si>
    <t xml:space="preserve">508-1</t>
  </si>
  <si>
    <t xml:space="preserve">509-1</t>
  </si>
  <si>
    <t xml:space="preserve">510-1</t>
  </si>
  <si>
    <t xml:space="preserve">511-1</t>
  </si>
  <si>
    <t xml:space="preserve">512-1</t>
  </si>
  <si>
    <t xml:space="preserve">513-1</t>
  </si>
  <si>
    <t xml:space="preserve">514-1</t>
  </si>
  <si>
    <t xml:space="preserve">515-1</t>
  </si>
  <si>
    <t xml:space="preserve">516-1</t>
  </si>
  <si>
    <t xml:space="preserve">Mangostanol</t>
  </si>
  <si>
    <t xml:space="preserve">HMDB0029868</t>
  </si>
  <si>
    <t xml:space="preserve">86556</t>
  </si>
  <si>
    <t xml:space="preserve">790705</t>
  </si>
  <si>
    <t xml:space="preserve">10048103</t>
  </si>
  <si>
    <t xml:space="preserve">184587-72-2</t>
  </si>
  <si>
    <t xml:space="preserve">COC1=C(O)C=C2OC3=C(C(O)=C4CC(O)C(C)(C)OC4=C3)C(=O)C2=C1CC=C(C)C</t>
  </si>
  <si>
    <t xml:space="preserve">KCMPFWGUVNEDHW-UHFFFAOYSA-N</t>
  </si>
  <si>
    <t xml:space="preserve">516-2</t>
  </si>
  <si>
    <t xml:space="preserve">Edulisin II</t>
  </si>
  <si>
    <t xml:space="preserve">HMDB0030593</t>
  </si>
  <si>
    <t xml:space="preserve">87082</t>
  </si>
  <si>
    <t xml:space="preserve">76801427</t>
  </si>
  <si>
    <t xml:space="preserve">96608-83-2</t>
  </si>
  <si>
    <t xml:space="preserve">CC(C)=CC(=O)OC1C(OC2=C1C1=C(C=C2)C=CC(=O)O1)C(C)(C)OC(=O)C=C(C)C</t>
  </si>
  <si>
    <t xml:space="preserve">QMDNUCYGVSWWRO-UHFFFAOYSA-N</t>
  </si>
  <si>
    <t xml:space="preserve">516-3</t>
  </si>
  <si>
    <t xml:space="preserve">Archangelicin</t>
  </si>
  <si>
    <t xml:space="preserve">HMDB0030845</t>
  </si>
  <si>
    <t xml:space="preserve">6450203</t>
  </si>
  <si>
    <t xml:space="preserve">2607-56-9</t>
  </si>
  <si>
    <t xml:space="preserve">C\C=C(\C)C(=O)OC1C(OC2=C1C1=C(C=C2)C=CC(=O)O1)C(C)(C)OC(=O)C(\C)=C/C</t>
  </si>
  <si>
    <t xml:space="preserve">RVGGCRQPGKFZDS-PVRNWPCDSA-N</t>
  </si>
  <si>
    <t xml:space="preserve">517-1</t>
  </si>
  <si>
    <t xml:space="preserve">[3H]Pemetrexed</t>
  </si>
  <si>
    <t xml:space="preserve">HMDB0243759</t>
  </si>
  <si>
    <t xml:space="preserve">394493</t>
  </si>
  <si>
    <t xml:space="preserve">NC1=NC(=O)C2=C(NC=C2CCC2=CC=C(C=C2)C(=O)NC(CCC(O)=O)C(O)=O)N1</t>
  </si>
  <si>
    <t xml:space="preserve">WBXPDJSOTKVWSJ-UHFFFAOYSA-N</t>
  </si>
  <si>
    <t xml:space="preserve">517-2</t>
  </si>
  <si>
    <t xml:space="preserve">Pemetrexed</t>
  </si>
  <si>
    <t xml:space="preserve">HMDB0014780</t>
  </si>
  <si>
    <t xml:space="preserve">775209</t>
  </si>
  <si>
    <t xml:space="preserve">60843</t>
  </si>
  <si>
    <t xml:space="preserve">150399-23-8</t>
  </si>
  <si>
    <t xml:space="preserve">NC1=NC(=O)C2=C(NC=C2CCC2=CC=C(C=C2)C(=O)N[C@H](CCC(O)=O)C(O)=O)N1</t>
  </si>
  <si>
    <t xml:space="preserve">WBXPDJSOTKVWSJ-CYBMUJFWSA-N</t>
  </si>
  <si>
    <t xml:space="preserve">518-1</t>
  </si>
  <si>
    <t xml:space="preserve">519-1</t>
  </si>
  <si>
    <t xml:space="preserve">Glucodistylin</t>
  </si>
  <si>
    <t xml:space="preserve">HMDB0041597</t>
  </si>
  <si>
    <t xml:space="preserve">95974</t>
  </si>
  <si>
    <t xml:space="preserve">14187088</t>
  </si>
  <si>
    <t xml:space="preserve">27297-45-6</t>
  </si>
  <si>
    <t xml:space="preserve">OCC1OC(OC2C(OC3=CC(O)=CC(O)=C3C2=O)C2=CC(O)=C(O)C=C2)C(O)C(O)C1O</t>
  </si>
  <si>
    <t xml:space="preserve">FVQOMEDMFUMIMO-UHFFFAOYSA-N</t>
  </si>
  <si>
    <t xml:space="preserve">519-2</t>
  </si>
  <si>
    <t xml:space="preserve">hesperetin-7-O-glucuronide</t>
  </si>
  <si>
    <t xml:space="preserve">HMDB0029203</t>
  </si>
  <si>
    <t xml:space="preserve">86086</t>
  </si>
  <si>
    <t xml:space="preserve">131750809</t>
  </si>
  <si>
    <t xml:space="preserve">COC1=CC=C(C=C1O)C1COC2=C(O)C=C(OC3OC(C(O)C(O)C3O)C(O)=O)C=C2O1</t>
  </si>
  <si>
    <t xml:space="preserve">PLNORHFXCFFTRD-UHFFFAOYSA-N</t>
  </si>
  <si>
    <t xml:space="preserve">520-1</t>
  </si>
  <si>
    <t xml:space="preserve">521-1</t>
  </si>
  <si>
    <t xml:space="preserve">Liquoric acid</t>
  </si>
  <si>
    <t xml:space="preserve">HMDB0034512</t>
  </si>
  <si>
    <t xml:space="preserve">89984</t>
  </si>
  <si>
    <t xml:space="preserve">131751571</t>
  </si>
  <si>
    <t xml:space="preserve">[H][C@@]12C[C@](C)([C@H]3C[C@]1(C)[C@@H](C[C@]1(C)C2=CC(=O)C2[C@@]4(C)CC[C@H](O)C(C)(C)C4CC[C@@]12C)O3)C(O)=O</t>
  </si>
  <si>
    <t xml:space="preserve">NGWKGSCSHDHHAJ-YPFQVHCOSA-N</t>
  </si>
  <si>
    <t xml:space="preserve">521-2</t>
  </si>
  <si>
    <t xml:space="preserve">24-Hydroxyglabrolide</t>
  </si>
  <si>
    <t xml:space="preserve">HMDB0035256</t>
  </si>
  <si>
    <t xml:space="preserve">90564</t>
  </si>
  <si>
    <t xml:space="preserve">131751691</t>
  </si>
  <si>
    <t xml:space="preserve">98063-18-4</t>
  </si>
  <si>
    <t xml:space="preserve">CC12CC(OC1=O)C1(C)CCC3(C)C(=CC(=O)C4C5(C)CCC(O)C(C)(CO)C5CCC34C)C1C2</t>
  </si>
  <si>
    <t xml:space="preserve">NZAZEJAWWUVNNZ-UHFFFAOYSA-N</t>
  </si>
  <si>
    <t xml:space="preserve">521-3</t>
  </si>
  <si>
    <t xml:space="preserve">Ganolucidic acid E</t>
  </si>
  <si>
    <t xml:space="preserve">HMDB0037607</t>
  </si>
  <si>
    <t xml:space="preserve">131752214</t>
  </si>
  <si>
    <t xml:space="preserve">114567-50-9</t>
  </si>
  <si>
    <t xml:space="preserve">CC(CC\C=C(\C)C(O)=O)C1CC(O)C2(C)C3=C(C(=O)CC12C)C1(C)CCC(=O)C(C)(C)C1CC3</t>
  </si>
  <si>
    <t xml:space="preserve">XRBLVCACUHPHDE-ZDLGFXPLSA-N</t>
  </si>
  <si>
    <t xml:space="preserve">522-1</t>
  </si>
  <si>
    <t xml:space="preserve">523-1</t>
  </si>
  <si>
    <t xml:space="preserve">524-1</t>
  </si>
  <si>
    <t xml:space="preserve">525-1</t>
  </si>
  <si>
    <t xml:space="preserve">526-1</t>
  </si>
  <si>
    <t xml:space="preserve">527-1</t>
  </si>
  <si>
    <t xml:space="preserve">528-1</t>
  </si>
  <si>
    <t xml:space="preserve">529-1</t>
  </si>
  <si>
    <t xml:space="preserve">530-1</t>
  </si>
  <si>
    <t xml:space="preserve">531-1</t>
  </si>
  <si>
    <t xml:space="preserve">532-1</t>
  </si>
  <si>
    <t xml:space="preserve">533-1</t>
  </si>
  <si>
    <t xml:space="preserve">534-1</t>
  </si>
  <si>
    <t xml:space="preserve">535-1</t>
  </si>
  <si>
    <t xml:space="preserve">536-1</t>
  </si>
  <si>
    <t xml:space="preserve">537-1</t>
  </si>
  <si>
    <t xml:space="preserve">538-1</t>
  </si>
  <si>
    <t xml:space="preserve">539-1</t>
  </si>
  <si>
    <t xml:space="preserve">540-1</t>
  </si>
  <si>
    <t xml:space="preserve">541-1</t>
  </si>
  <si>
    <t xml:space="preserve">542-1</t>
  </si>
  <si>
    <t xml:space="preserve">543-1</t>
  </si>
  <si>
    <t xml:space="preserve">544-1</t>
  </si>
  <si>
    <t xml:space="preserve">545-1</t>
  </si>
  <si>
    <t xml:space="preserve">546-1</t>
  </si>
  <si>
    <t xml:space="preserve">547-1</t>
  </si>
  <si>
    <t xml:space="preserve">548-1</t>
  </si>
  <si>
    <t xml:space="preserve">549-1</t>
  </si>
  <si>
    <t xml:space="preserve">550-1</t>
  </si>
  <si>
    <t xml:space="preserve">551-1</t>
  </si>
  <si>
    <t xml:space="preserve">552-1</t>
  </si>
  <si>
    <t xml:space="preserve">553-1</t>
  </si>
  <si>
    <t xml:space="preserve">554-1</t>
  </si>
  <si>
    <t xml:space="preserve">555-1</t>
  </si>
  <si>
    <t xml:space="preserve">Hesperetin 7-glucoside</t>
  </si>
  <si>
    <t xml:space="preserve">HMDB0030747</t>
  </si>
  <si>
    <t xml:space="preserve">LMPK12140378</t>
  </si>
  <si>
    <t xml:space="preserve">20111686</t>
  </si>
  <si>
    <t xml:space="preserve">2500-68-7</t>
  </si>
  <si>
    <t xml:space="preserve">C1(OC2OC(CO)C(O)C(O)C2O)=CC2OC(C3C=C(O)C(OC)=CC=3)CC(=O)C=2C(O)=C1</t>
  </si>
  <si>
    <t xml:space="preserve">ADSYMQORONDIDD-UHFFFAOYSA-N</t>
  </si>
  <si>
    <t xml:space="preserve">555-2</t>
  </si>
  <si>
    <t xml:space="preserve">Caffeoylcalleryanin</t>
  </si>
  <si>
    <t xml:space="preserve">HMDB0303796</t>
  </si>
  <si>
    <t xml:space="preserve">OCC1OC(OC2=CC=C(COC(=O)\C=C\C3=CC(O)=C(O)C=C3)C=C2O)C(O)C(O)C1O</t>
  </si>
  <si>
    <t xml:space="preserve">VTHLSAOVZTYBRV-ZZXKWVIFSA-N</t>
  </si>
  <si>
    <t xml:space="preserve">555-3</t>
  </si>
  <si>
    <t xml:space="preserve">Hesperetin 5-O-glucoside</t>
  </si>
  <si>
    <t xml:space="preserve">HMDB0037535</t>
  </si>
  <si>
    <t xml:space="preserve">52861</t>
  </si>
  <si>
    <t xml:space="preserve">LMPK12140377</t>
  </si>
  <si>
    <t xml:space="preserve">18625123</t>
  </si>
  <si>
    <t xml:space="preserve">69651-80-5</t>
  </si>
  <si>
    <t xml:space="preserve">C1(O)=CC2OC(C3C=C(O)C(OC)=CC=3)CC(=O)C=2C(OC2OC(CO)C(O)C(O)C2O)=C1</t>
  </si>
  <si>
    <t xml:space="preserve">QSLBWGKNSBMTJL-UHFFFAOYSA-N</t>
  </si>
  <si>
    <t xml:space="preserve">556-1</t>
  </si>
  <si>
    <t xml:space="preserve">557-1</t>
  </si>
  <si>
    <t xml:space="preserve">558-1</t>
  </si>
  <si>
    <t xml:space="preserve">559-1</t>
  </si>
  <si>
    <t xml:space="preserve">560-1</t>
  </si>
  <si>
    <t xml:space="preserve">LPE(20:2)</t>
  </si>
  <si>
    <t xml:space="preserve">HMDB0011483</t>
  </si>
  <si>
    <t xml:space="preserve">62271</t>
  </si>
  <si>
    <t xml:space="preserve">LMGP02050047</t>
  </si>
  <si>
    <t xml:space="preserve">131692</t>
  </si>
  <si>
    <t xml:space="preserve">53480932</t>
  </si>
  <si>
    <t xml:space="preserve">C(OP(OCCN)(O)=O)[C@]([H])(OC(=O)CCCCCCCCC/C=C\C/C=C\CCCCC)CO</t>
  </si>
  <si>
    <t xml:space="preserve">NHBRVTKHMMOYTG-XBJNFHHOSA-N</t>
  </si>
  <si>
    <t xml:space="preserve">560-2</t>
  </si>
  <si>
    <t xml:space="preserve">PC(17:2)</t>
  </si>
  <si>
    <t xml:space="preserve">HMDB0256157</t>
  </si>
  <si>
    <t xml:space="preserve">CCCCC=CCC=CCCCCCCCC(=O)OCC(O)COP([O-])(=O)OCC[N+](C)(C)C</t>
  </si>
  <si>
    <t xml:space="preserve">GYPQKMKDLBCBMB-UHFFFAOYSA-N</t>
  </si>
  <si>
    <t xml:space="preserve">561-1</t>
  </si>
  <si>
    <t xml:space="preserve">562-1</t>
  </si>
  <si>
    <t xml:space="preserve">563-1</t>
  </si>
  <si>
    <t xml:space="preserve">(+)-Setoclavine</t>
  </si>
  <si>
    <t xml:space="preserve">HMDB0033428</t>
  </si>
  <si>
    <t xml:space="preserve">89263</t>
  </si>
  <si>
    <t xml:space="preserve">10060886</t>
  </si>
  <si>
    <t xml:space="preserve">519-12-0</t>
  </si>
  <si>
    <t xml:space="preserve">CN1CC(C)(O)C=C2C1CC1=CNC3=CC=CC2=C13</t>
  </si>
  <si>
    <t xml:space="preserve">BGVUWLLRNRBDAY-UHFFFAOYSA-N</t>
  </si>
  <si>
    <t xml:space="preserve">Clavines and derivatives</t>
  </si>
  <si>
    <t xml:space="preserve">563-2</t>
  </si>
  <si>
    <t xml:space="preserve">4-(8-Amino-1,2,3,4-tetrahydro-2-methyl-4-isoquinolinyl)phenol</t>
  </si>
  <si>
    <t xml:space="preserve">HMDB0246297</t>
  </si>
  <si>
    <t xml:space="preserve">162784</t>
  </si>
  <si>
    <t xml:space="preserve">CN1CC(C2=CC=C(O)C=C2)C2=C(C1)C(N)=CC=C2</t>
  </si>
  <si>
    <t xml:space="preserve">IDYRXWOMWZHWEO-UHFFFAOYSA-N</t>
  </si>
  <si>
    <t xml:space="preserve">4-phenyltetrahydroisoquinolines</t>
  </si>
  <si>
    <t xml:space="preserve">563-3</t>
  </si>
  <si>
    <t xml:space="preserve">Elymoclavine</t>
  </si>
  <si>
    <t xml:space="preserve">HMDB0251762</t>
  </si>
  <si>
    <t xml:space="preserve">11051</t>
  </si>
  <si>
    <t xml:space="preserve">CN1CC(CO)=CC2C1CC1=CNC3=CC=CC2=C13</t>
  </si>
  <si>
    <t xml:space="preserve">DAVNRFCJMIONPO-UHFFFAOYSA-N</t>
  </si>
  <si>
    <t xml:space="preserve">564-1</t>
  </si>
  <si>
    <t xml:space="preserve">565-1</t>
  </si>
  <si>
    <t xml:space="preserve">Lumefantrine</t>
  </si>
  <si>
    <t xml:space="preserve">HMDB0015653</t>
  </si>
  <si>
    <t xml:space="preserve">85572</t>
  </si>
  <si>
    <t xml:space="preserve">156095</t>
  </si>
  <si>
    <t xml:space="preserve">6437380</t>
  </si>
  <si>
    <t xml:space="preserve">82186-77-4</t>
  </si>
  <si>
    <t xml:space="preserve">CCCCN(CCCC)CC(O)C1=C2C(=CC(Cl)=C1)\C(=C/C1=CC=C(Cl)C=C1)C1=C2C=CC(Cl)=C1</t>
  </si>
  <si>
    <t xml:space="preserve">DYLGFOYVTXJFJP-MYYYXRDXSA-N</t>
  </si>
  <si>
    <t xml:space="preserve">Fluorenes</t>
  </si>
  <si>
    <t xml:space="preserve">565-2</t>
  </si>
  <si>
    <t xml:space="preserve">2-(Dibutylamino)-1-[(9Z)-2,7-dichloro-9-[(4-chlorophenyl)methylidene]fluoren-4-yl]ethanol</t>
  </si>
  <si>
    <t xml:space="preserve">HMDB0245584</t>
  </si>
  <si>
    <t xml:space="preserve">108031</t>
  </si>
  <si>
    <t xml:space="preserve">CCCCN(CCCC)CC(O)C1=C2C(=CC(Cl)=C1)C(=CC1=CC=C(Cl)C=C1)C1=C2C=CC(Cl)=C1</t>
  </si>
  <si>
    <t xml:space="preserve">DYLGFOYVTXJFJP-UHFFFAOYSA-N</t>
  </si>
  <si>
    <t xml:space="preserve">566-1</t>
  </si>
  <si>
    <t xml:space="preserve">567-1</t>
  </si>
  <si>
    <t xml:space="preserve">568-1</t>
  </si>
  <si>
    <t xml:space="preserve">569-1</t>
  </si>
  <si>
    <t xml:space="preserve">Lucidenic acid D2</t>
  </si>
  <si>
    <t xml:space="preserve">HMDB0036435</t>
  </si>
  <si>
    <t xml:space="preserve">14258974</t>
  </si>
  <si>
    <t xml:space="preserve">98665-16-8</t>
  </si>
  <si>
    <t xml:space="preserve">CC(CCC(O)=O)C1CC(=O)C2(C)C3=C(C(=O)C(OC(C)=O)C12C)C1(C)CCC(=O)C(C)(C)C1CC3=O</t>
  </si>
  <si>
    <t xml:space="preserve">LTJSBYAKDOGXLX-UHFFFAOYSA-N</t>
  </si>
  <si>
    <t xml:space="preserve">569-2</t>
  </si>
  <si>
    <t xml:space="preserve">Glycinoeclepin C</t>
  </si>
  <si>
    <t xml:space="preserve">HMDB0037036</t>
  </si>
  <si>
    <t xml:space="preserve">131752131</t>
  </si>
  <si>
    <t xml:space="preserve">C[C@@H]1C[C@H](OC2C=C3C(C(O)=O)=C(C[C@]45CC[C@H](O4)C(C)(C)C5=O)C[C@@H](O)[C@@]3(C)[C@]12C)\C=C(/C)C(O)=O</t>
  </si>
  <si>
    <t xml:space="preserve">QEICCHKVLICFMW-ZTXCTZRESA-N</t>
  </si>
  <si>
    <t xml:space="preserve">570-1</t>
  </si>
  <si>
    <t xml:space="preserve">571-1</t>
  </si>
  <si>
    <t xml:space="preserve">572-1</t>
  </si>
  <si>
    <t xml:space="preserve">573-1</t>
  </si>
  <si>
    <t xml:space="preserve">574-1</t>
  </si>
  <si>
    <t xml:space="preserve">575-1</t>
  </si>
  <si>
    <t xml:space="preserve">576-1</t>
  </si>
  <si>
    <t xml:space="preserve">577-1</t>
  </si>
  <si>
    <t xml:space="preserve">578-1</t>
  </si>
  <si>
    <t xml:space="preserve">579-1</t>
  </si>
  <si>
    <t xml:space="preserve">meclocycline</t>
  </si>
  <si>
    <t xml:space="preserve">HMDB0254395</t>
  </si>
  <si>
    <t xml:space="preserve">54684337</t>
  </si>
  <si>
    <t xml:space="preserve">CN(C)C1C2C(O)C3C(=C)C4=C(Cl)C=CC(O)=C4C(O)=C3C(=O)C2(O)C(O)=C(C(N)=O)C1=O</t>
  </si>
  <si>
    <t xml:space="preserve">RNIADBXQDMCFEN-UHFFFAOYSA-N</t>
  </si>
  <si>
    <t xml:space="preserve">579-2</t>
  </si>
  <si>
    <t xml:space="preserve">Temazepam glucuronide</t>
  </si>
  <si>
    <t xml:space="preserve">HMDB0258799</t>
  </si>
  <si>
    <t xml:space="preserve">14324835</t>
  </si>
  <si>
    <t xml:space="preserve">CN1C2=C(C=C(Cl)C=C2)C(=NC(OC2OC(C(O)C(O)C2O)C(O)=O)C1=O)C1=CC=CC=C1</t>
  </si>
  <si>
    <t xml:space="preserve">KFYGTOURBGCWNQ-UHFFFAOYSA-N</t>
  </si>
  <si>
    <t xml:space="preserve">580-1</t>
  </si>
  <si>
    <t xml:space="preserve">581-1</t>
  </si>
  <si>
    <t xml:space="preserve">582-1</t>
  </si>
  <si>
    <t xml:space="preserve">583-1</t>
  </si>
  <si>
    <t xml:space="preserve">584-1</t>
  </si>
  <si>
    <t xml:space="preserve">2,3-Dihydro-2-S-glutathionyl-3-hydroxy bromobenzene</t>
  </si>
  <si>
    <t xml:space="preserve">HMDB0060358</t>
  </si>
  <si>
    <t xml:space="preserve">70353</t>
  </si>
  <si>
    <t xml:space="preserve">C14848</t>
  </si>
  <si>
    <t xml:space="preserve">34228</t>
  </si>
  <si>
    <t xml:space="preserve">11954067</t>
  </si>
  <si>
    <t xml:space="preserve">[H][C@](N)(CCC(O)=N[C@@]([H])(CSC1([H])C(Br)=CC=CC1([H])O)C(O)=NCC(O)=O)C(O)=O</t>
  </si>
  <si>
    <t xml:space="preserve">BYHFLDCNLZPMDY-PXAOEZFJSA-N</t>
  </si>
  <si>
    <t xml:space="preserve">584-2</t>
  </si>
  <si>
    <t xml:space="preserve">3,4-Dihydro-3-hydroxy-4-S-glutathionyl bromobenzene</t>
  </si>
  <si>
    <t xml:space="preserve">HMDB0060381</t>
  </si>
  <si>
    <t xml:space="preserve">70352</t>
  </si>
  <si>
    <t xml:space="preserve">C14847</t>
  </si>
  <si>
    <t xml:space="preserve">34324</t>
  </si>
  <si>
    <t xml:space="preserve">11954066</t>
  </si>
  <si>
    <t xml:space="preserve">[H][C@](N)(CCC(O)=N[C@@]([H])(CSC1([H])C=CC(Br)=CC1([H])O)C(O)=NCC(O)=O)C(O)=O</t>
  </si>
  <si>
    <t xml:space="preserve">WIPMNDWTVDZAHE-JYBOHDQNSA-N</t>
  </si>
  <si>
    <t xml:space="preserve">585-1</t>
  </si>
  <si>
    <t xml:space="preserve">586-1</t>
  </si>
  <si>
    <t xml:space="preserve">587-1</t>
  </si>
  <si>
    <t xml:space="preserve">588-1</t>
  </si>
  <si>
    <t xml:space="preserve">589-1</t>
  </si>
  <si>
    <t xml:space="preserve">p-Hydroxynefazodone</t>
  </si>
  <si>
    <t xml:space="preserve">HMDB0256044</t>
  </si>
  <si>
    <t xml:space="preserve">1472</t>
  </si>
  <si>
    <t xml:space="preserve">10435492</t>
  </si>
  <si>
    <t xml:space="preserve">137339-28-7</t>
  </si>
  <si>
    <t xml:space="preserve">CCC1=NN(CCCN2CCN(CC2)C2=CC(Cl)=C(O)C=C2)C(=O)N1CCOC1=CC=CC=C1</t>
  </si>
  <si>
    <t xml:space="preserve">XGIODORTBODPTQ-UHFFFAOYSA-N</t>
  </si>
  <si>
    <t xml:space="preserve">589-2</t>
  </si>
  <si>
    <t xml:space="preserve">2-[3-[4-(3-Chlorophenyl)piperazin-1-yl]-1-hydroxypropyl]-5-ethyl-4-(2-phenoxyethyl)-1,2,4-triazol-3-one</t>
  </si>
  <si>
    <t xml:space="preserve">HMDB0257774</t>
  </si>
  <si>
    <t xml:space="preserve">18507190</t>
  </si>
  <si>
    <t xml:space="preserve">CCC1=NN(C(O)CCN2CCN(CC2)C2=CC(Cl)=CC=C2)C(=O)N1CCOC1=CC=CC=C1</t>
  </si>
  <si>
    <t xml:space="preserve">KJDNAPBNOFEPDX-UHFFFAOYSA-N</t>
  </si>
  <si>
    <t xml:space="preserve">589-3</t>
  </si>
  <si>
    <t xml:space="preserve">hydroxynefazodone</t>
  </si>
  <si>
    <t xml:space="preserve">HMDB0061040</t>
  </si>
  <si>
    <t xml:space="preserve">1471</t>
  </si>
  <si>
    <t xml:space="preserve">11755137</t>
  </si>
  <si>
    <t xml:space="preserve">98159-82-1</t>
  </si>
  <si>
    <t xml:space="preserve">CC(O)C1=NN(CCCN2CCN(CC2)C2=CC=CC(Cl)=C2)C(=O)N1CCOC1=CC=CC=C1</t>
  </si>
  <si>
    <t xml:space="preserve">VKGQYGXMUUBRBD-UHFFFAOYSA-N</t>
  </si>
  <si>
    <t xml:space="preserve">590-1</t>
  </si>
  <si>
    <t xml:space="preserve">591-1</t>
  </si>
  <si>
    <t xml:space="preserve">592-1</t>
  </si>
  <si>
    <t xml:space="preserve">593-1</t>
  </si>
  <si>
    <t xml:space="preserve">594-1</t>
  </si>
  <si>
    <t xml:space="preserve">595-1</t>
  </si>
  <si>
    <t xml:space="preserve">596-1</t>
  </si>
  <si>
    <t xml:space="preserve">597-1</t>
  </si>
  <si>
    <t xml:space="preserve">598-1</t>
  </si>
  <si>
    <t xml:space="preserve">599-1</t>
  </si>
  <si>
    <t xml:space="preserve">600-1</t>
  </si>
  <si>
    <t xml:space="preserve">601-1</t>
  </si>
  <si>
    <t xml:space="preserve">602-1</t>
  </si>
  <si>
    <t xml:space="preserve">603-1</t>
  </si>
  <si>
    <t xml:space="preserve">604-1</t>
  </si>
  <si>
    <t xml:space="preserve">605-1</t>
  </si>
  <si>
    <t xml:space="preserve">Phenylalanyl-phenylalanyl-arginine chloromethyl ketone</t>
  </si>
  <si>
    <t xml:space="preserve">HMDB0252243</t>
  </si>
  <si>
    <t xml:space="preserve">NC(CC1=CC=CC=C1)C(=O)NC(=O)C(CC1=CC=CC=C1)NC(CCCN=C(N)N)C(=O)CCl</t>
  </si>
  <si>
    <t xml:space="preserve">UFXAQJOOAQICNE-UHFFFAOYSA-N</t>
  </si>
  <si>
    <t xml:space="preserve">605-2</t>
  </si>
  <si>
    <t xml:space="preserve">D-Phenylalanyl-N-[(3s)-6-Carbamimidamido-1-Chloro-2-Oxohexan-3-Yl]-L-Phenylalaninamide</t>
  </si>
  <si>
    <t xml:space="preserve">HMDB0247354</t>
  </si>
  <si>
    <t xml:space="preserve">73744048</t>
  </si>
  <si>
    <t xml:space="preserve">NC(CC1=CC=CC=C1)C(=O)NC(CC1=CC=CC=C1)C(=O)NC(CCCN=C(N)N)C(=O)CCl</t>
  </si>
  <si>
    <t xml:space="preserve">PJFSUJMJVYGASC-UHFFFAOYSA-N</t>
  </si>
  <si>
    <t xml:space="preserve">606-1</t>
  </si>
  <si>
    <t xml:space="preserve">607-1</t>
  </si>
  <si>
    <t xml:space="preserve">608-1</t>
  </si>
  <si>
    <t xml:space="preserve">609-1</t>
  </si>
  <si>
    <t xml:space="preserve">610-1</t>
  </si>
  <si>
    <t xml:space="preserve">611-1</t>
  </si>
  <si>
    <t xml:space="preserve">612-1</t>
  </si>
  <si>
    <t xml:space="preserve">613-1</t>
  </si>
  <si>
    <t xml:space="preserve">614-1</t>
  </si>
  <si>
    <t xml:space="preserve">615-1</t>
  </si>
  <si>
    <t xml:space="preserve">Taurohyocholate</t>
  </si>
  <si>
    <t xml:space="preserve">HMDB0011637</t>
  </si>
  <si>
    <t xml:space="preserve">C15516</t>
  </si>
  <si>
    <t xml:space="preserve">131750644</t>
  </si>
  <si>
    <t xml:space="preserve">117997-17-8</t>
  </si>
  <si>
    <t xml:space="preserve">[H][C@@]12C[C@H](O)CC[C@]1(C)C1CC[C@]3(C)C(CCC3C1[C@H](O)[C@@H]2O)[C@H](C)CCC(=O)NCCS(O)(=O)=O</t>
  </si>
  <si>
    <t xml:space="preserve">XSOLDPYUICCHJX-RBPXSRGGSA-N</t>
  </si>
  <si>
    <t xml:space="preserve">615-2</t>
  </si>
  <si>
    <t xml:space="preserve">Taurocholic acid</t>
  </si>
  <si>
    <t xml:space="preserve">HMDB0000036</t>
  </si>
  <si>
    <t xml:space="preserve">34542</t>
  </si>
  <si>
    <t xml:space="preserve">LMST05040001</t>
  </si>
  <si>
    <t xml:space="preserve">C05122</t>
  </si>
  <si>
    <t xml:space="preserve">28865</t>
  </si>
  <si>
    <t xml:space="preserve">6675</t>
  </si>
  <si>
    <t xml:space="preserve">81-24-3</t>
  </si>
  <si>
    <t xml:space="preserve">[C@]12([C@H](O)C[C@]3([H])C[C@H](O)CC[C@]3(C)[C@@]1([H])C[C@H](O)[C@]1(C)[C@@]([H])([C@@](C)([H])CCC(NCCS(O)(=O)=O)=O)CC[C@@]21[H])[H]</t>
  </si>
  <si>
    <t xml:space="preserve">WBWWGRHZICKQGZ-HZAMXZRMSA-N</t>
  </si>
  <si>
    <t xml:space="preserve">616-1</t>
  </si>
  <si>
    <t xml:space="preserve">617-1</t>
  </si>
  <si>
    <t xml:space="preserve">618-1</t>
  </si>
  <si>
    <t xml:space="preserve">619-1</t>
  </si>
  <si>
    <t xml:space="preserve">620-1</t>
  </si>
  <si>
    <t xml:space="preserve">621-1</t>
  </si>
  <si>
    <t xml:space="preserve">Deoxyrubroskyrin</t>
  </si>
  <si>
    <t xml:space="preserve">HMDB0030866</t>
  </si>
  <si>
    <t xml:space="preserve">52680-04-3</t>
  </si>
  <si>
    <t xml:space="preserve">CC1=CC(O)=C2C(=O)C3=C(O)CC(O)C4C5C(O)C(C(=O)C6=C5C(O)=C5C(=O)C(C)=CC(=O)C5=C6O)C34C(=O)C2=C1</t>
  </si>
  <si>
    <t xml:space="preserve">ZXFJPTIAJDFMNM-UHFFFAOYSA-N</t>
  </si>
  <si>
    <t xml:space="preserve">621-2</t>
  </si>
  <si>
    <t xml:space="preserve">Dihydromorelloflavone</t>
  </si>
  <si>
    <t xml:space="preserve">HMDB0038392</t>
  </si>
  <si>
    <t xml:space="preserve">93099</t>
  </si>
  <si>
    <t xml:space="preserve">176047</t>
  </si>
  <si>
    <t xml:space="preserve">11467081</t>
  </si>
  <si>
    <t xml:space="preserve">OC1=CC=C(C=C1)C1OC2=C(C(O)=CC(O)=C2)C(=O)C1C1=C(O)C=C(O)C2=C1OC(CC2=O)C1=CC=C(O)C(O)=C1</t>
  </si>
  <si>
    <t xml:space="preserve">IMIXFUXOSFSXPC-UHFFFAOYSA-N</t>
  </si>
  <si>
    <t xml:space="preserve">622-1</t>
  </si>
  <si>
    <t xml:space="preserve">623-1</t>
  </si>
  <si>
    <t xml:space="preserve">624-1</t>
  </si>
  <si>
    <t xml:space="preserve">625-1</t>
  </si>
  <si>
    <t xml:space="preserve">626-1</t>
  </si>
  <si>
    <t xml:space="preserve">627-1</t>
  </si>
  <si>
    <t xml:space="preserve">628-1</t>
  </si>
  <si>
    <t xml:space="preserve">Uridine diphosphate glucose</t>
  </si>
  <si>
    <t xml:space="preserve">HMDB0000286</t>
  </si>
  <si>
    <t xml:space="preserve">3598</t>
  </si>
  <si>
    <t xml:space="preserve">C00029</t>
  </si>
  <si>
    <t xml:space="preserve">46229</t>
  </si>
  <si>
    <t xml:space="preserve">8629</t>
  </si>
  <si>
    <t xml:space="preserve">133-89-1</t>
  </si>
  <si>
    <t xml:space="preserve">OC[C@H]1O[C@H](OP(O)(=O)OP(O)(=O)OC[C@H]2O[C@H]([C@H](O)[C@@H]2O)N2C=CC(=O)NC2=O)[C@H](O)[C@@H](O)[C@@H]1O</t>
  </si>
  <si>
    <t xml:space="preserve">HSCJRCZFDFQWRP-JZMIEXBBSA-N</t>
  </si>
  <si>
    <t xml:space="preserve">Pyrimidine nucleotide sugars</t>
  </si>
  <si>
    <t xml:space="preserve">628-2</t>
  </si>
  <si>
    <t xml:space="preserve">Uridine diphosphategalactose</t>
  </si>
  <si>
    <t xml:space="preserve">HMDB0000302</t>
  </si>
  <si>
    <t xml:space="preserve">5291</t>
  </si>
  <si>
    <t xml:space="preserve">C00052</t>
  </si>
  <si>
    <t xml:space="preserve">67119</t>
  </si>
  <si>
    <t xml:space="preserve">18068</t>
  </si>
  <si>
    <t xml:space="preserve">2956-16-3</t>
  </si>
  <si>
    <t xml:space="preserve">OC[C@H]1O[C@H](OP(O)(=O)OP(O)(=O)OC[C@H]2O[C@H]([C@H](O)[C@@H]2O)N2C=CC(=O)NC2=O)[C@H](O)[C@@H](O)[C@H]1O</t>
  </si>
  <si>
    <t xml:space="preserve">HSCJRCZFDFQWRP-ABVWGUQPSA-N</t>
  </si>
  <si>
    <t xml:space="preserve">629-1</t>
  </si>
  <si>
    <t xml:space="preserve">630-1</t>
  </si>
  <si>
    <t xml:space="preserve">631-1</t>
  </si>
  <si>
    <t xml:space="preserve">632-1</t>
  </si>
  <si>
    <t xml:space="preserve">633-1</t>
  </si>
  <si>
    <t xml:space="preserve">3'-Hydroxygenistein</t>
  </si>
  <si>
    <t xml:space="preserve">HMDB0041658</t>
  </si>
  <si>
    <t xml:space="preserve">47758</t>
  </si>
  <si>
    <t xml:space="preserve">LMPK12050251</t>
  </si>
  <si>
    <t xml:space="preserve">C10510</t>
  </si>
  <si>
    <t xml:space="preserve">69437</t>
  </si>
  <si>
    <t xml:space="preserve">5281801</t>
  </si>
  <si>
    <t xml:space="preserve">C1(O)=CC2OC=C(C3=CC(O)=C(O)C=C3)C(=O)C=2C(O)=C1</t>
  </si>
  <si>
    <t xml:space="preserve">IOYHCQBYQJQBSK-UHFFFAOYSA-N</t>
  </si>
  <si>
    <t xml:space="preserve">633-2</t>
  </si>
  <si>
    <t xml:space="preserve">2'-Hydroxygenistein</t>
  </si>
  <si>
    <t xml:space="preserve">HMDB0034014</t>
  </si>
  <si>
    <t xml:space="preserve">47834</t>
  </si>
  <si>
    <t xml:space="preserve">LMPK12050327</t>
  </si>
  <si>
    <t xml:space="preserve">C12134</t>
  </si>
  <si>
    <t xml:space="preserve">70031</t>
  </si>
  <si>
    <t xml:space="preserve">5282074</t>
  </si>
  <si>
    <t xml:space="preserve">1156-78-1</t>
  </si>
  <si>
    <t xml:space="preserve">C1(O)=CC2OC=C(C3C=CC(O)=CC=3O)C(=O)C=2C(O)=C1</t>
  </si>
  <si>
    <t xml:space="preserve">GSSOWCUOWLMMRJ-UHFFFAOYSA-N</t>
  </si>
  <si>
    <t xml:space="preserve">633-3</t>
  </si>
  <si>
    <t xml:space="preserve">Kaempferol</t>
  </si>
  <si>
    <t xml:space="preserve">HMDB0005801</t>
  </si>
  <si>
    <t xml:space="preserve">LMPK12110003</t>
  </si>
  <si>
    <t xml:space="preserve">C05903</t>
  </si>
  <si>
    <t xml:space="preserve">28499</t>
  </si>
  <si>
    <t xml:space="preserve">5280863</t>
  </si>
  <si>
    <t xml:space="preserve">520-18-3</t>
  </si>
  <si>
    <t xml:space="preserve">C1(O)C=C2OC(C3=CC=C(O)C=C3)=C(O)C(=O)C2=C(O)C=1</t>
  </si>
  <si>
    <t xml:space="preserve">IYRMWMYZSQPJKC-UHFFFAOYSA-N</t>
  </si>
  <si>
    <t xml:space="preserve">634-1</t>
  </si>
  <si>
    <t xml:space="preserve">Iganidipine</t>
  </si>
  <si>
    <t xml:space="preserve">HMDB0253387</t>
  </si>
  <si>
    <t xml:space="preserve">COC(=O)C1=C(C)NC(C)=C(C1C1=CC(=CC=C1)[N+]([O-])=O)C(=O)OCC(C)(C)CN1CCN(CC=C)CC1</t>
  </si>
  <si>
    <t xml:space="preserve">QBTSPDQKRVMTRU-UHFFFAOYSA-N</t>
  </si>
  <si>
    <t xml:space="preserve">634-2</t>
  </si>
  <si>
    <t xml:space="preserve">Val-Phe-Val-Tyr</t>
  </si>
  <si>
    <t xml:space="preserve">HMDB0304812</t>
  </si>
  <si>
    <t xml:space="preserve">20052426</t>
  </si>
  <si>
    <t xml:space="preserve">CC(C)C(N)C(O)=NC(CC1=CC=CC=C1)C(O)=NC(C(C)C)C(O)=NC(CC1=CC=C(O)C=C1)C(O)=O</t>
  </si>
  <si>
    <t xml:space="preserve">HRJFPLCYTCOZOV-UHFFFAOYSA-N</t>
  </si>
  <si>
    <t xml:space="preserve">635-1</t>
  </si>
  <si>
    <t xml:space="preserve">636-1</t>
  </si>
  <si>
    <t xml:space="preserve">637-1</t>
  </si>
  <si>
    <t xml:space="preserve">638-1</t>
  </si>
  <si>
    <t xml:space="preserve">639-1</t>
  </si>
  <si>
    <t xml:space="preserve">640-1</t>
  </si>
  <si>
    <t xml:space="preserve">641-1</t>
  </si>
  <si>
    <t xml:space="preserve">642-1</t>
  </si>
  <si>
    <t xml:space="preserve">643-1</t>
  </si>
  <si>
    <t xml:space="preserve">644-1</t>
  </si>
  <si>
    <t xml:space="preserve">Hinokiflavone</t>
  </si>
  <si>
    <t xml:space="preserve">HMDB0253172</t>
  </si>
  <si>
    <t xml:space="preserve">47516</t>
  </si>
  <si>
    <t xml:space="preserve">C10057</t>
  </si>
  <si>
    <t xml:space="preserve">5721</t>
  </si>
  <si>
    <t xml:space="preserve">5281627</t>
  </si>
  <si>
    <t xml:space="preserve">OC1=CC=C(C=C1)C1=CC(=O)C2=C(O)C(OC3=CC=C(C=C3)C3=CC(=O)C4=C(O)C=C(O)C=C4O3)=C(O)C=C2O1</t>
  </si>
  <si>
    <t xml:space="preserve">WTDHMFBJQJSTMH-UHFFFAOYSA-N</t>
  </si>
  <si>
    <t xml:space="preserve">644-2</t>
  </si>
  <si>
    <t xml:space="preserve">Amentoflavone</t>
  </si>
  <si>
    <t xml:space="preserve">HMDB0030832</t>
  </si>
  <si>
    <t xml:space="preserve">47521</t>
  </si>
  <si>
    <t xml:space="preserve">LMPK12040009</t>
  </si>
  <si>
    <t xml:space="preserve">C10018</t>
  </si>
  <si>
    <t xml:space="preserve">2631</t>
  </si>
  <si>
    <t xml:space="preserve">5281600</t>
  </si>
  <si>
    <t xml:space="preserve">1617-53-4</t>
  </si>
  <si>
    <t xml:space="preserve">C1(O)=CC2OC(C3C=CC(O)=C(C4=C(O)C=C(O)C5C(=O)C=C(C6=CC=C(O)C=C6)OC4=5)C=3)=CC(=O)C=2C(O)=C1</t>
  </si>
  <si>
    <t xml:space="preserve">YUSWMAULDXZHPY-UHFFFAOYSA-N</t>
  </si>
  <si>
    <t xml:space="preserve">645-1</t>
  </si>
  <si>
    <t xml:space="preserve">646-1</t>
  </si>
  <si>
    <t xml:space="preserve">647-1</t>
  </si>
  <si>
    <t xml:space="preserve">Ginsenoside Rh3</t>
  </si>
  <si>
    <t xml:space="preserve">HMDB0039645</t>
  </si>
  <si>
    <t xml:space="preserve">131752700</t>
  </si>
  <si>
    <t xml:space="preserve">105558-26-7</t>
  </si>
  <si>
    <t xml:space="preserve">CC(C)=CC\C=C(\C)C1CCC2(C)C1C(O)CC1C3(C)CCC(OC4OC(CO)C(O)C(O)C4O)C(C)(C)C3CCC21C</t>
  </si>
  <si>
    <t xml:space="preserve">PHLXREOMFNVWOH-NHDPSOOVSA-N</t>
  </si>
  <si>
    <t xml:space="preserve">647-2</t>
  </si>
  <si>
    <t xml:space="preserve">Hebevinoside IV</t>
  </si>
  <si>
    <t xml:space="preserve">HMDB0036060</t>
  </si>
  <si>
    <t xml:space="preserve">91238</t>
  </si>
  <si>
    <t xml:space="preserve">53463127</t>
  </si>
  <si>
    <t xml:space="preserve">101365-06-4</t>
  </si>
  <si>
    <t xml:space="preserve">COC1C=C2C(CCC(OC3OCC(O)C(O)C3O)C2(C)C)C2(C)CCC3(C)C(C(C)CCC=C(C)C)C(O)CC3(C)C12</t>
  </si>
  <si>
    <t xml:space="preserve">AKDNVAKNWZMAKY-UHFFFAOYSA-N</t>
  </si>
  <si>
    <t xml:space="preserve">648-1</t>
  </si>
  <si>
    <t xml:space="preserve">Wasalexin B</t>
  </si>
  <si>
    <t xml:space="preserve">HMDB0034768</t>
  </si>
  <si>
    <t xml:space="preserve">90192</t>
  </si>
  <si>
    <t xml:space="preserve">174781</t>
  </si>
  <si>
    <t xml:space="preserve">11380859</t>
  </si>
  <si>
    <t xml:space="preserve">CON1C(=O)\C(=C/N=C(SC)SC)C2=CC=CC=C12</t>
  </si>
  <si>
    <t xml:space="preserve">JJQPWCPYNJNWID-NTMALXAHSA-N</t>
  </si>
  <si>
    <t xml:space="preserve">648-2</t>
  </si>
  <si>
    <t xml:space="preserve">Wasalexin A</t>
  </si>
  <si>
    <t xml:space="preserve">HMDB0034765</t>
  </si>
  <si>
    <t xml:space="preserve">90189</t>
  </si>
  <si>
    <t xml:space="preserve">174780</t>
  </si>
  <si>
    <t xml:space="preserve">44333108</t>
  </si>
  <si>
    <t xml:space="preserve">CON1C(=O)\C(=C\N=C(SC)SC)C2=CC=CC=C12</t>
  </si>
  <si>
    <t xml:space="preserve">JJQPWCPYNJNWID-CSKARUKUSA-N</t>
  </si>
  <si>
    <t xml:space="preserve">648-3</t>
  </si>
  <si>
    <t xml:space="preserve">Methoxybrassenin B</t>
  </si>
  <si>
    <t xml:space="preserve">HMDB0038636</t>
  </si>
  <si>
    <t xml:space="preserve">93297</t>
  </si>
  <si>
    <t xml:space="preserve">15145690</t>
  </si>
  <si>
    <t xml:space="preserve">142449-75-0</t>
  </si>
  <si>
    <t xml:space="preserve">CON1C=C(C(=O)N=C(SC)SC)C2=CC=CC=C12</t>
  </si>
  <si>
    <t xml:space="preserve">NFGCTENDKLNJTI-UHFFFAOYSA-N</t>
  </si>
  <si>
    <t xml:space="preserve">649-1</t>
  </si>
  <si>
    <t xml:space="preserve">Nonadecylresorcinol glucuronide</t>
  </si>
  <si>
    <t xml:space="preserve">HMDB0240375</t>
  </si>
  <si>
    <t xml:space="preserve">CCCCCCCCCCCCCCCCCCCC1=CC(O)=CC(O[C@@H]2O[C@@H]([C@@H](O)[C@H](O)[C@H]2O)C(O)=O)=C1</t>
  </si>
  <si>
    <t xml:space="preserve">HNUCRFXAZFPYOT-SQQOACJHSA-N</t>
  </si>
  <si>
    <t xml:space="preserve">649-2</t>
  </si>
  <si>
    <t xml:space="preserve">Cyclopassifloic acid E</t>
  </si>
  <si>
    <t xml:space="preserve">HMDB0036298</t>
  </si>
  <si>
    <t xml:space="preserve">91443</t>
  </si>
  <si>
    <t xml:space="preserve">73801614</t>
  </si>
  <si>
    <t xml:space="preserve">301540-74-9</t>
  </si>
  <si>
    <t xml:space="preserve">CC(C)C(O)(CO)CCC(C)(O)C1C(O)CC2(C)C3CCC4C5(CC35CCC12C)C(O)CC(O)C4(C)C(O)=O</t>
  </si>
  <si>
    <t xml:space="preserve">DXAVXXNAJINCIJ-UHFFFAOYSA-N</t>
  </si>
  <si>
    <t xml:space="preserve">Cycloartanols and derivatives</t>
  </si>
  <si>
    <t xml:space="preserve">650-1</t>
  </si>
  <si>
    <t xml:space="preserve">651-1</t>
  </si>
  <si>
    <t xml:space="preserve">652-1</t>
  </si>
  <si>
    <t xml:space="preserve">653-1</t>
  </si>
  <si>
    <t xml:space="preserve">654-1</t>
  </si>
  <si>
    <t xml:space="preserve">655-1</t>
  </si>
  <si>
    <t xml:space="preserve">656-1</t>
  </si>
  <si>
    <t xml:space="preserve">657-1</t>
  </si>
  <si>
    <t xml:space="preserve">658-1</t>
  </si>
  <si>
    <t xml:space="preserve">659-1</t>
  </si>
  <si>
    <t xml:space="preserve">660-1</t>
  </si>
  <si>
    <t xml:space="preserve">661-1</t>
  </si>
  <si>
    <t xml:space="preserve">662-1</t>
  </si>
  <si>
    <t xml:space="preserve">663-1</t>
  </si>
  <si>
    <t xml:space="preserve">664-1</t>
  </si>
  <si>
    <t xml:space="preserve">665-1</t>
  </si>
  <si>
    <t xml:space="preserve">Fasciculic acid A</t>
  </si>
  <si>
    <t xml:space="preserve">HMDB0036439</t>
  </si>
  <si>
    <t xml:space="preserve">14506480</t>
  </si>
  <si>
    <t xml:space="preserve">126906-00-1</t>
  </si>
  <si>
    <t xml:space="preserve">CC(CCC(O)C(C)(C)O)C1CCC2(C)C3=C(CCC12C)C1(C)CC(OC(=O)CC(C)(O)CC(O)=O)C(O)C(C)(C)C1CC3</t>
  </si>
  <si>
    <t xml:space="preserve">VOAJMYUEWCGJID-UHFFFAOYSA-N</t>
  </si>
  <si>
    <t xml:space="preserve">665-2</t>
  </si>
  <si>
    <t xml:space="preserve">(3b,7b,22x)-Cucurbita-5,24-diene-3,7,23-triol 7-glucoside</t>
  </si>
  <si>
    <t xml:space="preserve">HMDB0037034</t>
  </si>
  <si>
    <t xml:space="preserve">92014</t>
  </si>
  <si>
    <t xml:space="preserve">14807326</t>
  </si>
  <si>
    <t xml:space="preserve">CC(CC(O)C=C(C)C)C1CCC2(C)C3C(OC4OC(CO)C(O)C(O)C4O)C=C4C(CCC(O)C4(C)C)C3(C)CCC12C</t>
  </si>
  <si>
    <t xml:space="preserve">POYBZOIHJHDZFP-UHFFFAOYSA-N</t>
  </si>
  <si>
    <t xml:space="preserve">Cucurbitacins</t>
  </si>
  <si>
    <t xml:space="preserve">665-3</t>
  </si>
  <si>
    <t xml:space="preserve">Soyasapogenol B 24-O-b-D-glucoside</t>
  </si>
  <si>
    <t xml:space="preserve">HMDB0039520</t>
  </si>
  <si>
    <t xml:space="preserve">94088</t>
  </si>
  <si>
    <t xml:space="preserve">176254</t>
  </si>
  <si>
    <t xml:space="preserve">14021514</t>
  </si>
  <si>
    <t xml:space="preserve">115334-08-2</t>
  </si>
  <si>
    <t xml:space="preserve">CC1(C)CC(O)C2(C)CCC3(C)C(=CCC4C5(C)CCC(O)C(C)(COC6OC(CO)C(O)C(O)C6O)C5CCC34C)C2C1</t>
  </si>
  <si>
    <t xml:space="preserve">YTOCWWQIMKHRPX-UHFFFAOYSA-N</t>
  </si>
  <si>
    <t xml:space="preserve">666-1</t>
  </si>
  <si>
    <t xml:space="preserve">Malathion monocarboxylic acid</t>
  </si>
  <si>
    <t xml:space="preserve">HMDB0060626</t>
  </si>
  <si>
    <t xml:space="preserve">3032927</t>
  </si>
  <si>
    <t xml:space="preserve">CCOC(=O)C(CC(O)=O)SP(=S)(OC)OC</t>
  </si>
  <si>
    <t xml:space="preserve">FARGSBYVTRDSKX-UHFFFAOYSA-N</t>
  </si>
  <si>
    <t xml:space="preserve">666-2</t>
  </si>
  <si>
    <t xml:space="preserve">O,O-Dimethyl malathion</t>
  </si>
  <si>
    <t xml:space="preserve">HMDB0255872</t>
  </si>
  <si>
    <t xml:space="preserve">COC(=O)CC(SP(=S)(OC)OC)C(=O)OC</t>
  </si>
  <si>
    <t xml:space="preserve">GADZSMZOQMSZDT-UHFFFAOYSA-N</t>
  </si>
  <si>
    <t xml:space="preserve">667-1</t>
  </si>
  <si>
    <t xml:space="preserve">668-1</t>
  </si>
  <si>
    <t xml:space="preserve">669-1</t>
  </si>
  <si>
    <t xml:space="preserve">670-1</t>
  </si>
  <si>
    <t xml:space="preserve">671-1</t>
  </si>
  <si>
    <t xml:space="preserve">672-1</t>
  </si>
  <si>
    <t xml:space="preserve">673-1</t>
  </si>
  <si>
    <t xml:space="preserve">674-1</t>
  </si>
  <si>
    <t xml:space="preserve">675-1</t>
  </si>
  <si>
    <t xml:space="preserve">676-1</t>
  </si>
  <si>
    <t xml:space="preserve">677-1</t>
  </si>
  <si>
    <t xml:space="preserve">678-1</t>
  </si>
  <si>
    <t xml:space="preserve">679-1</t>
  </si>
  <si>
    <t xml:space="preserve">680-1</t>
  </si>
  <si>
    <t xml:space="preserve">Physagulin D</t>
  </si>
  <si>
    <t xml:space="preserve">HMDB0041049</t>
  </si>
  <si>
    <t xml:space="preserve">73093474</t>
  </si>
  <si>
    <t xml:space="preserve">146713-92-0</t>
  </si>
  <si>
    <t xml:space="preserve">CC(C1CCC2C3CC=C4CC(CC(O)C4(C)C3CCC12C)OC1OC(CO)C(O)C(O)C1O)C1CC(C)=C(CO)C(=O)O1</t>
  </si>
  <si>
    <t xml:space="preserve">KRHHFPJGGBLAAH-UHFFFAOYSA-N</t>
  </si>
  <si>
    <t xml:space="preserve">680-2</t>
  </si>
  <si>
    <t xml:space="preserve">(1alpha,3beta,20S,22R,24S,25S)-Pubescenin</t>
  </si>
  <si>
    <t xml:space="preserve">HMDB0030011</t>
  </si>
  <si>
    <t xml:space="preserve">86662</t>
  </si>
  <si>
    <t xml:space="preserve">5317377</t>
  </si>
  <si>
    <t xml:space="preserve">100217-93-4</t>
  </si>
  <si>
    <t xml:space="preserve">CC(C1CCC2C3CC=C4CC(CC(O)C4(C)C3CCC12C)OC1OC(CO)C(O)C(O)C1O)C1CC2(C)OC2(C)C(=O)O1</t>
  </si>
  <si>
    <t xml:space="preserve">OVHWHMIFHTVFRU-UHFFFAOYSA-N</t>
  </si>
  <si>
    <t xml:space="preserve">681-1</t>
  </si>
  <si>
    <t xml:space="preserve">Stigmasteryl glucoside</t>
  </si>
  <si>
    <t xml:space="preserve">HMDB0034419</t>
  </si>
  <si>
    <t xml:space="preserve">LMST01040204</t>
  </si>
  <si>
    <t xml:space="preserve">68383</t>
  </si>
  <si>
    <t xml:space="preserve">6602508</t>
  </si>
  <si>
    <t xml:space="preserve">19716-26-8</t>
  </si>
  <si>
    <t xml:space="preserve">C1[C@H](O[C@H]2[C@H](O)[C@@H](O)[C@H](O)[C@@H](CO)O2)CC2=CC[C@@]3([H])[C@]4([H])CC[C@]([H])([C@@]([H])(/C=C/[C@@H](CC)C(C)C)C)[C@@]4(C)CC[C@]3([H])[C@@]2(C)C1</t>
  </si>
  <si>
    <t xml:space="preserve">VWDLOXMZIGUBKM-AUGXRQBFSA-N</t>
  </si>
  <si>
    <t xml:space="preserve">Stigmastanes and derivatives</t>
  </si>
  <si>
    <t xml:space="preserve">681-2</t>
  </si>
  <si>
    <t xml:space="preserve">Isofucosterol glucoside</t>
  </si>
  <si>
    <t xml:space="preserve">HMDB0029768</t>
  </si>
  <si>
    <t xml:space="preserve">86475</t>
  </si>
  <si>
    <t xml:space="preserve">12895797</t>
  </si>
  <si>
    <t xml:space="preserve">87678-84-0</t>
  </si>
  <si>
    <t xml:space="preserve">C\C=C(/CCC(C)C1CCC2C3CC=C4CC(CCC4(C)C3CCC12C)OC1OC(CO)C(O)C(O)C1O)C(C)C</t>
  </si>
  <si>
    <t xml:space="preserve">FHEBKVQDISXEGI-QPJQQBGISA-N</t>
  </si>
  <si>
    <t xml:space="preserve">681-3</t>
  </si>
  <si>
    <t xml:space="preserve">alpha-Spinasterol 3-glucoside</t>
  </si>
  <si>
    <t xml:space="preserve">HMDB0033775</t>
  </si>
  <si>
    <t xml:space="preserve">89526</t>
  </si>
  <si>
    <t xml:space="preserve">12960498</t>
  </si>
  <si>
    <t xml:space="preserve">1745-36-4</t>
  </si>
  <si>
    <t xml:space="preserve">CCC(\C=C\C(C)C1CCC2C3=CCC4CC(CCC4(C)C3CCC12C)OC1OC(CO)C(O)C(O)C1O)C(C)C</t>
  </si>
  <si>
    <t xml:space="preserve">ITYGLICZKGWOPA-CMDGGOBGSA-N</t>
  </si>
  <si>
    <t xml:space="preserve">682-1</t>
  </si>
  <si>
    <t xml:space="preserve">683-1</t>
  </si>
  <si>
    <t xml:space="preserve">Coriandrinol</t>
  </si>
  <si>
    <t xml:space="preserve">HMDB0302569</t>
  </si>
  <si>
    <t xml:space="preserve">71628</t>
  </si>
  <si>
    <t xml:space="preserve">[H][C@@](C)(CC[C@@]([H])(CC)C(C)C)C1([H])CC[C@@]2([H])[C@]3([H])CC=C4CC([H])(CC[C@]4(C)[C@@]3([H])CC[C@]12C)O[C@]1([H])O[C@]([H])(CO)[C@@]([H])(O)[C@]([H])(O)[C@@]1([H])O</t>
  </si>
  <si>
    <t xml:space="preserve">NPJICTMALKLTFW-QYDWNGEASA-N</t>
  </si>
  <si>
    <t xml:space="preserve">683-2</t>
  </si>
  <si>
    <t xml:space="preserve">Schottenol 3-glucoside</t>
  </si>
  <si>
    <t xml:space="preserve">HMDB0034185</t>
  </si>
  <si>
    <t xml:space="preserve">89762</t>
  </si>
  <si>
    <t xml:space="preserve">12960489</t>
  </si>
  <si>
    <t xml:space="preserve">61376-86-1</t>
  </si>
  <si>
    <t xml:space="preserve">CCC(CCC(C)C1CCC2C3=CCC4CC(CCC4(C)C3CCC12C)OC1OC(CO)C(O)C(O)C1O)C(C)C</t>
  </si>
  <si>
    <t xml:space="preserve">XWPUVGRUJWXYTP-UHFFFAOYSA-N</t>
  </si>
  <si>
    <t xml:space="preserve">683-3</t>
  </si>
  <si>
    <t xml:space="preserve">beta-Sitosterol 3-O-beta-D-galactopyranoside</t>
  </si>
  <si>
    <t xml:space="preserve">HMDB0033949</t>
  </si>
  <si>
    <t xml:space="preserve">89636</t>
  </si>
  <si>
    <t xml:space="preserve">14135678</t>
  </si>
  <si>
    <t xml:space="preserve">55057-29-9</t>
  </si>
  <si>
    <t xml:space="preserve">CCC(CCC(C)C1CCC2C3CC=C4CC(CCC4(C)C3CCC12C)OC1OC(CO)C(O)C(O)C1O)C(C)C</t>
  </si>
  <si>
    <t xml:space="preserve">NPJICTMALKLTFW-UHFFFAOYSA-N</t>
  </si>
  <si>
    <t xml:space="preserve">684-1</t>
  </si>
  <si>
    <t xml:space="preserve">685-1</t>
  </si>
  <si>
    <t xml:space="preserve">Cytidylyl-(3',5')-guanosine</t>
  </si>
  <si>
    <t xml:space="preserve">HMDB0245649</t>
  </si>
  <si>
    <t xml:space="preserve">135545086</t>
  </si>
  <si>
    <t xml:space="preserve">NC1=NC2=C(N=CN2C2OC(COP(O)(=O)OC3C(CO)OC(C3O)N3C=CC(N)=NC3=O)C(O)C2O)C(=O)N1</t>
  </si>
  <si>
    <t xml:space="preserve">CTMZLDSMFCVUNX-UHFFFAOYSA-N</t>
  </si>
  <si>
    <t xml:space="preserve">(3'-&gt;5')-dinucleotides and analogues</t>
  </si>
  <si>
    <t xml:space="preserve">(3'-&gt;5')-dinucleotides</t>
  </si>
  <si>
    <t xml:space="preserve">685-2</t>
  </si>
  <si>
    <t xml:space="preserve">[(2R,5R)-5-(2-Amino-6-oxo-1H-purin-9-yl)-3,4-dihydroxyoxolan-2-yl]methyl [(2R,5R)-5-(4-amino-2-oxopyrimidin-1-yl)-3,4-dihydroxyoxolan-2-yl]methyl hydrogen phosphate</t>
  </si>
  <si>
    <t xml:space="preserve">HMDB0260224</t>
  </si>
  <si>
    <t xml:space="preserve">NC1=NC2=C(N=CN2C2OC(COP(O)(=O)OCC3OC(C(O)C3O)N3C=CC(N)=NC3=O)C(O)C2O)C(=O)N1</t>
  </si>
  <si>
    <t xml:space="preserve">OEZOLYYGFFTXNK-UHFFFAOYSA-N</t>
  </si>
  <si>
    <t xml:space="preserve">686-1</t>
  </si>
  <si>
    <t xml:space="preserve">687-1</t>
  </si>
  <si>
    <t xml:space="preserve">688-1</t>
  </si>
  <si>
    <t xml:space="preserve">689-1</t>
  </si>
  <si>
    <t xml:space="preserve">690-1</t>
  </si>
  <si>
    <t xml:space="preserve">691-1</t>
  </si>
  <si>
    <t xml:space="preserve">692-1</t>
  </si>
  <si>
    <t xml:space="preserve">693-1</t>
  </si>
  <si>
    <t xml:space="preserve">694-1</t>
  </si>
  <si>
    <t xml:space="preserve">695-1</t>
  </si>
  <si>
    <t xml:space="preserve">696-1</t>
  </si>
  <si>
    <t xml:space="preserve">5-Hydroxycapsanthin-5,6-epoxide</t>
  </si>
  <si>
    <t xml:space="preserve">HMDB0302460</t>
  </si>
  <si>
    <t xml:space="preserve">O[C@H]1CC(C)(C)[C@@](C)(C1)C(=O)\C=C\C(\C)=C\C=C\C(\C)=C\C=C\C=C(/C)\C=C\C=C(/C)\C=C\C12OC1(O)C[C@@H](O)CC2(C)C</t>
  </si>
  <si>
    <t xml:space="preserve">MTJZYEYMGZZYQD-OPMFDOCVSA-N</t>
  </si>
  <si>
    <t xml:space="preserve">696-2</t>
  </si>
  <si>
    <t xml:space="preserve">Ursolic acid (cis-3-O-hydroxycinnamoyl-)</t>
  </si>
  <si>
    <t xml:space="preserve">HMDB0304747</t>
  </si>
  <si>
    <t xml:space="preserve">24203732</t>
  </si>
  <si>
    <t xml:space="preserve">C[C@@H]1CC[C@@]2(CC[C@]3(C)C(=CC[C@@H]4[C@@]5(C)CC[C@H](OC(=O)\C=C/C6=CC=C(O)C=C6)C(C)(C)[C@@H]5CC[C@@]34C)[C@@H]2[C@H]1C)C(O)=O</t>
  </si>
  <si>
    <t xml:space="preserve">ZOXDAGKKDOEJBW-HNPRZPGGSA-N</t>
  </si>
  <si>
    <t xml:space="preserve">696-3</t>
  </si>
  <si>
    <t xml:space="preserve">Ursolic acid (trans-3-O-hydroxycinnamoyl-)</t>
  </si>
  <si>
    <t xml:space="preserve">HMDB0304748</t>
  </si>
  <si>
    <t xml:space="preserve">24203733</t>
  </si>
  <si>
    <t xml:space="preserve">C[C@@H]1CC[C@@]2(CC[C@]3(C)C(=CC[C@@H]4[C@@]5(C)CC[C@H](OC(=O)\C=C\C6=CC=C(O)C=C6)C(C)(C)[C@@H]5CC[C@@]34C)[C@@H]2[C@H]1C)C(O)=O</t>
  </si>
  <si>
    <t xml:space="preserve">ZOXDAGKKDOEJBW-YVZDRRNJSA-N</t>
  </si>
  <si>
    <t xml:space="preserve">697-1</t>
  </si>
  <si>
    <t xml:space="preserve">698-1</t>
  </si>
  <si>
    <t xml:space="preserve">699-1</t>
  </si>
  <si>
    <t xml:space="preserve">Isoeriocitrin</t>
  </si>
  <si>
    <t xml:space="preserve">HMDB0302534</t>
  </si>
  <si>
    <t xml:space="preserve">52843</t>
  </si>
  <si>
    <t xml:space="preserve">LMPK12140359</t>
  </si>
  <si>
    <t xml:space="preserve">C09805</t>
  </si>
  <si>
    <t xml:space="preserve">7502</t>
  </si>
  <si>
    <t xml:space="preserve">114627</t>
  </si>
  <si>
    <t xml:space="preserve">C1(O[C@H]2[C@H](O[C@H]3[C@H](O)[C@H](O)[C@@H](O)[C@H](C)O3)[C@@H](O)[C@H](O)[C@@H](CO)O2)C=C2O[C@]([H])(C3C=CC(O)=C(O)C=3)CC(=O)C2=C(O)C=1</t>
  </si>
  <si>
    <t xml:space="preserve">OBKKEZLIABHSGY-DOYQYKRZSA-N</t>
  </si>
  <si>
    <t xml:space="preserve">699-2</t>
  </si>
  <si>
    <t xml:space="preserve">Eriocitrin</t>
  </si>
  <si>
    <t xml:space="preserve">HMDB0005811</t>
  </si>
  <si>
    <t xml:space="preserve">C09732</t>
  </si>
  <si>
    <t xml:space="preserve">22833655</t>
  </si>
  <si>
    <t xml:space="preserve">13463-28-0</t>
  </si>
  <si>
    <t xml:space="preserve">[H][C@]1(CC(=O)C2=C(C1)C=C(O[C@@H]1O[C@H](CO[C@@H]3O[C@@H](O)[C@H](O)[C@@H](O)[C@H]3O)[C@@H](O)[C@H](O)[C@H]1O)C=C2O)C1=CC=C(O)C(O)=C1</t>
  </si>
  <si>
    <t xml:space="preserve">AZXIAVOSESIQNG-SCXABSQUSA-N</t>
  </si>
  <si>
    <t xml:space="preserve">Phenylnaphthalenes</t>
  </si>
  <si>
    <t xml:space="preserve">699-3</t>
  </si>
  <si>
    <t xml:space="preserve">Pinobanksin 5-[galactosyl-(1-&gt;4)-glucoside]</t>
  </si>
  <si>
    <t xml:space="preserve">HMDB0037506</t>
  </si>
  <si>
    <t xml:space="preserve">C09826</t>
  </si>
  <si>
    <t xml:space="preserve">131752199</t>
  </si>
  <si>
    <t xml:space="preserve">91925-95-0</t>
  </si>
  <si>
    <t xml:space="preserve">OCC1OC(OC2C(O)C(O)C(OC3=CC(O)=CC4=C3C(=O)C(O)C(O4)C3=CC=CC=C3)OC2CO)C(O)C(O)C1O</t>
  </si>
  <si>
    <t xml:space="preserve">BEMHMJYMGFZFFQ-UHFFFAOYSA-N</t>
  </si>
  <si>
    <t xml:space="preserve">700-1</t>
  </si>
  <si>
    <t xml:space="preserve">701-1</t>
  </si>
  <si>
    <t xml:space="preserve">N2-Galacturonyl-L-lysine</t>
  </si>
  <si>
    <t xml:space="preserve">HMDB0033105</t>
  </si>
  <si>
    <t xml:space="preserve">88996</t>
  </si>
  <si>
    <t xml:space="preserve">175119</t>
  </si>
  <si>
    <t xml:space="preserve">131751373</t>
  </si>
  <si>
    <t xml:space="preserve">220718-56-9</t>
  </si>
  <si>
    <t xml:space="preserve">NCCCCC(NC1OC(C(O)C(O)C1O)C(O)=O)C(O)=O</t>
  </si>
  <si>
    <t xml:space="preserve">HFIFPDNTHBGIPX-UHFFFAOYSA-N</t>
  </si>
  <si>
    <t xml:space="preserve">701-2</t>
  </si>
  <si>
    <t xml:space="preserve">N6-Galacturonyl-L-lysine</t>
  </si>
  <si>
    <t xml:space="preserve">HMDB0033106</t>
  </si>
  <si>
    <t xml:space="preserve">88997</t>
  </si>
  <si>
    <t xml:space="preserve">175121</t>
  </si>
  <si>
    <t xml:space="preserve">131751374</t>
  </si>
  <si>
    <t xml:space="preserve">220718-57-0</t>
  </si>
  <si>
    <t xml:space="preserve">NC(CCCCNC1OC(C(O)C(O)C1O)C(O)=O)C(O)=O</t>
  </si>
  <si>
    <t xml:space="preserve">CFQJLIHMLCPJQF-UHFFFAOYSA-N</t>
  </si>
  <si>
    <t xml:space="preserve">701-3</t>
  </si>
  <si>
    <t xml:space="preserve">Avenic acid A</t>
  </si>
  <si>
    <t xml:space="preserve">HMDB0030416</t>
  </si>
  <si>
    <t xml:space="preserve">86957</t>
  </si>
  <si>
    <t xml:space="preserve">22678</t>
  </si>
  <si>
    <t xml:space="preserve">16070004</t>
  </si>
  <si>
    <t xml:space="preserve">76224-57-2</t>
  </si>
  <si>
    <t xml:space="preserve">OCCC(NCCC(NCCC(O)C(O)=O)C(O)=O)C(O)=O</t>
  </si>
  <si>
    <t xml:space="preserve">QUKMQOBHQMWLLR-UHFFFAOYSA-N</t>
  </si>
  <si>
    <t xml:space="preserve">702-1</t>
  </si>
  <si>
    <t xml:space="preserve">703-1</t>
  </si>
  <si>
    <t xml:space="preserve">704-1</t>
  </si>
  <si>
    <t xml:space="preserve">705-1</t>
  </si>
  <si>
    <t xml:space="preserve">FAHFA(O-31:15-31:15(O-10E,12Z))</t>
  </si>
  <si>
    <t xml:space="preserve">HMDB0112169</t>
  </si>
  <si>
    <t xml:space="preserve">LMFA07090102</t>
  </si>
  <si>
    <t xml:space="preserve">131819630</t>
  </si>
  <si>
    <t xml:space="preserve">C(CCCCCCC(=O)O)C(OC(CC/C=C\C/C=C\C/C=C\C/C=C\C/C=C\C/C=C\CC)=O)/C=C/C=C\CCCCC</t>
  </si>
  <si>
    <t xml:space="preserve">SIGOREIAIFQGQJ-HCMNWMSLSA-N</t>
  </si>
  <si>
    <t xml:space="preserve">705-2</t>
  </si>
  <si>
    <t xml:space="preserve">FAHFA(22:6(4Z,7Z,10Z,13Z,16Z,19Z)/13-O-18:2(9Z,11E))</t>
  </si>
  <si>
    <t xml:space="preserve">HMDB0112170</t>
  </si>
  <si>
    <t xml:space="preserve">LMFA07090101</t>
  </si>
  <si>
    <t xml:space="preserve">131819631</t>
  </si>
  <si>
    <t xml:space="preserve">C(=C/C=C\CCCCCCCC(=O)O)\C(OC(CC/C=C\C/C=C\C/C=C\C/C=C\C/C=C\C/C=C\CC)=O)CCCCC</t>
  </si>
  <si>
    <t xml:space="preserve">LNYAZDYWZJMASB-DHOIVBRASA-N</t>
  </si>
  <si>
    <t xml:space="preserve">706-1</t>
  </si>
  <si>
    <t xml:space="preserve">707-1</t>
  </si>
  <si>
    <t xml:space="preserve">708-1</t>
  </si>
  <si>
    <t xml:space="preserve">709-1</t>
  </si>
  <si>
    <t xml:space="preserve">Sodium 6-hydroxy-5-(phenylazo)-2-naphthalenesulfoniate</t>
  </si>
  <si>
    <t xml:space="preserve">HMDB0032902</t>
  </si>
  <si>
    <t xml:space="preserve">5473485</t>
  </si>
  <si>
    <t xml:space="preserve">1934-20-9</t>
  </si>
  <si>
    <t xml:space="preserve">OS(=O)(=O)C1=CC=C2C(C=CC(=O)\C2=N\NC2=CC=CC=C2)=C1</t>
  </si>
  <si>
    <t xml:space="preserve">RWZPEBJPWGVNIQ-FBMGVBCBSA-N</t>
  </si>
  <si>
    <t xml:space="preserve">709-2</t>
  </si>
  <si>
    <t xml:space="preserve">Orange I</t>
  </si>
  <si>
    <t xml:space="preserve">HMDB0032886</t>
  </si>
  <si>
    <t xml:space="preserve">523-44-4</t>
  </si>
  <si>
    <t xml:space="preserve">OC1=CC=C(\N=N/C2=CC=C(C=C2)S(O)(=O)=O)C2=CC=CC=C12</t>
  </si>
  <si>
    <t xml:space="preserve">PURJGKXXWJKIQR-ZCXUNETKSA-N</t>
  </si>
  <si>
    <t xml:space="preserve">Naphthols and derivatives</t>
  </si>
  <si>
    <t xml:space="preserve">709-3</t>
  </si>
  <si>
    <t xml:space="preserve">4-[(2-Hydroxy-1-naphthalenyl)azo]benzenesulfonic acid</t>
  </si>
  <si>
    <t xml:space="preserve">HMDB0037836</t>
  </si>
  <si>
    <t xml:space="preserve">573-89-7</t>
  </si>
  <si>
    <t xml:space="preserve">OC1=C(\N=N/C2=CC=C(C=C2)S(O)(=O)=O)C2=CC=CC=C2C=C1</t>
  </si>
  <si>
    <t xml:space="preserve">RDUJRVXKAIVTDH-ZCXUNETKSA-N</t>
  </si>
  <si>
    <t xml:space="preserve">710-1</t>
  </si>
  <si>
    <t xml:space="preserve">711-1</t>
  </si>
  <si>
    <t xml:space="preserve">Genistein 4',7-O-diglucuronide</t>
  </si>
  <si>
    <t xml:space="preserve">HMDB0041736</t>
  </si>
  <si>
    <t xml:space="preserve">96094</t>
  </si>
  <si>
    <t xml:space="preserve">101519310</t>
  </si>
  <si>
    <t xml:space="preserve">O[C@@H]1[C@@H](O)[C@H](OC2=CC=C(C=C2)C2=COC3=C(C(O)=CC(O[C@@H]4O[C@@H]([C@@H](O)[C@H](O)[C@H]4O)C(O)=O)=C3)C2=O)O[C@@H]([C@H]1O)C(O)=O</t>
  </si>
  <si>
    <t xml:space="preserve">DFJSPRNCKDBZIJ-MWBUVXCNSA-N</t>
  </si>
  <si>
    <t xml:space="preserve">711-2</t>
  </si>
  <si>
    <t xml:space="preserve">Apigenin 7-O-diglucuronide</t>
  </si>
  <si>
    <t xml:space="preserve">HMDB0301685</t>
  </si>
  <si>
    <t xml:space="preserve">409557</t>
  </si>
  <si>
    <t xml:space="preserve">LMPK12110359</t>
  </si>
  <si>
    <t xml:space="preserve">5488004</t>
  </si>
  <si>
    <t xml:space="preserve">C1(O[C@H]2[C@H](O[C@H]3[C@H](O)[C@@H](O)[C@H](O)[C@@H](C(=O)O)O3)[C@@H](O)[C@H](O)[C@@H](C(=O)O)O2)=CC2OC(C3C=CC(O)=CC=3)=CC(=O)C=2C(O)=C1</t>
  </si>
  <si>
    <t xml:space="preserve">SJFTVAAHLRFBST-DBFWEQBMSA-N</t>
  </si>
  <si>
    <t xml:space="preserve">712-1</t>
  </si>
  <si>
    <t xml:space="preserve">713-1</t>
  </si>
  <si>
    <t xml:space="preserve">714-1</t>
  </si>
  <si>
    <t xml:space="preserve">715-1</t>
  </si>
  <si>
    <t xml:space="preserve">716-1</t>
  </si>
  <si>
    <t xml:space="preserve">717-1</t>
  </si>
  <si>
    <t xml:space="preserve">718-1</t>
  </si>
  <si>
    <t xml:space="preserve">719-1</t>
  </si>
  <si>
    <t xml:space="preserve">720-1</t>
  </si>
  <si>
    <t xml:space="preserve">LysoPC(26:0)</t>
  </si>
  <si>
    <t xml:space="preserve">HMDB0029205</t>
  </si>
  <si>
    <t xml:space="preserve">131750810</t>
  </si>
  <si>
    <t xml:space="preserve">[H][C@@](O)(COC(=O)CCCCCCCCCCCCCCCCCCCCCCCCC)COP([O-])(=O)OCC[N+](C)(C)C</t>
  </si>
  <si>
    <t xml:space="preserve">WSDKRPCAPHRNNZ-MGBGTMOVSA-N</t>
  </si>
  <si>
    <t xml:space="preserve">720-2</t>
  </si>
  <si>
    <t xml:space="preserve">1-Hexadecyl-2-tridecanoyl-glycero-3-phosphoethanolamine</t>
  </si>
  <si>
    <t xml:space="preserve">HMDB0256191</t>
  </si>
  <si>
    <t xml:space="preserve">75957893</t>
  </si>
  <si>
    <t xml:space="preserve">CCCCCCCCCCCCCCCCOCC(COP(O)(=O)OCCN)OC(=O)CCCCCCCCCCCC</t>
  </si>
  <si>
    <t xml:space="preserve">NDIULWDDKANRGE-UHFFFAOYSA-N</t>
  </si>
  <si>
    <t xml:space="preserve">721-1</t>
  </si>
  <si>
    <t xml:space="preserve">722-1</t>
  </si>
  <si>
    <t xml:space="preserve">723-1</t>
  </si>
  <si>
    <t xml:space="preserve">724-1</t>
  </si>
  <si>
    <t xml:space="preserve">725-1</t>
  </si>
  <si>
    <t xml:space="preserve">Alkaloid A6</t>
  </si>
  <si>
    <t xml:space="preserve">HMDB0041247</t>
  </si>
  <si>
    <t xml:space="preserve">95665</t>
  </si>
  <si>
    <t xml:space="preserve">131753084</t>
  </si>
  <si>
    <t xml:space="preserve">142741-38-6</t>
  </si>
  <si>
    <t xml:space="preserve">CN1C2=CC=CC=C2C(=O)C2=C1C1=C(OC(C1)C(=C)CCl)C=C2O</t>
  </si>
  <si>
    <t xml:space="preserve">WVAGDJQCWBNFRK-UHFFFAOYSA-N</t>
  </si>
  <si>
    <t xml:space="preserve">725-2</t>
  </si>
  <si>
    <t xml:space="preserve">6-Chloro-5-(4-(1-hydroxycyclobutyl)phenyl)-1H-indole-3-carboxylic acid</t>
  </si>
  <si>
    <t xml:space="preserve">HMDB0244646</t>
  </si>
  <si>
    <t xml:space="preserve">71748255</t>
  </si>
  <si>
    <t xml:space="preserve">OC(=O)C1=CNC2=CC(Cl)=C(C=C12)C1=CC=C(C=C1)C1(O)CCC1</t>
  </si>
  <si>
    <t xml:space="preserve">FHQXLWCFSUSXBF-UHFFFAOYSA-N</t>
  </si>
  <si>
    <t xml:space="preserve">726-1</t>
  </si>
  <si>
    <t xml:space="preserve">727-1</t>
  </si>
  <si>
    <t xml:space="preserve">2,3-Dinor-TXB1</t>
  </si>
  <si>
    <t xml:space="preserve">HMDB0245413</t>
  </si>
  <si>
    <t xml:space="preserve">53394492</t>
  </si>
  <si>
    <t xml:space="preserve">CCCCCC(O)C=CC1CC(O)CC(O)C1CCCCC(O)=O</t>
  </si>
  <si>
    <t xml:space="preserve">URVGHNOQCRQJTD-UHFFFAOYSA-N</t>
  </si>
  <si>
    <t xml:space="preserve">727-2</t>
  </si>
  <si>
    <t xml:space="preserve">13-Hydroxy-9-methoxy-10-oxo-11-octadecenoic acid</t>
  </si>
  <si>
    <t xml:space="preserve">HMDB0040901</t>
  </si>
  <si>
    <t xml:space="preserve">95353</t>
  </si>
  <si>
    <t xml:space="preserve">LMFA02000288</t>
  </si>
  <si>
    <t xml:space="preserve">6366720</t>
  </si>
  <si>
    <t xml:space="preserve">150147-08-3</t>
  </si>
  <si>
    <t xml:space="preserve">CCCCCC(O)/C=C/C(C(OC)CCCCCCCC(O)=O)=O</t>
  </si>
  <si>
    <t xml:space="preserve">VFSWPXFUIZSPGW-CCEZHUSRSA-N</t>
  </si>
  <si>
    <t xml:space="preserve">728-1</t>
  </si>
  <si>
    <t xml:space="preserve">729-1</t>
  </si>
  <si>
    <t xml:space="preserve">730-1</t>
  </si>
  <si>
    <t xml:space="preserve">731-1</t>
  </si>
  <si>
    <t xml:space="preserve">Medroxyprogesterone</t>
  </si>
  <si>
    <t xml:space="preserve">HMDB0001939</t>
  </si>
  <si>
    <t xml:space="preserve">1094</t>
  </si>
  <si>
    <t xml:space="preserve">LMST02030176</t>
  </si>
  <si>
    <t xml:space="preserve">C07119</t>
  </si>
  <si>
    <t xml:space="preserve">6715</t>
  </si>
  <si>
    <t xml:space="preserve">10631</t>
  </si>
  <si>
    <t xml:space="preserve">520-85-4</t>
  </si>
  <si>
    <t xml:space="preserve">C1C[C@@](C(=O)C)(O)[C@@]2(C)CC[C@]3([H])[C@@]4(C)CCC(=O)C=C4[C@@H](C)C[C@@]3([H])[C@@]21[H]</t>
  </si>
  <si>
    <t xml:space="preserve">FRQMUZJSZHZSGN-HBNHAYAOSA-N</t>
  </si>
  <si>
    <t xml:space="preserve">731-2</t>
  </si>
  <si>
    <t xml:space="preserve">Testosterone Propionate</t>
  </si>
  <si>
    <t xml:space="preserve">HMDB0015489</t>
  </si>
  <si>
    <t xml:space="preserve">2783</t>
  </si>
  <si>
    <t xml:space="preserve">LMST02020076</t>
  </si>
  <si>
    <t xml:space="preserve">C08158</t>
  </si>
  <si>
    <t xml:space="preserve">290629</t>
  </si>
  <si>
    <t xml:space="preserve">5995</t>
  </si>
  <si>
    <t xml:space="preserve">57-85-2</t>
  </si>
  <si>
    <t xml:space="preserve">[C@]12([H])CC[C@]3(C)[C@H](CC[C@@]3([H])[C@]1([H])CCC1=CC(CC[C@]21C)=O)OC(=O)CC</t>
  </si>
  <si>
    <t xml:space="preserve">PDMMFKSKQVNJMI-BLQWBTBKSA-N</t>
  </si>
  <si>
    <t xml:space="preserve">Steroid esters</t>
  </si>
  <si>
    <t xml:space="preserve">731-3</t>
  </si>
  <si>
    <t xml:space="preserve">Medrysone</t>
  </si>
  <si>
    <t xml:space="preserve">HMDB0014398</t>
  </si>
  <si>
    <t xml:space="preserve">43589</t>
  </si>
  <si>
    <t xml:space="preserve">C14643</t>
  </si>
  <si>
    <t xml:space="preserve">775124</t>
  </si>
  <si>
    <t xml:space="preserve">247839</t>
  </si>
  <si>
    <t xml:space="preserve">2668-66-8</t>
  </si>
  <si>
    <t xml:space="preserve">[H][C@@]12CC[C@H](C(C)=O)[C@@]1(C)C[C@H](O)[C@@]1([H])[C@@]2([H])C[C@H](C)C2=CC(=O)CC[C@]12C</t>
  </si>
  <si>
    <t xml:space="preserve">GZENKSODFLBBHQ-ILSZZQPISA-N</t>
  </si>
  <si>
    <t xml:space="preserve">732-1</t>
  </si>
  <si>
    <t xml:space="preserve">733-1</t>
  </si>
  <si>
    <t xml:space="preserve">734-1</t>
  </si>
  <si>
    <t xml:space="preserve">Neocuscutoside C</t>
  </si>
  <si>
    <t xml:space="preserve">HMDB0041599</t>
  </si>
  <si>
    <t xml:space="preserve">95975</t>
  </si>
  <si>
    <t xml:space="preserve">169147</t>
  </si>
  <si>
    <t xml:space="preserve">131801689</t>
  </si>
  <si>
    <t xml:space="preserve">OCC1OC(OCC2OC(OC3=CC4=C(OCO4)C=C3C3OCC4C3COC4C3=CC4=C(OCO4)C=C3)C(O)C(O)C2O)C(O)C(O)C1O</t>
  </si>
  <si>
    <t xml:space="preserve">YIGQNWGFLQZODP-UHFFFAOYSA-N</t>
  </si>
  <si>
    <t xml:space="preserve">Lignan glycosides</t>
  </si>
  <si>
    <t xml:space="preserve">734-2</t>
  </si>
  <si>
    <t xml:space="preserve">Sucrose 1',4'-(4,4'-dihydroxy-3,3'-dimethoxy-b-truxinate)</t>
  </si>
  <si>
    <t xml:space="preserve">HMDB0036978</t>
  </si>
  <si>
    <t xml:space="preserve">91966</t>
  </si>
  <si>
    <t xml:space="preserve">131752122</t>
  </si>
  <si>
    <t xml:space="preserve">COC1=CC(=CC=C1O)C1C(C2C1C(=O)OCC1(OC3OC(CO)C(O)C(O)C3O)OC(CO)C(OC2=O)C1O)C1=CC(OC)=C(O)C=C1</t>
  </si>
  <si>
    <t xml:space="preserve">TVWBWDIJOLFFCK-UHFFFAOYSA-N</t>
  </si>
  <si>
    <t xml:space="preserve">Stilbene glycosides</t>
  </si>
  <si>
    <t xml:space="preserve">734-3</t>
  </si>
  <si>
    <t xml:space="preserve">Sesaminol glucosyl-(1-&gt;2)-glucoside</t>
  </si>
  <si>
    <t xml:space="preserve">HMDB0041210</t>
  </si>
  <si>
    <t xml:space="preserve">95630</t>
  </si>
  <si>
    <t xml:space="preserve">85328110</t>
  </si>
  <si>
    <t xml:space="preserve">157469-82-4</t>
  </si>
  <si>
    <t xml:space="preserve">OCC1OC(OC2C(O)C(O)C(CO)OC2OC2=CC3=C(OCO3)C=C2C2OCC3C2COC3C2=CC3=C(OCO3)C=C2)C(O)C(O)C1O</t>
  </si>
  <si>
    <t xml:space="preserve">TUTPGZDOPYRLSX-UHFFFAOYSA-N</t>
  </si>
  <si>
    <t xml:space="preserve">735-1</t>
  </si>
  <si>
    <t xml:space="preserve">736-1</t>
  </si>
  <si>
    <t xml:space="preserve">Coproporphyrinogen I</t>
  </si>
  <si>
    <t xml:space="preserve">HMDB0002158</t>
  </si>
  <si>
    <t xml:space="preserve">C05768</t>
  </si>
  <si>
    <t xml:space="preserve">28607</t>
  </si>
  <si>
    <t xml:space="preserve">440776</t>
  </si>
  <si>
    <t xml:space="preserve">31110-56-2</t>
  </si>
  <si>
    <t xml:space="preserve">CC1=C2CC3=C(CCC(O)=O)C(C)=C(CC4=C(CCC(O)=O)C(C)=C(CC5=C(CCC(O)=O)C(C)=C(CC(N2)=C1CCC(O)=O)N5)N4)N3</t>
  </si>
  <si>
    <t xml:space="preserve">WIUGGJKHYQIGNH-UHFFFAOYSA-N</t>
  </si>
  <si>
    <t xml:space="preserve">Tetrapyrroles and derivatives</t>
  </si>
  <si>
    <t xml:space="preserve">Porphyrins</t>
  </si>
  <si>
    <t xml:space="preserve">736-2</t>
  </si>
  <si>
    <t xml:space="preserve">Coproporphyrinogen III</t>
  </si>
  <si>
    <t xml:space="preserve">HMDB0001261</t>
  </si>
  <si>
    <t xml:space="preserve">462618</t>
  </si>
  <si>
    <t xml:space="preserve">C03263</t>
  </si>
  <si>
    <t xml:space="preserve">15439</t>
  </si>
  <si>
    <t xml:space="preserve">321</t>
  </si>
  <si>
    <t xml:space="preserve">2624-63-7</t>
  </si>
  <si>
    <t xml:space="preserve">CC1=C2CC3=C(C)C(CCC(O)=O)=C(CC4=C(CCC(O)=O)C(C)=C(CC5=C(CCC(O)=O)C(C)=C(CC(N2)=C1CCC(O)=O)N5)N4)N3</t>
  </si>
  <si>
    <t xml:space="preserve">NIUVHXTXUXOFEB-UHFFFAOYSA-N</t>
  </si>
  <si>
    <t xml:space="preserve">737-1</t>
  </si>
  <si>
    <t xml:space="preserve">1,2-Di-(9Z,12Z-octadecadienoyl)-sn-glycero-3-phosphate</t>
  </si>
  <si>
    <t xml:space="preserve">HMDB0031092</t>
  </si>
  <si>
    <t xml:space="preserve">12894949</t>
  </si>
  <si>
    <t xml:space="preserve">13397-95-0</t>
  </si>
  <si>
    <t xml:space="preserve">CCCCC\C=C\C\C=C\CCCCCCCC(=O)OCC(COP(O)(O)=O)OC(=O)CCCCCCC\C=C\C\C=C\CCCCC</t>
  </si>
  <si>
    <t xml:space="preserve">OBXRDFNCKFWKNY-WVZYQCMWSA-N</t>
  </si>
  <si>
    <t xml:space="preserve">737-2</t>
  </si>
  <si>
    <t xml:space="preserve">Phosphatidate(36:4)</t>
  </si>
  <si>
    <t xml:space="preserve">HMDB0114790</t>
  </si>
  <si>
    <t xml:space="preserve">81272</t>
  </si>
  <si>
    <t xml:space="preserve">LMGP10010106</t>
  </si>
  <si>
    <t xml:space="preserve">52928699</t>
  </si>
  <si>
    <t xml:space="preserve">[C@](COP(=O)(O)O)([H])(OC(CCCCC/C=C\C/C=C\C/C=C\C/C=C\CCCCC)=O)COC(CCCCCCCCCCCCC)=O</t>
  </si>
  <si>
    <t xml:space="preserve">IFFSRUXPTALKJN-KSWWOFDNSA-N</t>
  </si>
  <si>
    <t xml:space="preserve">737-3</t>
  </si>
  <si>
    <t xml:space="preserve">PA(36:4)</t>
  </si>
  <si>
    <t xml:space="preserve">HMDB0114841</t>
  </si>
  <si>
    <t xml:space="preserve">40922</t>
  </si>
  <si>
    <t xml:space="preserve">LMGP10010025</t>
  </si>
  <si>
    <t xml:space="preserve">73262</t>
  </si>
  <si>
    <t xml:space="preserve">9547168</t>
  </si>
  <si>
    <t xml:space="preserve">[C@](COP(=O)(O)O)([H])(OC(CCC/C=C\C/C=C\C/C=C\C/C=C\CCCCC)=O)COC(CCCCCCCCCCCCCCC)=O</t>
  </si>
  <si>
    <t xml:space="preserve">SPYWWYSOADUXOQ-YABMZCMSSA-N</t>
  </si>
  <si>
    <t xml:space="preserve">738-1</t>
  </si>
  <si>
    <t xml:space="preserve">PA(36:3)</t>
  </si>
  <si>
    <t xml:space="preserve">HMDB0115511</t>
  </si>
  <si>
    <t xml:space="preserve">82071</t>
  </si>
  <si>
    <t xml:space="preserve">LMGP10010905</t>
  </si>
  <si>
    <t xml:space="preserve">52929495</t>
  </si>
  <si>
    <t xml:space="preserve">[C@](COP(=O)(O)O)([H])(OC(CCCCCC/C=C\C/C=C\C/C=C\CCCCC)=O)COC(CCCCCCCCCCCCCCC)=O</t>
  </si>
  <si>
    <t xml:space="preserve">CGADDCLTVOZDQQ-QNKWBPIESA-N</t>
  </si>
  <si>
    <t xml:space="preserve">738-2</t>
  </si>
  <si>
    <t xml:space="preserve">Phosphatidate(36:3)</t>
  </si>
  <si>
    <t xml:space="preserve">HMDB0114805</t>
  </si>
  <si>
    <t xml:space="preserve">81300</t>
  </si>
  <si>
    <t xml:space="preserve">LMGP10010134</t>
  </si>
  <si>
    <t xml:space="preserve">52928727</t>
  </si>
  <si>
    <t xml:space="preserve">[C@](COP(=O)(O)O)([H])(OC(CCCCCCCCCCC/C=C\C/C=C\CCCCC)=O)COC(CCCCCCC/C=C\CCCC)=O</t>
  </si>
  <si>
    <t xml:space="preserve">URUVXHGRYHVJHP-RGWCGLOOSA-N</t>
  </si>
  <si>
    <t xml:space="preserve">739-1</t>
  </si>
  <si>
    <t xml:space="preserve">PE(33:2)</t>
  </si>
  <si>
    <t xml:space="preserve">HMDB0008895</t>
  </si>
  <si>
    <t xml:space="preserve">60338</t>
  </si>
  <si>
    <t xml:space="preserve">LMGP02011232</t>
  </si>
  <si>
    <t xml:space="preserve">52924929</t>
  </si>
  <si>
    <t xml:space="preserve">[C@](COP(=O)(O)OCCN)([H])(OC(CCCCCCC/C=C\C/C=C\CCCCC)=O)COC(CCCCCCCCCCCCCC)=O</t>
  </si>
  <si>
    <t xml:space="preserve">QAXAIGXHZKFJPP-QYTRANCOSA-N</t>
  </si>
  <si>
    <t xml:space="preserve">739-2</t>
  </si>
  <si>
    <t xml:space="preserve">PC(30:2)</t>
  </si>
  <si>
    <t xml:space="preserve">HMDB0007903</t>
  </si>
  <si>
    <t xml:space="preserve">59353</t>
  </si>
  <si>
    <t xml:space="preserve">LMGP01011385</t>
  </si>
  <si>
    <t xml:space="preserve">88908</t>
  </si>
  <si>
    <t xml:space="preserve">52922252</t>
  </si>
  <si>
    <t xml:space="preserve">[C@](COP(=O)([O-])OCC[N+](C)(C)C)([H])(OC(CCCCCCC/C=C\CCCCCC)=O)COC(CCCCCCC/C=C\CCCC)=O</t>
  </si>
  <si>
    <t xml:space="preserve">RUTXZOOOUKHIRR-KQGJYXFZSA-N</t>
  </si>
  <si>
    <t xml:space="preserve">740-1</t>
  </si>
  <si>
    <t xml:space="preserve">Viniferol D</t>
  </si>
  <si>
    <t xml:space="preserve">HMDB0248357</t>
  </si>
  <si>
    <t xml:space="preserve">182979</t>
  </si>
  <si>
    <t xml:space="preserve">OC1=CC=C(C=C1)C1OC2=CC(O)=C3C(C(C4C(C5=CC=C(O)C=C5)C5=C(O)C=C(O)C=C5C1C2=C34)C1=CC(O)=CC(O)=C1)C1=CC=C(O)C=C1</t>
  </si>
  <si>
    <t xml:space="preserve">QDEHKEFWCRAFDN-UHFFFAOYSA-N</t>
  </si>
  <si>
    <t xml:space="preserve">740-2</t>
  </si>
  <si>
    <t xml:space="preserve">cis-Miyabenol C</t>
  </si>
  <si>
    <t xml:space="preserve">HMDB0041555</t>
  </si>
  <si>
    <t xml:space="preserve">95937</t>
  </si>
  <si>
    <t xml:space="preserve">5388319</t>
  </si>
  <si>
    <t xml:space="preserve">168037-22-7</t>
  </si>
  <si>
    <t xml:space="preserve">OC1=CC=C(\C=C\C2=CC(O)=CC3=C2C(C(O3)C2=CC=C(O)C=C2)C2=C3C(C(OC3=CC(O)=C2)C2=CC=C(O)C=C2)C2=CC(O)=CC(O)=C2)C=C1</t>
  </si>
  <si>
    <t xml:space="preserve">RKFYYCKIHVEWHX-DAFODLJHSA-N</t>
  </si>
  <si>
    <t xml:space="preserve">741-1</t>
  </si>
  <si>
    <t xml:space="preserve">Phosphatidate(38:6)</t>
  </si>
  <si>
    <t xml:space="preserve">HMDB0114868</t>
  </si>
  <si>
    <t xml:space="preserve">131821893</t>
  </si>
  <si>
    <t xml:space="preserve">[H][C@@](COC(=O)CCCCCCC\C=C/CCCCCC)(COP(O)(O)=O)OC(=O)CC\C=C/C\C=C/C\C=C/C\C=C/C\C=C/CCCCC</t>
  </si>
  <si>
    <t xml:space="preserve">WPZKQBJCLKCPAC-MGJHLWAVSA-N</t>
  </si>
  <si>
    <t xml:space="preserve">741-2</t>
  </si>
  <si>
    <t xml:space="preserve">PA(38:6)</t>
  </si>
  <si>
    <t xml:space="preserve">HMDB0114849</t>
  </si>
  <si>
    <t xml:space="preserve">40934</t>
  </si>
  <si>
    <t xml:space="preserve">LMGP10010038</t>
  </si>
  <si>
    <t xml:space="preserve">83785</t>
  </si>
  <si>
    <t xml:space="preserve">24779561</t>
  </si>
  <si>
    <t xml:space="preserve">[C@](COP(=O)(O)O)([H])(OC(CC/C=C\C/C=C\C/C=C\C/C=C\C/C=C\C/C=C\CC)=O)COC(CCCCCCCCCCCCCCC)=O</t>
  </si>
  <si>
    <t xml:space="preserve">NXXSEGVRTTVEEI-QPKMWZFCSA-N</t>
  </si>
  <si>
    <t xml:space="preserve">742-1</t>
  </si>
  <si>
    <t xml:space="preserve">743-1</t>
  </si>
  <si>
    <t xml:space="preserve">Hyphanox</t>
  </si>
  <si>
    <t xml:space="preserve">HMDB0253309</t>
  </si>
  <si>
    <t xml:space="preserve">CCC(C)N1N=CN(C1=O)C1=CC=C(C=C1)N1CCN(CC1)C1=CC=C(OCC2COC(CN3C=NC=N3)(O2)C2=C(Cl)C=C(Cl)C=C2)C=C1</t>
  </si>
  <si>
    <t xml:space="preserve">VHVPQPYKVGDNFY-UHFFFAOYSA-N</t>
  </si>
  <si>
    <t xml:space="preserve">743-2</t>
  </si>
  <si>
    <t xml:space="preserve">Itraconazole</t>
  </si>
  <si>
    <t xml:space="preserve">HMDB0015298</t>
  </si>
  <si>
    <t xml:space="preserve">6076</t>
  </si>
  <si>
    <t xml:space="preserve">55283</t>
  </si>
  <si>
    <t xml:space="preserve">84625-61-6</t>
  </si>
  <si>
    <t xml:space="preserve">CCC(C)N1N=CN(C1=O)C1=CC=C(C=C1)N1CCN(CC1)C1=CC=C(OC[C@H]2CO[C@@](CN3C=NC=N3)(O2)C2=C(Cl)C=C(Cl)C=C2)C=C1</t>
  </si>
  <si>
    <t xml:space="preserve">VHVPQPYKVGDNFY-ZPGVKDDISA-N</t>
  </si>
  <si>
    <t xml:space="preserve">744-1</t>
  </si>
  <si>
    <t xml:space="preserve">745-1</t>
  </si>
  <si>
    <t xml:space="preserve">Camelliaside B</t>
  </si>
  <si>
    <t xml:space="preserve">HMDB0038767</t>
  </si>
  <si>
    <t xml:space="preserve">131752461</t>
  </si>
  <si>
    <t xml:space="preserve">131573-90-5</t>
  </si>
  <si>
    <t xml:space="preserve">CC1OC(OCC2OC(OC3=C(OC4=CC(O)=CC(O)=C4C3=O)C3=CC=C(O)C=C3)C(OC3OCC(O)C(O)C3O)C(O)C2O)C(O)C(O)C1O</t>
  </si>
  <si>
    <t xml:space="preserve">LLPRITPJQPQXIR-UHFFFAOYSA-N</t>
  </si>
  <si>
    <t xml:space="preserve">745-2</t>
  </si>
  <si>
    <t xml:space="preserve">Kaempferol 3-(2G-apiosylrobinobioside)</t>
  </si>
  <si>
    <t xml:space="preserve">HMDB0039759</t>
  </si>
  <si>
    <t xml:space="preserve">94310</t>
  </si>
  <si>
    <t xml:space="preserve">5465152</t>
  </si>
  <si>
    <t xml:space="preserve">132185-73-0</t>
  </si>
  <si>
    <t xml:space="preserve">CC1OC(OCC2OC(OC3=C(OC4=CC(O)=CC(O)=C4C3=O)C3=CC=C(O)C=C3)C(OC3OCC(O)(CO)C3O)C(O)C2O)C(O)C(O)C1O</t>
  </si>
  <si>
    <t xml:space="preserve">PXDYLXHBUIPSMK-UHFFFAOYSA-N</t>
  </si>
  <si>
    <t xml:space="preserve">745-3</t>
  </si>
  <si>
    <t xml:space="preserve">Isoschaftoside 4'-glucoside</t>
  </si>
  <si>
    <t xml:space="preserve">HMDB0040875</t>
  </si>
  <si>
    <t xml:space="preserve">95329</t>
  </si>
  <si>
    <t xml:space="preserve">74977488</t>
  </si>
  <si>
    <t xml:space="preserve">151922-19-9</t>
  </si>
  <si>
    <t xml:space="preserve">OCC1OC(OC2=CC=C(C=C2)C2=CC(=O)C3=C(O)C(C4OCC(O)C(O)C4O)=C(O)C(C4OC(CO)C(O)C(O)C4O)=C3O2)C(O)C(O)C1O</t>
  </si>
  <si>
    <t xml:space="preserve">JUJNPKAGUBZERG-UHFFFAOYSA-N</t>
  </si>
  <si>
    <t xml:space="preserve">746-1</t>
  </si>
  <si>
    <t xml:space="preserve">747-1</t>
  </si>
  <si>
    <t xml:space="preserve">Perforin A</t>
  </si>
  <si>
    <t xml:space="preserve">HMDB0256338</t>
  </si>
  <si>
    <t xml:space="preserve">CC(=O)OC1C(OC(C)=O)C2(C)C(OC(=O)C3OC23C2(C)C(OC(C)=O)C(OC(C)=O)C3C(C)(C=CC(=O)OC3(C)C)C12)C1=COC=C1</t>
  </si>
  <si>
    <t xml:space="preserve">MFTJTVBEGOKYTQ-UHFFFAOYSA-N</t>
  </si>
  <si>
    <t xml:space="preserve">747-2</t>
  </si>
  <si>
    <t xml:space="preserve">Myricanol 5-(6-galloylglucoside)</t>
  </si>
  <si>
    <t xml:space="preserve">HMDB0036526</t>
  </si>
  <si>
    <t xml:space="preserve">91621</t>
  </si>
  <si>
    <t xml:space="preserve">14031379</t>
  </si>
  <si>
    <t xml:space="preserve">113204-18-5</t>
  </si>
  <si>
    <t xml:space="preserve">COC1=C(OC2OC(COC(=O)C3=CC(O)=C(O)C(O)=C3)C(O)C(O)C2O)C2=CC(=C1OC)C1=C(O)C=CC(CCC(O)CCCC2)=C1</t>
  </si>
  <si>
    <t xml:space="preserve">PXTKHOHAJHGCKB-UHFFFAOYSA-N</t>
  </si>
  <si>
    <t xml:space="preserve">Diarylheptanoids</t>
  </si>
  <si>
    <t xml:space="preserve">Cyclic diarylheptanoids</t>
  </si>
  <si>
    <t xml:space="preserve">748-1</t>
  </si>
  <si>
    <t xml:space="preserve">SM(d18:2(4E,14Z)/14:0)</t>
  </si>
  <si>
    <t xml:space="preserve">HMDB0240637</t>
  </si>
  <si>
    <t xml:space="preserve">83736</t>
  </si>
  <si>
    <t xml:space="preserve">LMSP03010034</t>
  </si>
  <si>
    <t xml:space="preserve">52931131</t>
  </si>
  <si>
    <t xml:space="preserve">2292199-25-6</t>
  </si>
  <si>
    <t xml:space="preserve">[C@](COP(=O)([O-])OCC[N+](C)(C)C)([H])(NC(CCCCCCCCCCCCC)=O)[C@]([H])(O)/C=C/CCCCCCCC/C=C\CCC</t>
  </si>
  <si>
    <t xml:space="preserve">PEJGMBUENJSLLH-RHAKMSQVSA-N</t>
  </si>
  <si>
    <t xml:space="preserve">748-2</t>
  </si>
  <si>
    <t xml:space="preserve">SM(32:2)</t>
  </si>
  <si>
    <t xml:space="preserve">HMDB0240612</t>
  </si>
  <si>
    <t xml:space="preserve">222403-65-8</t>
  </si>
  <si>
    <t xml:space="preserve">[H][C@@](COP([O-])(=O)OCC[N+](C)(C)C)(NC(=O)CCCCCCC\C=C/CCCC)[C@H](O)\C=C\CCCCCCCCCCCCC</t>
  </si>
  <si>
    <t xml:space="preserve">SOWIKWJDPCEPOJ-IOBGKIDWSA-N</t>
  </si>
  <si>
    <t xml:space="preserve">749-1</t>
  </si>
  <si>
    <t xml:space="preserve">750-1</t>
  </si>
  <si>
    <t xml:space="preserve">751-1</t>
  </si>
  <si>
    <t xml:space="preserve">752-1</t>
  </si>
  <si>
    <t xml:space="preserve">753-1</t>
  </si>
  <si>
    <t xml:space="preserve">754-1</t>
  </si>
  <si>
    <t xml:space="preserve">(9Z)-3-Hydroxydodecenoylcarnitine</t>
  </si>
  <si>
    <t xml:space="preserve">HMDB0240760</t>
  </si>
  <si>
    <t xml:space="preserve">LMFA07070024</t>
  </si>
  <si>
    <t xml:space="preserve">73106</t>
  </si>
  <si>
    <t xml:space="preserve">71464579</t>
  </si>
  <si>
    <t xml:space="preserve">C(C([O-])=O)C(OC(CC(O)CCCCC/C=C\CC)=O)C[N+](C)(C)C</t>
  </si>
  <si>
    <t xml:space="preserve">PKPXVGIKUXUYEF-SREVYHEPSA-N</t>
  </si>
  <si>
    <t xml:space="preserve">754-2</t>
  </si>
  <si>
    <t xml:space="preserve">(4E)-3-Hydroxydodec-4-enoylcarnitine</t>
  </si>
  <si>
    <t xml:space="preserve">HMDB0241220</t>
  </si>
  <si>
    <t xml:space="preserve">CCCCCCCC=CC(O)CC(=O)OC(CC([O-])=O)C[N+](C)(C)C</t>
  </si>
  <si>
    <t xml:space="preserve">HPWLZTZUPVOGKR-UHFFFAOYSA-N</t>
  </si>
  <si>
    <t xml:space="preserve">754-3</t>
  </si>
  <si>
    <t xml:space="preserve">(6Z)-3-Hydroxydodec-6-enoylcarnitine</t>
  </si>
  <si>
    <t xml:space="preserve">HMDB0241221</t>
  </si>
  <si>
    <t xml:space="preserve">CCCCCC=CCCC(O)CC(=O)OC(CC([O-])=O)C[N+](C)(C)C</t>
  </si>
  <si>
    <t xml:space="preserve">NFLPRKGOEUZRJH-UHFFFAOYSA-N</t>
  </si>
  <si>
    <t xml:space="preserve">755-1</t>
  </si>
  <si>
    <t xml:space="preserve">756-1</t>
  </si>
  <si>
    <t xml:space="preserve">PC(31:1)</t>
  </si>
  <si>
    <t xml:space="preserve">HMDB0007936</t>
  </si>
  <si>
    <t xml:space="preserve">59386</t>
  </si>
  <si>
    <t xml:space="preserve">LMGP01010535</t>
  </si>
  <si>
    <t xml:space="preserve">24778657</t>
  </si>
  <si>
    <t xml:space="preserve">[C@](COP(=O)([O-])OCC[N+](C)(C)C)([H])(OC(CCCCCCC/C=C\CCCCCC)=O)COC(CCCCCCCCCCCCCC)=O</t>
  </si>
  <si>
    <t xml:space="preserve">QFVHCMLUKNHDSH-WTWBAFHPSA-N</t>
  </si>
  <si>
    <t xml:space="preserve">756-2</t>
  </si>
  <si>
    <t xml:space="preserve">PE(34:1)</t>
  </si>
  <si>
    <t xml:space="preserve">HMDB0008834</t>
  </si>
  <si>
    <t xml:space="preserve">60278</t>
  </si>
  <si>
    <t xml:space="preserve">LMGP02010415</t>
  </si>
  <si>
    <t xml:space="preserve">52924120</t>
  </si>
  <si>
    <t xml:space="preserve">[C@](COP(=O)(O)OCCN)([H])(OC(CCCCCCCCC/C=C\CCCCCCCC)=O)COC(CCCCCCCCCCCCC)=O</t>
  </si>
  <si>
    <t xml:space="preserve">BPFXNETZQIVTNB-OBYUZFALSA-N</t>
  </si>
  <si>
    <t xml:space="preserve">757-1</t>
  </si>
  <si>
    <t xml:space="preserve">758-1</t>
  </si>
  <si>
    <t xml:space="preserve">Neuroprotectin D1</t>
  </si>
  <si>
    <t xml:space="preserve">HMDB0003689</t>
  </si>
  <si>
    <t xml:space="preserve">36435</t>
  </si>
  <si>
    <t xml:space="preserve">LMFA04040001</t>
  </si>
  <si>
    <t xml:space="preserve">138655</t>
  </si>
  <si>
    <t xml:space="preserve">16042541</t>
  </si>
  <si>
    <t xml:space="preserve">C(CC/C=C\C/C=C\C[C@@H](O)/C=C/C=C/C=C\[C@@H](O)C/C=C\CC)(=O)O</t>
  </si>
  <si>
    <t xml:space="preserve">CRDZYJSQHCXHEG-SFVBTVKNSA-N</t>
  </si>
  <si>
    <t xml:space="preserve">758-2</t>
  </si>
  <si>
    <t xml:space="preserve">Resolvin D5</t>
  </si>
  <si>
    <t xml:space="preserve">HMDB0004038</t>
  </si>
  <si>
    <t xml:space="preserve">36434</t>
  </si>
  <si>
    <t xml:space="preserve">138645</t>
  </si>
  <si>
    <t xml:space="preserve">16061139</t>
  </si>
  <si>
    <t xml:space="preserve">CC\C=C/C[C@H](O)\C=C\C=C/C\C=C/C=C/[C@@H](O)\C=C/CCCC(O)=O</t>
  </si>
  <si>
    <t xml:space="preserve">JBRPFYYLEQERPG-XTIXYJHRSA-N</t>
  </si>
  <si>
    <t xml:space="preserve">758-3</t>
  </si>
  <si>
    <t xml:space="preserve">Macrophorin A</t>
  </si>
  <si>
    <t xml:space="preserve">HMDB0030454</t>
  </si>
  <si>
    <t xml:space="preserve">86989</t>
  </si>
  <si>
    <t xml:space="preserve">14526957</t>
  </si>
  <si>
    <t xml:space="preserve">85754-70-7</t>
  </si>
  <si>
    <t xml:space="preserve">CC1(C)CCCC2(C)C(CC34OC3C(O)C(CO)=CC4=O)C(=C)CCC12</t>
  </si>
  <si>
    <t xml:space="preserve">OOIYDCZXWGFDDL-UHFFFAOYSA-N</t>
  </si>
  <si>
    <t xml:space="preserve">759-1</t>
  </si>
  <si>
    <t xml:space="preserve">760-1</t>
  </si>
  <si>
    <t xml:space="preserve">PG(32:0)</t>
  </si>
  <si>
    <t xml:space="preserve">HMDB0010570</t>
  </si>
  <si>
    <t xml:space="preserve">61847</t>
  </si>
  <si>
    <t xml:space="preserve">LMGP04010986</t>
  </si>
  <si>
    <t xml:space="preserve">73205</t>
  </si>
  <si>
    <t xml:space="preserve">446440</t>
  </si>
  <si>
    <t xml:space="preserve">[H][C@](O)(CO)COP(OC[C@]([H])(OC(CCCCCCCCCCCCCCC)=O)COC(CCCCCCCCCCCCCCC)=O)(=O)O</t>
  </si>
  <si>
    <t xml:space="preserve">BIABMEZBCHDPBV-MPQUPPDSSA-N</t>
  </si>
  <si>
    <t xml:space="preserve">760-2</t>
  </si>
  <si>
    <t xml:space="preserve">Dipalmitoylphosphatidylglycerol</t>
  </si>
  <si>
    <t xml:space="preserve">HMDB0251613</t>
  </si>
  <si>
    <t xml:space="preserve">60724</t>
  </si>
  <si>
    <t xml:space="preserve">65144</t>
  </si>
  <si>
    <t xml:space="preserve">CCCCCCCCCCCCCCCC(=O)OCC(COP(O)(=O)OCC(O)CO)OC(=O)CCCCCCCCCCCCCCC</t>
  </si>
  <si>
    <t xml:space="preserve">BIABMEZBCHDPBV-UHFFFAOYSA-N</t>
  </si>
  <si>
    <t xml:space="preserve">761-1</t>
  </si>
  <si>
    <t xml:space="preserve">762-1</t>
  </si>
  <si>
    <t xml:space="preserve">763-1</t>
  </si>
  <si>
    <t xml:space="preserve">764-1</t>
  </si>
  <si>
    <t xml:space="preserve">765-1</t>
  </si>
  <si>
    <t xml:space="preserve">766-1</t>
  </si>
  <si>
    <t xml:space="preserve">767-1</t>
  </si>
  <si>
    <t xml:space="preserve">768-1</t>
  </si>
  <si>
    <t xml:space="preserve">769-1</t>
  </si>
  <si>
    <t xml:space="preserve">770-1</t>
  </si>
  <si>
    <t xml:space="preserve">771-1</t>
  </si>
  <si>
    <t xml:space="preserve">Theaflavin-3-gallate</t>
  </si>
  <si>
    <t xml:space="preserve">HMDB0005786</t>
  </si>
  <si>
    <t xml:space="preserve">22833650</t>
  </si>
  <si>
    <t xml:space="preserve">28543-07-9</t>
  </si>
  <si>
    <t xml:space="preserve">O[C@@H]1CC2=C(O[C@@H]1C1=CC3=C(C(O)=C(O)C(=C3)[C@H]3OC4=C(C[C@H]3OC(=O)C3=CC(O)=C(O)C(O)=C3)C(O)=CC(O)=C4)C(=O)C(O)=C1)C=C(O)C=C2O</t>
  </si>
  <si>
    <t xml:space="preserve">AATSUYYYTHJRJO-RZYARBFNSA-N</t>
  </si>
  <si>
    <t xml:space="preserve">771-2</t>
  </si>
  <si>
    <t xml:space="preserve">Isoneotheaflavin 3-O-gallate</t>
  </si>
  <si>
    <t xml:space="preserve">HMDB0029254</t>
  </si>
  <si>
    <t xml:space="preserve">86130</t>
  </si>
  <si>
    <t xml:space="preserve">131750828</t>
  </si>
  <si>
    <t xml:space="preserve">O[C@H]1CC2=C(OC1C1=C3C=C(C=C(O)C(=O)C3=C(O)C(O)=C1)C1OC3=C(C[C@@H]1OC(=O)C1=CC(O)=C(O)C(O)=C1)C(O)=CC(O)=C3)C=C(O)C=C2O</t>
  </si>
  <si>
    <t xml:space="preserve">KMJPKUVSXFVQGZ-QUWMGRMQSA-N</t>
  </si>
  <si>
    <t xml:space="preserve">771-3</t>
  </si>
  <si>
    <t xml:space="preserve">Isotheaflavin 3'-gallate</t>
  </si>
  <si>
    <t xml:space="preserve">HMDB0032904</t>
  </si>
  <si>
    <t xml:space="preserve">88813</t>
  </si>
  <si>
    <t xml:space="preserve">15624170</t>
  </si>
  <si>
    <t xml:space="preserve">OC1CC2=C(O)C=C(O)C=C2OC1C1=CC2=C(C(O)=C(O)C=C2C2OC3=CC(O)=CC(O)=C3CC2OC(=O)C2=CC(O)=C(O)C(O)=C2)C(=O)C(O)=C1</t>
  </si>
  <si>
    <t xml:space="preserve">GPLOTACQBREROW-UHFFFAOYSA-N</t>
  </si>
  <si>
    <t xml:space="preserve">772-1</t>
  </si>
  <si>
    <t xml:space="preserve">773-1</t>
  </si>
  <si>
    <t xml:space="preserve">774-1</t>
  </si>
  <si>
    <t xml:space="preserve">775-1</t>
  </si>
  <si>
    <t xml:space="preserve">776-1</t>
  </si>
  <si>
    <t xml:space="preserve">777-1</t>
  </si>
  <si>
    <t xml:space="preserve">778-1</t>
  </si>
  <si>
    <t xml:space="preserve">779-1</t>
  </si>
  <si>
    <t xml:space="preserve">PG(34:1)</t>
  </si>
  <si>
    <t xml:space="preserve">HMDB0010573</t>
  </si>
  <si>
    <t xml:space="preserve">LMGP04010008</t>
  </si>
  <si>
    <t xml:space="preserve">44946</t>
  </si>
  <si>
    <t xml:space="preserve">5289145</t>
  </si>
  <si>
    <t xml:space="preserve">1177673-26-5</t>
  </si>
  <si>
    <t xml:space="preserve">[C@]([H])(OC(CCCCCCCCC/C=C\CCCCCC)=O)(COP(=O)(O)OC[C@@]([H])(O)CO)COC(CCCCCCCCCCCCCCC)=O</t>
  </si>
  <si>
    <t xml:space="preserve">ADYWCMPUNIVOEA-GPJPVTGXSA-N</t>
  </si>
  <si>
    <t xml:space="preserve">779-2</t>
  </si>
  <si>
    <t xml:space="preserve">1-Palmitoyl-2-oleoylglycero-3-phosphoglycerol</t>
  </si>
  <si>
    <t xml:space="preserve">HMDB0244000</t>
  </si>
  <si>
    <t xml:space="preserve">123897</t>
  </si>
  <si>
    <t xml:space="preserve">CCCCCCCCCCCCCCCC(=O)OCC(COP(O)(=O)OCC(O)CO)OC(=O)CCCCCCCC=CCCCCCCCC</t>
  </si>
  <si>
    <t xml:space="preserve">PAZGBAOHGQRCBP-UHFFFAOYSA-N</t>
  </si>
  <si>
    <t xml:space="preserve">780-1</t>
  </si>
  <si>
    <t xml:space="preserve">781-1</t>
  </si>
  <si>
    <t xml:space="preserve">782-1</t>
  </si>
  <si>
    <t xml:space="preserve">783-1</t>
  </si>
  <si>
    <t xml:space="preserve">784-1</t>
  </si>
  <si>
    <t xml:space="preserve">785-1</t>
  </si>
  <si>
    <t xml:space="preserve">786-1</t>
  </si>
  <si>
    <t xml:space="preserve">3-Hydroxytetradeca-5,7,9-trienoylcarnitine</t>
  </si>
  <si>
    <t xml:space="preserve">HMDB0241407</t>
  </si>
  <si>
    <t xml:space="preserve">CCCCC=CC=CC=CCC(O)CC(=O)OC(CC([O-])=O)C[N+](C)(C)C</t>
  </si>
  <si>
    <t xml:space="preserve">HPHGYWIGSUNYGZ-UHFFFAOYSA-N</t>
  </si>
  <si>
    <t xml:space="preserve">786-2</t>
  </si>
  <si>
    <t xml:space="preserve">3-Hydroxytetradeca-6,9,12-trienoylcarnitine</t>
  </si>
  <si>
    <t xml:space="preserve">HMDB0241408</t>
  </si>
  <si>
    <t xml:space="preserve">CC=CCC=CCC=CCCC(O)CC(=O)OC(CC([O-])=O)C[N+](C)(C)C</t>
  </si>
  <si>
    <t xml:space="preserve">NCYRGTOBRAHOOS-UHFFFAOYSA-N</t>
  </si>
  <si>
    <t xml:space="preserve">786-3</t>
  </si>
  <si>
    <t xml:space="preserve">3-Hydroxytetradeca-7,9,11-trienoylcarnitine</t>
  </si>
  <si>
    <t xml:space="preserve">HMDB0241409</t>
  </si>
  <si>
    <t xml:space="preserve">CCC=CC=CC=CCCCC(O)CC(=O)OC(CC([O-])=O)C[N+](C)(C)C</t>
  </si>
  <si>
    <t xml:space="preserve">GKHJSVCYVXYNCW-UHFFFAOYSA-N</t>
  </si>
  <si>
    <t xml:space="preserve">787-1</t>
  </si>
  <si>
    <t xml:space="preserve">788-1</t>
  </si>
  <si>
    <t xml:space="preserve">789-1</t>
  </si>
  <si>
    <t xml:space="preserve">790-1</t>
  </si>
  <si>
    <t xml:space="preserve">Persicaxanthin</t>
  </si>
  <si>
    <t xml:space="preserve">HMDB0034952</t>
  </si>
  <si>
    <t xml:space="preserve">131751641</t>
  </si>
  <si>
    <t xml:space="preserve">80952-82-5</t>
  </si>
  <si>
    <t xml:space="preserve">C\C(CO)=C\C=C\C=C(/C)\C=C\C=C(\C)/C=C/C12OC1(C)CC(O)CC2(C)C</t>
  </si>
  <si>
    <t xml:space="preserve">JQVNCYNADFKYNN-RXCALXPUSA-N</t>
  </si>
  <si>
    <t xml:space="preserve">790-2</t>
  </si>
  <si>
    <t xml:space="preserve">Persicachrome</t>
  </si>
  <si>
    <t xml:space="preserve">HMDB0036425</t>
  </si>
  <si>
    <t xml:space="preserve">131751989</t>
  </si>
  <si>
    <t xml:space="preserve">80931-31-3</t>
  </si>
  <si>
    <t xml:space="preserve">C\C(CO)=C/C=C\C=C(/C)\C=C\C=C(\C)C1OC2(C)CC(O)CC(C)(C)C2=C1</t>
  </si>
  <si>
    <t xml:space="preserve">MLVPRCYREVPVES-KWTPPHGWSA-N</t>
  </si>
  <si>
    <t xml:space="preserve">790-3</t>
  </si>
  <si>
    <t xml:space="preserve">Estradiol enanthate</t>
  </si>
  <si>
    <t xml:space="preserve">HMDB0251964</t>
  </si>
  <si>
    <t xml:space="preserve">3590886</t>
  </si>
  <si>
    <t xml:space="preserve">CCCCCCC(=O)OC1CCC2C3CCC4=CC(O)=CC=C4C3CCC12C</t>
  </si>
  <si>
    <t xml:space="preserve">RFWTZQAOOLFXAY-UHFFFAOYSA-N</t>
  </si>
  <si>
    <t xml:space="preserve">791-1</t>
  </si>
  <si>
    <t xml:space="preserve">792-1</t>
  </si>
  <si>
    <t xml:space="preserve">793-1</t>
  </si>
  <si>
    <t xml:space="preserve">Temiverine</t>
  </si>
  <si>
    <t xml:space="preserve">HMDB0258802</t>
  </si>
  <si>
    <t xml:space="preserve">CCN(CC)CC#CC(C)(C)OC(=O)C(O)(C1CCCCC1)C1=CC=CC=C1</t>
  </si>
  <si>
    <t xml:space="preserve">DMEPDNFRHUGNPT-UHFFFAOYSA-N</t>
  </si>
  <si>
    <t xml:space="preserve">793-2</t>
  </si>
  <si>
    <t xml:space="preserve">N-Docosahexaenoyl Glycine</t>
  </si>
  <si>
    <t xml:space="preserve">HMDB0242014</t>
  </si>
  <si>
    <t xml:space="preserve">331082</t>
  </si>
  <si>
    <t xml:space="preserve">53393963</t>
  </si>
  <si>
    <t xml:space="preserve">CCC=CCC=CCC=CCC=CCC=CCC=CCCC(=O)NCC(O)=O</t>
  </si>
  <si>
    <t xml:space="preserve">BEYWKSIFICEQGH-UHFFFAOYSA-N</t>
  </si>
  <si>
    <t xml:space="preserve">794-1</t>
  </si>
  <si>
    <t xml:space="preserve">795-1</t>
  </si>
  <si>
    <t xml:space="preserve">Phosphatidate(38:3)</t>
  </si>
  <si>
    <t xml:space="preserve">HMDB0114866</t>
  </si>
  <si>
    <t xml:space="preserve">81388</t>
  </si>
  <si>
    <t xml:space="preserve">LMGP10010222</t>
  </si>
  <si>
    <t xml:space="preserve">52928815</t>
  </si>
  <si>
    <t xml:space="preserve">[C@](COP(=O)(O)O)([H])(OC(CCCCCCCCCCC/C=C\C/C=C\CCCCC)=O)COC(CCCCCCC/C=C\CCCCCC)=O</t>
  </si>
  <si>
    <t xml:space="preserve">JSJLXZCSGITPLR-XKDWLADFSA-N</t>
  </si>
  <si>
    <t xml:space="preserve">795-2</t>
  </si>
  <si>
    <t xml:space="preserve">PA(38:3)</t>
  </si>
  <si>
    <t xml:space="preserve">HMDB0115515</t>
  </si>
  <si>
    <t xml:space="preserve">82051</t>
  </si>
  <si>
    <t xml:space="preserve">LMGP10010885</t>
  </si>
  <si>
    <t xml:space="preserve">52929477</t>
  </si>
  <si>
    <t xml:space="preserve">[C@](COP(=O)(O)O)([H])(OC(CCCCCC/C=C\C/C=C\C/C=C\CCCCC)=O)COC(CCCCCCCCCCCCCCCCC)=O</t>
  </si>
  <si>
    <t xml:space="preserve">ZHYGTYSUJUQQBH-KHLJEIKVSA-N</t>
  </si>
  <si>
    <t xml:space="preserve">796-1</t>
  </si>
  <si>
    <t xml:space="preserve">Phosphatidate(38:2)</t>
  </si>
  <si>
    <t xml:space="preserve">HMDB0114811</t>
  </si>
  <si>
    <t xml:space="preserve">131821876</t>
  </si>
  <si>
    <t xml:space="preserve">[H][C@@](COC(=O)CCCCCCC\C=C/CCCC)(COP(O)(O)=O)OC(=O)CCCCCCCCCCCCC\C=C/CCCCCCCC</t>
  </si>
  <si>
    <t xml:space="preserve">GDDLDQULBNDGMO-ZDMXYWDMSA-N</t>
  </si>
  <si>
    <t xml:space="preserve">796-2</t>
  </si>
  <si>
    <t xml:space="preserve">PA(38:2)</t>
  </si>
  <si>
    <t xml:space="preserve">HMDB0115514</t>
  </si>
  <si>
    <t xml:space="preserve">82131</t>
  </si>
  <si>
    <t xml:space="preserve">LMGP10010965</t>
  </si>
  <si>
    <t xml:space="preserve">52929551</t>
  </si>
  <si>
    <t xml:space="preserve">[C@](COP(=O)(O)O)([H])(OC(CCCCCCCCC/C=C\C/C=C\CCCCC)=O)COC(CCCCCCCCCCCCCCCCC)=O</t>
  </si>
  <si>
    <t xml:space="preserve">FEDBUKQAMRWAKH-XRIXOMQFSA-N</t>
  </si>
  <si>
    <t xml:space="preserve">797-1</t>
  </si>
  <si>
    <t xml:space="preserve">798-1</t>
  </si>
  <si>
    <t xml:space="preserve">799-1</t>
  </si>
  <si>
    <t xml:space="preserve">800-1</t>
  </si>
  <si>
    <t xml:space="preserve">801-1</t>
  </si>
  <si>
    <t xml:space="preserve">Hexacarboxylporphyrin I</t>
  </si>
  <si>
    <t xml:space="preserve">HMDB0000743</t>
  </si>
  <si>
    <t xml:space="preserve">5711</t>
  </si>
  <si>
    <t xml:space="preserve">73913-56-1</t>
  </si>
  <si>
    <t xml:space="preserve">CC1=C(CCC(O)=O)/C2=C/C3=N/C(=C\C4=C(CC(O)=O)C(CCC(O)=O)=C(N4)/C=C4\N=C(\C=C\1/N\2)C(CCC(O)=O)=C4C)/C(CCC(O)=O)=C3CC(O)=O</t>
  </si>
  <si>
    <t xml:space="preserve">AFHLWIUSJBEMJE-ZMXCOFNRSA-N</t>
  </si>
  <si>
    <t xml:space="preserve">801-2</t>
  </si>
  <si>
    <t xml:space="preserve">Porphinehexacarboxylic acid</t>
  </si>
  <si>
    <t xml:space="preserve">HMDB0000780</t>
  </si>
  <si>
    <t xml:space="preserve">5746</t>
  </si>
  <si>
    <t xml:space="preserve">28100-67-6</t>
  </si>
  <si>
    <t xml:space="preserve">CC1=C2NC(\C=C3/N=C(/C=C4\N\C(=C/C5=N/C(=C\2)/C(C)=C5CCC(O)=O)C(CCC(O)=O)=C4CC(O)=O)C(CCC(O)=O)=C3CC(O)=O)=C1CCC(O)=O</t>
  </si>
  <si>
    <t xml:space="preserve">VQFYONCZECTVOH-JWLKGTHFSA-N</t>
  </si>
  <si>
    <t xml:space="preserve">801-3</t>
  </si>
  <si>
    <t xml:space="preserve">Hexacarboxylporphyrin III</t>
  </si>
  <si>
    <t xml:space="preserve">HMDB0001952</t>
  </si>
  <si>
    <t xml:space="preserve">6396</t>
  </si>
  <si>
    <t xml:space="preserve">CC1=C(CCC(O)=O)/C2=C/C3=N/C(=C\C4=C(C)C(CCC(O)=O)=C(N4)/C=C4\N=C(\C=C\1/N\2)C(CCC(O)=O)=C4CC(O)=O)/C(CC(O)=O)=C3CCC(O)=O</t>
  </si>
  <si>
    <t xml:space="preserve">NTILFDFSYFWZAA-CYRUMZLOSA-N</t>
  </si>
  <si>
    <t xml:space="preserve">802-1</t>
  </si>
  <si>
    <t xml:space="preserve">803-1</t>
  </si>
  <si>
    <t xml:space="preserve">804-1</t>
  </si>
  <si>
    <t xml:space="preserve">805-1</t>
  </si>
  <si>
    <t xml:space="preserve">Quercetin 7-glucuronoside 3-sophoroside</t>
  </si>
  <si>
    <t xml:space="preserve">HMDB0039335</t>
  </si>
  <si>
    <t xml:space="preserve">93917</t>
  </si>
  <si>
    <t xml:space="preserve">74978169</t>
  </si>
  <si>
    <t xml:space="preserve">140163-57-1</t>
  </si>
  <si>
    <t xml:space="preserve">OCC1OC(OC2C(O)C(O)C(CO)OC2OC2=C(OC3=CC(OC4OC(C(O)C(O)C4O)C(O)=O)=CC(O)=C3C2=O)C2=CC(O)=C(O)C=C2)C(O)C(O)C1O</t>
  </si>
  <si>
    <t xml:space="preserve">MBLCMVKVVNMTFV-UHFFFAOYSA-N</t>
  </si>
  <si>
    <t xml:space="preserve">805-2</t>
  </si>
  <si>
    <t xml:space="preserve">6-Hydroxykaempferol 3,6-diglucoside 7-glucuronide</t>
  </si>
  <si>
    <t xml:space="preserve">HMDB0037094</t>
  </si>
  <si>
    <t xml:space="preserve">92070</t>
  </si>
  <si>
    <t xml:space="preserve">169422</t>
  </si>
  <si>
    <t xml:space="preserve">131752149</t>
  </si>
  <si>
    <t xml:space="preserve">OCC1OC(OC2=C(OC3OC(C(O)C(O)C3O)C(O)=O)C=C3OC(C4=CC=C(O)C=C4)=C(OC4OC(CO)C(O)C(O)C4O)C(=O)C3=C2O)C(O)C(O)C1O</t>
  </si>
  <si>
    <t xml:space="preserve">AAKJOZZAGIRTOJ-UHFFFAOYSA-N</t>
  </si>
  <si>
    <t xml:space="preserve">805-3</t>
  </si>
  <si>
    <t xml:space="preserve">Quercetin 3-O-sophoroside 7-O-glucuronide</t>
  </si>
  <si>
    <t xml:space="preserve">HMDB0303137</t>
  </si>
  <si>
    <t xml:space="preserve">OC[C@H]1O[C@@H](O[C@@H]2[C@@H](O)[C@H](O)[C@@H](CO)O[C@@H]2OC2=C(OC3=C(C(O)=CC(O[C@@H]4O[C@@H]([C@@H](O)[C@H](O)[C@H]4O)C(O)=O)=C3)C2=O)C2=CC(O)=C(O)C=C2)[C@H](O)[C@@H](O)[C@@H]1O</t>
  </si>
  <si>
    <t xml:space="preserve">MBLCMVKVVNMTFV-FJZWYKRQSA-N</t>
  </si>
  <si>
    <t xml:space="preserve">806-1</t>
  </si>
  <si>
    <t xml:space="preserve">807-1</t>
  </si>
  <si>
    <t xml:space="preserve">808-1</t>
  </si>
  <si>
    <t xml:space="preserve">809-1</t>
  </si>
  <si>
    <t xml:space="preserve">810-1</t>
  </si>
  <si>
    <t xml:space="preserve">Hydroxycelecoxib</t>
  </si>
  <si>
    <t xml:space="preserve">HMDB0013995</t>
  </si>
  <si>
    <t xml:space="preserve">85328</t>
  </si>
  <si>
    <t xml:space="preserve">9908776</t>
  </si>
  <si>
    <t xml:space="preserve">170571-00-3</t>
  </si>
  <si>
    <t xml:space="preserve">NS(=O)(=O)C1=CC=C(C=C1)N1N=C(C=C1C1=CC=C(CO)C=C1)C(F)(F)F</t>
  </si>
  <si>
    <t xml:space="preserve">ICRSYPPLGADZKA-UHFFFAOYSA-N</t>
  </si>
  <si>
    <t xml:space="preserve">810-2</t>
  </si>
  <si>
    <t xml:space="preserve">2-Hydroxy-4-[5-(4-methylphenyl)-3-(trifluoromethyl)pyrazol-1-yl]benzenesulfonamide</t>
  </si>
  <si>
    <t xml:space="preserve">HMDB0255388</t>
  </si>
  <si>
    <t xml:space="preserve">54364878</t>
  </si>
  <si>
    <t xml:space="preserve">CC1=CC=C(C=C1)C1=CC(=NN1C1=CC(O)=C(C=C1)S(N)(=O)=O)C(F)(F)F</t>
  </si>
  <si>
    <t xml:space="preserve">UPCBHTOGTJPLIW-UHFFFAOYSA-N</t>
  </si>
  <si>
    <t xml:space="preserve">810-3</t>
  </si>
  <si>
    <t xml:space="preserve">Deracoxib</t>
  </si>
  <si>
    <t xml:space="preserve">HMDB0251022</t>
  </si>
  <si>
    <t xml:space="preserve">43891</t>
  </si>
  <si>
    <t xml:space="preserve">73032</t>
  </si>
  <si>
    <t xml:space="preserve">3058754</t>
  </si>
  <si>
    <t xml:space="preserve">169590-41-4</t>
  </si>
  <si>
    <t xml:space="preserve">COC1=C(F)C=C(C=C1)C1=CC(=NN1C1=CC=C(C=C1)S(N)(=O)=O)C(F)F</t>
  </si>
  <si>
    <t xml:space="preserve">WAZQAZKAZLXFMK-UHFFFAOYSA-N</t>
  </si>
  <si>
    <t xml:space="preserve">811-1</t>
  </si>
  <si>
    <t xml:space="preserve">812-1</t>
  </si>
  <si>
    <t xml:space="preserve">813-1</t>
  </si>
  <si>
    <t xml:space="preserve">814-1</t>
  </si>
  <si>
    <t xml:space="preserve">815-1</t>
  </si>
  <si>
    <t xml:space="preserve">816-1</t>
  </si>
  <si>
    <t xml:space="preserve">817-1</t>
  </si>
  <si>
    <t xml:space="preserve">818-1</t>
  </si>
  <si>
    <t xml:space="preserve">Isorhamnetin 3-rutinoside 4'-rhamnoside</t>
  </si>
  <si>
    <t xml:space="preserve">HMDB0037748</t>
  </si>
  <si>
    <t xml:space="preserve">92571</t>
  </si>
  <si>
    <t xml:space="preserve">73822546</t>
  </si>
  <si>
    <t xml:space="preserve">81053-13-6</t>
  </si>
  <si>
    <t xml:space="preserve">COC1=C(OC2OC(C)C(O)C(O)C2O)C=CC(=C1)C1=C(OC2OC(COC3OC(C)C(O)C(O)C3O)C(O)C(O)C2O)C(=O)C2=C(O)C=C(O)C=C2O1</t>
  </si>
  <si>
    <t xml:space="preserve">YJJATMIYFDTODI-UHFFFAOYSA-N</t>
  </si>
  <si>
    <t xml:space="preserve">818-2</t>
  </si>
  <si>
    <t xml:space="preserve">Typhaneoside</t>
  </si>
  <si>
    <t xml:space="preserve">HMDB0039541</t>
  </si>
  <si>
    <t xml:space="preserve">14353383</t>
  </si>
  <si>
    <t xml:space="preserve">104472-68-6</t>
  </si>
  <si>
    <t xml:space="preserve">COC1=C(O)C=CC(=C1)C1=C(OC2OC(COC3OC(C)C(O)C(O)C3O)C(O)C(O)C2OC2OC(C)C(O)C(O)C2O)C(=O)C2=C(O)C=C(O)C=C2O1</t>
  </si>
  <si>
    <t xml:space="preserve">POMAQDQEVHXLGT-UHFFFAOYSA-N</t>
  </si>
  <si>
    <t xml:space="preserve">818-3</t>
  </si>
  <si>
    <t xml:space="preserve">Isorhamnetin 3-O-[a-L-rhamnopyranosyl-(1-&gt;3)-a-L-rhamnopyranosyl-(1-&gt;6)-b-D-glucopyranoside]</t>
  </si>
  <si>
    <t xml:space="preserve">HMDB0039850</t>
  </si>
  <si>
    <t xml:space="preserve">94397</t>
  </si>
  <si>
    <t xml:space="preserve">131752732</t>
  </si>
  <si>
    <t xml:space="preserve">122342-15-8</t>
  </si>
  <si>
    <t xml:space="preserve">COC1=C(O)C=CC(=C1)C1=C(OC2OC(COC3OC(C)C(O)C(OC4OC(C)C(O)C(O)C4O)C3O)C(O)C(O)C2O)C(=O)C2=C(O)C=C(O)C=C2O1</t>
  </si>
  <si>
    <t xml:space="preserve">JWHAWYQFMISEEO-UHFFFAOYSA-N</t>
  </si>
  <si>
    <t xml:space="preserve">819-1</t>
  </si>
  <si>
    <t xml:space="preserve">Phosphatidate(42:2)</t>
  </si>
  <si>
    <t xml:space="preserve">HMDB0114920</t>
  </si>
  <si>
    <t xml:space="preserve">131821928</t>
  </si>
  <si>
    <t xml:space="preserve">[H][C@@](COC(=O)CCCCCCCCC\C=C/CCCCCC)(COP(O)(O)=O)OC(=O)CCCCCCCCCCCCC\C=C/CCCCCCCC</t>
  </si>
  <si>
    <t xml:space="preserve">NEIYGEYWTVTCPS-WHGAUIBTSA-N</t>
  </si>
  <si>
    <t xml:space="preserve">819-2</t>
  </si>
  <si>
    <t xml:space="preserve">PA(42:2)</t>
  </si>
  <si>
    <t xml:space="preserve">HMDB0115551</t>
  </si>
  <si>
    <t xml:space="preserve">81748</t>
  </si>
  <si>
    <t xml:space="preserve">LMGP10010582</t>
  </si>
  <si>
    <t xml:space="preserve">52929175</t>
  </si>
  <si>
    <t xml:space="preserve">[C@](COP(=O)(O)O)([H])(OC(CCCCCCCCCCCCCCCCCCCCC)=O)COC(CCCCCCCCC/C=C\C/C=C\CCCCC)=O</t>
  </si>
  <si>
    <t xml:space="preserve">IYVWUDABTOAHMQ-RNLCRUPCSA-N</t>
  </si>
  <si>
    <t xml:space="preserve">820-1</t>
  </si>
  <si>
    <t xml:space="preserve">821-1</t>
  </si>
  <si>
    <t xml:space="preserve">Phosphatidate(42:7)</t>
  </si>
  <si>
    <t xml:space="preserve">HMDB0115115</t>
  </si>
  <si>
    <t xml:space="preserve">81721</t>
  </si>
  <si>
    <t xml:space="preserve">LMGP10010555</t>
  </si>
  <si>
    <t xml:space="preserve">52929148</t>
  </si>
  <si>
    <t xml:space="preserve">[C@](COP(=O)(O)O)([H])(OC(CC/C=C\C/C=C\C/C=C\C/C=C\C/C=C\C/C=C\CC)=O)COC(CCCCCCCCC/C=C\CCCCCCCC)=O</t>
  </si>
  <si>
    <t xml:space="preserve">SNRSEJZDZOUUJL-WOLQZHABSA-N</t>
  </si>
  <si>
    <t xml:space="preserve">821-2</t>
  </si>
  <si>
    <t xml:space="preserve">PA(42:7)</t>
  </si>
  <si>
    <t xml:space="preserve">HMDB0115555</t>
  </si>
  <si>
    <t xml:space="preserve">131822239</t>
  </si>
  <si>
    <t xml:space="preserve">[H][C@@](COC(=O)CCCCCCCCC\C=C/C\C=C/CCCCC)(COP(O)(O)=O)OC(=O)CC\C=C/C\C=C/C\C=C/C\C=C/C\C=C/CCCCC</t>
  </si>
  <si>
    <t xml:space="preserve">MITPIMOYXLJKBS-GGMVMZAFSA-N</t>
  </si>
  <si>
    <t xml:space="preserve">822-1</t>
  </si>
  <si>
    <t xml:space="preserve">823-1</t>
  </si>
  <si>
    <t xml:space="preserve">824-1</t>
  </si>
  <si>
    <t xml:space="preserve">825-1</t>
  </si>
  <si>
    <t xml:space="preserve">826-1</t>
  </si>
  <si>
    <t xml:space="preserve">827-1</t>
  </si>
  <si>
    <t xml:space="preserve">828-1</t>
  </si>
  <si>
    <t xml:space="preserve">829-1</t>
  </si>
  <si>
    <t xml:space="preserve">830-1</t>
  </si>
  <si>
    <t xml:space="preserve">PA(42:3)</t>
  </si>
  <si>
    <t xml:space="preserve">HMDB0115552</t>
  </si>
  <si>
    <t xml:space="preserve">131822238</t>
  </si>
  <si>
    <t xml:space="preserve">[H][C@@](COC(=O)CCCCCCCCC\C=C/C\C=C/CCCCC)(COP(O)(O)=O)OC(=O)CCCCCCCCCCC\C=C/CCCCCCCC</t>
  </si>
  <si>
    <t xml:space="preserve">RHDSACDZHVGYJR-YJIJRROJSA-N</t>
  </si>
  <si>
    <t xml:space="preserve">830-2</t>
  </si>
  <si>
    <t xml:space="preserve">Phosphatidate(42:3)</t>
  </si>
  <si>
    <t xml:space="preserve">HMDB0114972</t>
  </si>
  <si>
    <t xml:space="preserve">131821943</t>
  </si>
  <si>
    <t xml:space="preserve">[H][C@@](COC(=O)CCCCCCC\C=C/C\C=C/CCCCC)(COP(O)(O)=O)OC(=O)CCCCCCCCCCCCC\C=C/CCCCCCCC</t>
  </si>
  <si>
    <t xml:space="preserve">ZAVMWXIKLTWFGR-XDCQSBOWSA-N</t>
  </si>
  <si>
    <t xml:space="preserve">831-1</t>
  </si>
  <si>
    <t xml:space="preserve">832-1</t>
  </si>
  <si>
    <t xml:space="preserve">833-1</t>
  </si>
  <si>
    <t xml:space="preserve">834-1</t>
  </si>
  <si>
    <t xml:space="preserve">835-1</t>
  </si>
  <si>
    <t xml:space="preserve">836-1</t>
  </si>
  <si>
    <t xml:space="preserve">837-1</t>
  </si>
  <si>
    <t xml:space="preserve">838-1</t>
  </si>
  <si>
    <t xml:space="preserve">839-1</t>
  </si>
  <si>
    <t xml:space="preserve">840-1</t>
  </si>
  <si>
    <t xml:space="preserve">841-1</t>
  </si>
  <si>
    <t xml:space="preserve">842-1</t>
  </si>
  <si>
    <t xml:space="preserve">843-1</t>
  </si>
  <si>
    <t xml:space="preserve">844-1</t>
  </si>
  <si>
    <t xml:space="preserve">PE(DiMe(11,3)/DiMe(9,3))</t>
  </si>
  <si>
    <t xml:space="preserve">HMDB0061474</t>
  </si>
  <si>
    <t xml:space="preserve">CCCC1=C(C)C(C)=C(CCCCCCCCCCC(=O)OC[C@H](COP(O)(=O)OCCN)OC(=O)CCCCCCCCC2=C(C)C(C)=C(CCC)O2)O1</t>
  </si>
  <si>
    <t xml:space="preserve">IKURMHUPQRXPBN-DIPNUNPCSA-N</t>
  </si>
  <si>
    <t xml:space="preserve">844-2</t>
  </si>
  <si>
    <t xml:space="preserve">PE(DiMe(9,3)/DiMe(11,3))</t>
  </si>
  <si>
    <t xml:space="preserve">HMDB0061498</t>
  </si>
  <si>
    <t xml:space="preserve">CCCC1=C(C)C(C)=C(CCCCCCCCCCC(=O)O[C@H](COC(=O)CCCCCCCCC2=C(C)C(C)=C(CCC)O2)COP(O)(=O)OCCN)O1</t>
  </si>
  <si>
    <t xml:space="preserve">RLPARTUZNJZBQS-DIPNUNPCSA-N</t>
  </si>
  <si>
    <t xml:space="preserve">844-3</t>
  </si>
  <si>
    <t xml:space="preserve">PE(DiMe(9,3)/DiMe(9,5))</t>
  </si>
  <si>
    <t xml:space="preserve">HMDB0061502</t>
  </si>
  <si>
    <t xml:space="preserve">CCCCCC1=C(C)C(C)=C(CCCCCCCCC(=O)O[C@H](COC(=O)CCCCCCCCC2=C(C)C(C)=C(CCC)O2)COP(O)(=O)OCCN)O1</t>
  </si>
  <si>
    <t xml:space="preserve">VCEAAWSDLGGTJV-DIPNUNPCSA-N</t>
  </si>
  <si>
    <t xml:space="preserve">845-1</t>
  </si>
  <si>
    <t xml:space="preserve">PE(40:4)</t>
  </si>
  <si>
    <t xml:space="preserve">HMDB0009009</t>
  </si>
  <si>
    <t xml:space="preserve">60429</t>
  </si>
  <si>
    <t xml:space="preserve">LMGP02011200</t>
  </si>
  <si>
    <t xml:space="preserve">74484</t>
  </si>
  <si>
    <t xml:space="preserve">52924901</t>
  </si>
  <si>
    <t xml:space="preserve">[C@](COP(=O)(O)OCCN)([H])(OC(CCCCC/C=C\C/C=C\C/C=C\C/C=C\CCCCC)=O)COC(CCCCCCCCCCCCCCCCC)=O</t>
  </si>
  <si>
    <t xml:space="preserve">HNFSZKRUPTYBOQ-ZDYOIFAYSA-N</t>
  </si>
  <si>
    <t xml:space="preserve">845-2</t>
  </si>
  <si>
    <t xml:space="preserve">PC(37:4)</t>
  </si>
  <si>
    <t xml:space="preserve">HMDB0007955</t>
  </si>
  <si>
    <t xml:space="preserve">59405</t>
  </si>
  <si>
    <t xml:space="preserve">LMGP01011429</t>
  </si>
  <si>
    <t xml:space="preserve">52922340</t>
  </si>
  <si>
    <t xml:space="preserve">[C@](COP(=O)([O-])OCC[N+](C)(C)C)([H])(OC(CCCCC/C=C\C/C=C\C/C=C\C/C=C\CCCCC)=O)COC(CCCCCCCCCCCCCC)=O</t>
  </si>
  <si>
    <t xml:space="preserve">SZXZIQLLCQQFGE-LITGPGMESA-N</t>
  </si>
  <si>
    <t xml:space="preserve">846-1</t>
  </si>
  <si>
    <t xml:space="preserve">847-1</t>
  </si>
  <si>
    <t xml:space="preserve">848-1</t>
  </si>
  <si>
    <t xml:space="preserve">Sennoside A</t>
  </si>
  <si>
    <t xml:space="preserve">HMDB0034317</t>
  </si>
  <si>
    <t xml:space="preserve">2405</t>
  </si>
  <si>
    <t xml:space="preserve">LMPK13040016</t>
  </si>
  <si>
    <t xml:space="preserve">C10404</t>
  </si>
  <si>
    <t xml:space="preserve">9112</t>
  </si>
  <si>
    <t xml:space="preserve">73111</t>
  </si>
  <si>
    <t xml:space="preserve">81-27-6</t>
  </si>
  <si>
    <t xml:space="preserve">[C@@]1([H])(C2C=CC=C(O[C@H]3[C@H](O)[C@H]([C@H](O)[C@@H](CO)O3)O)C=2C(=O)C2C(O)=CC(C(=O)O)=CC1=2)[C@]1([H])C2C=CC=C(O[C@H]3[C@H](O)[C@H]([C@H](O)[C@@H](CO)O3)O)C=2C(=O)C2C(O)=CC(C(=O)O)=CC1=2</t>
  </si>
  <si>
    <t xml:space="preserve">IPQVTOJGNYVQEO-KGFNBKMBSA-N</t>
  </si>
  <si>
    <t xml:space="preserve">Anthracenecarboxylic acids and derivatives</t>
  </si>
  <si>
    <t xml:space="preserve">848-2</t>
  </si>
  <si>
    <t xml:space="preserve">Sennoside B</t>
  </si>
  <si>
    <t xml:space="preserve">HMDB0002783</t>
  </si>
  <si>
    <t xml:space="preserve">324864</t>
  </si>
  <si>
    <t xml:space="preserve">LMPK13040017</t>
  </si>
  <si>
    <t xml:space="preserve">C13526</t>
  </si>
  <si>
    <t xml:space="preserve">34975</t>
  </si>
  <si>
    <t xml:space="preserve">91440</t>
  </si>
  <si>
    <t xml:space="preserve">128-57-4</t>
  </si>
  <si>
    <t xml:space="preserve">[C@]1([H])(C2C=CC=C(O[C@H]3[C@H](O)[C@H]([C@H](O)[C@@H](CO)O3)O)C=2C(=O)C2C(O)=CC(C(=O)O)=CC1=2)[C@]1([H])C2C=CC=C(O[C@H]3[C@H](O)[C@H]([C@H](O)[C@@H](CO)O3)O)C=2C(=O)C2C(O)=CC(C(=O)O)=CC1=2</t>
  </si>
  <si>
    <t xml:space="preserve">IPQVTOJGNYVQEO-AIFLABODSA-N</t>
  </si>
  <si>
    <t xml:space="preserve">849-1</t>
  </si>
  <si>
    <t xml:space="preserve">850-1</t>
  </si>
  <si>
    <t xml:space="preserve">851-1</t>
  </si>
  <si>
    <t xml:space="preserve">852-1</t>
  </si>
  <si>
    <t xml:space="preserve">853-1</t>
  </si>
  <si>
    <t xml:space="preserve">854-1</t>
  </si>
  <si>
    <t xml:space="preserve">Chrysoeriol 7-[feruloyl-(-&gt;2)-glucuronyl-(1-&gt;2)-glucuronide]</t>
  </si>
  <si>
    <t xml:space="preserve">HMDB0039932</t>
  </si>
  <si>
    <t xml:space="preserve">94475</t>
  </si>
  <si>
    <t xml:space="preserve">131752760</t>
  </si>
  <si>
    <t xml:space="preserve">380468-53-1</t>
  </si>
  <si>
    <t xml:space="preserve">COC1=C(O)C=CC(\C=C\C(=O)OC2C(OC3C(OC4=CC(O)=C5C(=O)C=C(OC5=C4)C4=CC(OC)=C(O)C=C4)OC(C(O)C3O)C(O)=O)OC(C(O)C2O)C(O)=O)=C1</t>
  </si>
  <si>
    <t xml:space="preserve">CQSOKHCNRZFEOH-XBXARRHUSA-N</t>
  </si>
  <si>
    <t xml:space="preserve">854-2</t>
  </si>
  <si>
    <t xml:space="preserve">Tricin 7-[p-coumaroyl-(-&gt;2)-glucuronyl-(1-&gt;2)-glucuronide]</t>
  </si>
  <si>
    <t xml:space="preserve">HMDB0039905</t>
  </si>
  <si>
    <t xml:space="preserve">94448</t>
  </si>
  <si>
    <t xml:space="preserve">131752753</t>
  </si>
  <si>
    <t xml:space="preserve">COC1=CC(=CC(OC)=C1O)C1=CC(=O)C2=C(O)C=C(OC3OC(C(O)C(O)C3OC3OC(C(O)C(O)C3OC(=O)\C=C\C3=CC=C(O)C=C3)C(O)=O)C(O)=O)C=C2O1</t>
  </si>
  <si>
    <t xml:space="preserve">NBUOZEVVFWDVHF-VMPITWQZSA-N</t>
  </si>
  <si>
    <t xml:space="preserve">855-1</t>
  </si>
  <si>
    <t xml:space="preserve">2,2',3,3',4,5,6,6'-Octachlorobiphenyl</t>
  </si>
  <si>
    <t xml:space="preserve">HMDB0245361</t>
  </si>
  <si>
    <t xml:space="preserve">40480</t>
  </si>
  <si>
    <t xml:space="preserve">ClC1=CC=C(Cl)C(=C1Cl)C1=C(Cl)C(Cl)=C(Cl)C(Cl)=C1Cl</t>
  </si>
  <si>
    <t xml:space="preserve">HHXNVASVVVNNDG-UHFFFAOYSA-N</t>
  </si>
  <si>
    <t xml:space="preserve">855-2</t>
  </si>
  <si>
    <t xml:space="preserve">2,2',3,3',4,4',5,6'-Octachlorobiphenyl</t>
  </si>
  <si>
    <t xml:space="preserve">HMDB0246667</t>
  </si>
  <si>
    <t xml:space="preserve">39253</t>
  </si>
  <si>
    <t xml:space="preserve">ClC1=CC(Cl)=C(C(Cl)=C1Cl)C1=CC(Cl)=C(Cl)C(Cl)=C1Cl</t>
  </si>
  <si>
    <t xml:space="preserve">BQFCCUSDZLKBJG-UHFFFAOYSA-N</t>
  </si>
  <si>
    <t xml:space="preserve">855-3</t>
  </si>
  <si>
    <t xml:space="preserve">2,2',3,3',4,4',5,5'-Octachlorobiphenyl</t>
  </si>
  <si>
    <t xml:space="preserve">HMDB0245360</t>
  </si>
  <si>
    <t xml:space="preserve">37251</t>
  </si>
  <si>
    <t xml:space="preserve">ClC1=CC(=C(Cl)C(Cl)=C1Cl)C1=CC(Cl)=C(Cl)C(Cl)=C1Cl</t>
  </si>
  <si>
    <t xml:space="preserve">DTMRKGRREZAYAP-UHFFFAOYSA-N</t>
  </si>
  <si>
    <t xml:space="preserve">856-1</t>
  </si>
  <si>
    <t xml:space="preserve">857-1</t>
  </si>
  <si>
    <t xml:space="preserve">(S)-3-hydroxybutanoyl-CoA</t>
  </si>
  <si>
    <t xml:space="preserve">HMDB0303997</t>
  </si>
  <si>
    <t xml:space="preserve">LMFA07050153</t>
  </si>
  <si>
    <t xml:space="preserve">C01144</t>
  </si>
  <si>
    <t xml:space="preserve">15453</t>
  </si>
  <si>
    <t xml:space="preserve">9543037</t>
  </si>
  <si>
    <t xml:space="preserve">[C@@H]1([C@H](O)[C@H](OP(=O)(O)O)[C@@H](COP(O)(=O)OP(O)(=O)OCC(C)([C@@H](O)C(=O)NCCC(=O)NCCSC(C[C@@H](O)C)=O)C)O1)N1C=NC2C(N)=NC=NC1=2</t>
  </si>
  <si>
    <t xml:space="preserve">QHHKKMYHDBRONY-VKBDFPRVSA-N</t>
  </si>
  <si>
    <t xml:space="preserve">857-2</t>
  </si>
  <si>
    <t xml:space="preserve">(S)-3-Hydroxyisobutyryl-CoA</t>
  </si>
  <si>
    <t xml:space="preserve">HMDB0001052</t>
  </si>
  <si>
    <t xml:space="preserve">453</t>
  </si>
  <si>
    <t xml:space="preserve">C06000</t>
  </si>
  <si>
    <t xml:space="preserve">28259</t>
  </si>
  <si>
    <t xml:space="preserve">88</t>
  </si>
  <si>
    <t xml:space="preserve">319440-43-2</t>
  </si>
  <si>
    <t xml:space="preserve">CC(CO)C(=O)SCCNC(=O)CCNC(=O)C(O)C(C)(C)COP(O)(=O)OP(O)(=O)OCC1OC(C(O)C1OP(O)(O)=O)N1C=NC2=C(N)N=CN=C12</t>
  </si>
  <si>
    <t xml:space="preserve">WWEOGFZEFHPUAM-UHFFFAOYSA-N</t>
  </si>
  <si>
    <t xml:space="preserve">857-3</t>
  </si>
  <si>
    <t xml:space="preserve">3-Hydroxybutyryl-CoA</t>
  </si>
  <si>
    <t xml:space="preserve">HMDB0001166</t>
  </si>
  <si>
    <t xml:space="preserve">63261</t>
  </si>
  <si>
    <t xml:space="preserve">LMFA07050148</t>
  </si>
  <si>
    <t xml:space="preserve">C03561</t>
  </si>
  <si>
    <t xml:space="preserve">15452</t>
  </si>
  <si>
    <t xml:space="preserve">11966146</t>
  </si>
  <si>
    <t xml:space="preserve">21804-29-5</t>
  </si>
  <si>
    <t xml:space="preserve">[C@@H]1([C@H](O)[C@H](OP(=O)(O)O)[C@@H](COP(O)(=O)OP(O)(=O)OCC(C)([C@@H](O)C(=O)NCCC(=O)NCCSC(C[C@H](O)C)=O)C)O1)N1C=NC2C(N)=NC=NC1=2</t>
  </si>
  <si>
    <t xml:space="preserve">QHHKKMYHDBRONY-WZZMXTMRSA-N</t>
  </si>
  <si>
    <t xml:space="preserve">858-1</t>
  </si>
  <si>
    <t xml:space="preserve">859-1</t>
  </si>
  <si>
    <t xml:space="preserve">860-1</t>
  </si>
  <si>
    <t xml:space="preserve">861-1</t>
  </si>
  <si>
    <t xml:space="preserve">862-1</t>
  </si>
  <si>
    <t xml:space="preserve">PI(36:4)</t>
  </si>
  <si>
    <t xml:space="preserve">HMDB0009789</t>
  </si>
  <si>
    <t xml:space="preserve">LMGP06010958</t>
  </si>
  <si>
    <t xml:space="preserve">73209</t>
  </si>
  <si>
    <t xml:space="preserve">52928411</t>
  </si>
  <si>
    <t xml:space="preserve">88587-97-7</t>
  </si>
  <si>
    <t xml:space="preserve">[C@]([H])(OC(CCC/C=C\C/C=C\C/C=C\C/C=C\CCCCC)=O)(COP(=O)(O)O[C@H]1[C@H](O)[C@@H](O)[C@H](O)[C@@H](O)[C@H]1O)COC(CCCCCCCCCCCCCCC)=O</t>
  </si>
  <si>
    <t xml:space="preserve">KIQYUSYSJTUGFZ-LSLODQAYSA-N</t>
  </si>
  <si>
    <t xml:space="preserve">862-2</t>
  </si>
  <si>
    <t xml:space="preserve">Phosphatidylinositol(36:4)</t>
  </si>
  <si>
    <t xml:space="preserve">HMDB0256468</t>
  </si>
  <si>
    <t xml:space="preserve">75961280</t>
  </si>
  <si>
    <t xml:space="preserve">CCCCCCCCCCCCCCCC(=O)OCC(COP(O)(=O)OC1C(O)C(O)C(O)C(O)C1O)OC(=O)CCCC=CCC=CCC=CCC=CCCCCC</t>
  </si>
  <si>
    <t xml:space="preserve">KIQYUSYSJTUGFZ-UHFFFAOYSA-N</t>
  </si>
  <si>
    <t xml:space="preserve">863-1</t>
  </si>
  <si>
    <t xml:space="preserve">864-1</t>
  </si>
  <si>
    <t xml:space="preserve">865-1</t>
  </si>
  <si>
    <t xml:space="preserve">866-1</t>
  </si>
  <si>
    <t xml:space="preserve">867-1</t>
  </si>
  <si>
    <t xml:space="preserve">868-1</t>
  </si>
  <si>
    <t xml:space="preserve">869-1</t>
  </si>
  <si>
    <t xml:space="preserve">870-1</t>
  </si>
  <si>
    <t xml:space="preserve">Theaflavin-3,3'-digallate</t>
  </si>
  <si>
    <t xml:space="preserve">HMDB0258961</t>
  </si>
  <si>
    <t xml:space="preserve">OC1CC2=C(O)C=C(O)C=C2OC1C1=CC(O)=C(OC(=O)C2=CC(O)=C(O)C(O)=C2)C2=C1C=C(C=C(OC(=O)C1=CC(O)=C(O)C(O)=C1)C2=O)C1OC2=CC(O)=CC(O)=C2CC1O</t>
  </si>
  <si>
    <t xml:space="preserve">FJYGFTHLNNSVPY-UHFFFAOYSA-N</t>
  </si>
  <si>
    <t xml:space="preserve">870-2</t>
  </si>
  <si>
    <t xml:space="preserve">Theaflavin 3,3'-digallate</t>
  </si>
  <si>
    <t xml:space="preserve">HMDB0030551</t>
  </si>
  <si>
    <t xml:space="preserve">975367</t>
  </si>
  <si>
    <t xml:space="preserve">3589471</t>
  </si>
  <si>
    <t xml:space="preserve">30462-35-2</t>
  </si>
  <si>
    <t xml:space="preserve">OC1=CC(O)=C2CC(OC(=O)C3=CC(O)=C(O)C(O)=C3)C(OC2=C1)C1=CC(O)=C(O)C2=C1C=C(C=C(O)C2=O)C1OC2=CC(O)=CC(O)=C2CC1OC(=O)C1=CC(O)=C(O)C(O)=C1</t>
  </si>
  <si>
    <t xml:space="preserve">ZEASWHWETFMWCV-UHFFFAOYSA-N</t>
  </si>
  <si>
    <t xml:space="preserve">871-1</t>
  </si>
  <si>
    <t xml:space="preserve">Homomangiferin</t>
  </si>
  <si>
    <t xml:space="preserve">HMDB0041258</t>
  </si>
  <si>
    <t xml:space="preserve">12310472</t>
  </si>
  <si>
    <t xml:space="preserve">21794-66-1</t>
  </si>
  <si>
    <t xml:space="preserve">COC1=CC2=C(C(O)=C1C1OC(CO)C(O)C(O)C1O)C(=O)C1=C(O2)C=C(O)C(O)=C1</t>
  </si>
  <si>
    <t xml:space="preserve">HDPSXKXQSOVYLL-UHFFFAOYSA-N</t>
  </si>
  <si>
    <t xml:space="preserve">871-2</t>
  </si>
  <si>
    <t xml:space="preserve">Isochinomin</t>
  </si>
  <si>
    <t xml:space="preserve">HMDB0041147</t>
  </si>
  <si>
    <t xml:space="preserve">95575</t>
  </si>
  <si>
    <t xml:space="preserve">75253041</t>
  </si>
  <si>
    <t xml:space="preserve">83118-66-5</t>
  </si>
  <si>
    <t xml:space="preserve">COC1=C(C2OC(CO)C(O)C(O)C2O)C2=C(C(O)=C1)C(=O)C1=C(O2)C=C(O)C(O)=C1</t>
  </si>
  <si>
    <t xml:space="preserve">VXVIYGXUCPLQBI-UHFFFAOYSA-N</t>
  </si>
  <si>
    <t xml:space="preserve">871-3</t>
  </si>
  <si>
    <t xml:space="preserve">Taxifolin 3-arabinoside</t>
  </si>
  <si>
    <t xml:space="preserve">HMDB0041418</t>
  </si>
  <si>
    <t xml:space="preserve">95816</t>
  </si>
  <si>
    <t xml:space="preserve">131753138</t>
  </si>
  <si>
    <t xml:space="preserve">OC[C@@H]1O[C@@H](OC2C(OC3=C(C(O)=CC(O)=C3)C2=O)C2=CC=C(O)C(O)=C2)[C@H](O)[C@H]1O</t>
  </si>
  <si>
    <t xml:space="preserve">PPDQWYOCNSWEMD-KLDLVKBWSA-N</t>
  </si>
  <si>
    <t xml:space="preserve">872-1</t>
  </si>
  <si>
    <t xml:space="preserve">873-1</t>
  </si>
  <si>
    <t xml:space="preserve">874-1</t>
  </si>
  <si>
    <t xml:space="preserve">875-1</t>
  </si>
  <si>
    <t xml:space="preserve">876-1</t>
  </si>
  <si>
    <t xml:space="preserve">877-1</t>
  </si>
  <si>
    <t xml:space="preserve">878-1</t>
  </si>
  <si>
    <t xml:space="preserve">Monotropeoside</t>
  </si>
  <si>
    <t xml:space="preserve">HMDB0303042</t>
  </si>
  <si>
    <t xml:space="preserve">[H][C@@]1(O)CO[C@@]([H])(OC[C@@]2([H])O[C@@]([H])(OC3=CC=CC=C3C(=O)OC)[C@]([H])(O)[C@@]([H])(O)[C@]2([H])O)[C@]([H])(O)[C@@]1([H])O</t>
  </si>
  <si>
    <t xml:space="preserve">VHUNCYDAXJGCLO-AHMNSWSSSA-N</t>
  </si>
  <si>
    <t xml:space="preserve">878-2</t>
  </si>
  <si>
    <t xml:space="preserve">Lucuminic acid</t>
  </si>
  <si>
    <t xml:space="preserve">HMDB0035007</t>
  </si>
  <si>
    <t xml:space="preserve">90367</t>
  </si>
  <si>
    <t xml:space="preserve">168248</t>
  </si>
  <si>
    <t xml:space="preserve">85260329</t>
  </si>
  <si>
    <t xml:space="preserve">190323-48-9</t>
  </si>
  <si>
    <t xml:space="preserve">OC1COC(OCC2OC(OC(C(O)=O)C3=CC=CC=C3)C(O)C(O)C2O)C(O)C1O</t>
  </si>
  <si>
    <t xml:space="preserve">DUZCTLMSDUOYAW-UHFFFAOYSA-N</t>
  </si>
  <si>
    <t xml:space="preserve">879-1</t>
  </si>
  <si>
    <t xml:space="preserve">Betanidin 5-[E-feruloyl-(-&gt;5)-apiosyl-(1-&gt;2)-glucoside]</t>
  </si>
  <si>
    <t xml:space="preserve">HMDB0037052</t>
  </si>
  <si>
    <t xml:space="preserve">92030</t>
  </si>
  <si>
    <t xml:space="preserve">131752133</t>
  </si>
  <si>
    <t xml:space="preserve">290313-64-3</t>
  </si>
  <si>
    <t xml:space="preserve">COC1=C([O-])C=CC(\C=C\C(=O)OCC2(O)COC(OC3C(O)C(O)C(CO)OC3OC3=C(O)C=C4C(CC(C(O)=O)\[N+]4=C\C=C4/CC(NC(=C4)C(O)=O)C(O)=O)=C3)C2O)=C1</t>
  </si>
  <si>
    <t xml:space="preserve">KNQKLMDWXLOVGM-UHFFFAOYSA-N</t>
  </si>
  <si>
    <t xml:space="preserve">Betalains</t>
  </si>
  <si>
    <t xml:space="preserve">Betacyanins and derivatives</t>
  </si>
  <si>
    <t xml:space="preserve">879-2</t>
  </si>
  <si>
    <t xml:space="preserve">15-Epibetanidin 5-[E-feruloyl-(-&gt;3)-apiosyl-(1-&gt;2)-glucoside]</t>
  </si>
  <si>
    <t xml:space="preserve">HMDB0039899</t>
  </si>
  <si>
    <t xml:space="preserve">94442</t>
  </si>
  <si>
    <t xml:space="preserve">55296251</t>
  </si>
  <si>
    <t xml:space="preserve">COC1=C([O-])C=CC(\C=C\C(=O)OC2(CO)COC(OC3C(O)C(O)C(CO)OC3OC3=C(O)C=C4C(CC(C(O)=O)\[N+]4=C\C=C4/CC(NC(=C4)C(O)=O)C(O)=O)=C3)C2O)=C1</t>
  </si>
  <si>
    <t xml:space="preserve">TWFHWAJPRJAJTL-UHFFFAOYSA-N</t>
  </si>
  <si>
    <t xml:space="preserve">880-1</t>
  </si>
  <si>
    <t xml:space="preserve">Iberdomide</t>
  </si>
  <si>
    <t xml:space="preserve">HMDB0253324</t>
  </si>
  <si>
    <t xml:space="preserve">53328043</t>
  </si>
  <si>
    <t xml:space="preserve">O=C1N(CC2=C1C=CC=C2OCC1=CC=C(CN2CCOCC2)C=C1)C1CCC(=O)NC1=O</t>
  </si>
  <si>
    <t xml:space="preserve">IXZOHGPZAQLIBH-UHFFFAOYSA-N</t>
  </si>
  <si>
    <t xml:space="preserve">880-2</t>
  </si>
  <si>
    <t xml:space="preserve">Ethyl n-allyl-n-[(e)-2-methyl-3-[4-(4-amidinophenoxycarbonyl)-phenyl]propenoyl]amino acetate</t>
  </si>
  <si>
    <t xml:space="preserve">HMDB0250062</t>
  </si>
  <si>
    <t xml:space="preserve">177357</t>
  </si>
  <si>
    <t xml:space="preserve">CCOC(=O)CN(CC=C)C(=O)C(C)=CC1=CC=C(C=C1)C(=O)OC1=CC=C(C=C1)C(N)=N</t>
  </si>
  <si>
    <t xml:space="preserve">PTCNGRBWQCYOSG-UHFFFAOYSA-N</t>
  </si>
  <si>
    <t xml:space="preserve">881-1</t>
  </si>
  <si>
    <t xml:space="preserve">882-1</t>
  </si>
  <si>
    <t xml:space="preserve">883-1</t>
  </si>
  <si>
    <t xml:space="preserve">884-1</t>
  </si>
  <si>
    <t xml:space="preserve">Oolonghomobisflavan B</t>
  </si>
  <si>
    <t xml:space="preserve">HMDB0039600</t>
  </si>
  <si>
    <t xml:space="preserve">94158</t>
  </si>
  <si>
    <t xml:space="preserve">14520995</t>
  </si>
  <si>
    <t xml:space="preserve">126715-88-6</t>
  </si>
  <si>
    <t xml:space="preserve">OC1=CC(=CC(O)=C1O)C1OC2=C(CC1OC(=O)C1=CC(O)=C(O)C(O)=C1)C(O)=C(CC1=C3OC(C(CC3=C(O)C=C1O)OC(=O)C1=CC(O)=C(O)C(O)=C1)C1=CC(O)=C(O)C(O)=C1)C(O)=C2</t>
  </si>
  <si>
    <t xml:space="preserve">FKRUMFFNBGSGGM-UHFFFAOYSA-N</t>
  </si>
  <si>
    <t xml:space="preserve">884-2</t>
  </si>
  <si>
    <t xml:space="preserve">Oolonghomobisflavan A</t>
  </si>
  <si>
    <t xml:space="preserve">HMDB0039599</t>
  </si>
  <si>
    <t xml:space="preserve">94157</t>
  </si>
  <si>
    <t xml:space="preserve">14520989</t>
  </si>
  <si>
    <t xml:space="preserve">126737-60-8</t>
  </si>
  <si>
    <t xml:space="preserve">OC1=CC(=CC(O)=C1O)C1OC2=C(CC3=C4OC(C(CC4=C(O)C=C3O)OC(=O)C3=CC(O)=C(O)C(O)=C3)C3=CC(O)=C(O)C(O)=C3)C(O)=CC(O)=C2CC1OC(=O)C1=CC(O)=C(O)C(O)=C1</t>
  </si>
  <si>
    <t xml:space="preserve">BJFGFQSYHAXQPO-UHFFFAOYSA-N</t>
  </si>
  <si>
    <t xml:space="preserve">885-1</t>
  </si>
  <si>
    <t xml:space="preserve">886-1</t>
  </si>
  <si>
    <t xml:space="preserve">887-1</t>
  </si>
  <si>
    <t xml:space="preserve">888-1</t>
  </si>
  <si>
    <t xml:space="preserve">889-1</t>
  </si>
  <si>
    <t xml:space="preserve">890-1</t>
  </si>
  <si>
    <t xml:space="preserve">3S-hydroxy-hexanoyl-CoA</t>
  </si>
  <si>
    <t xml:space="preserve">HMDB0062262</t>
  </si>
  <si>
    <t xml:space="preserve">36649</t>
  </si>
  <si>
    <t xml:space="preserve">C05268</t>
  </si>
  <si>
    <t xml:space="preserve">16061162</t>
  </si>
  <si>
    <t xml:space="preserve">[H][C@](O)(CCC)CC(=O)SCCN=C(O)CCN=C(O)[C@]([H])(O)C(C)(C)COP(O)(=O)OP(O)(=O)OC[C@@]1([H])O[C@@]([H])(N2C=NC3=C(N)N=CN=C23)C([H])(O)[C@@]1([H])OP(O)(O)=O</t>
  </si>
  <si>
    <t xml:space="preserve">VAAHKRMGOFIORX-HQMSTBIRSA-N</t>
  </si>
  <si>
    <t xml:space="preserve">890-2</t>
  </si>
  <si>
    <t xml:space="preserve">(S)-Hydroxyhexanoyl-CoA</t>
  </si>
  <si>
    <t xml:space="preserve">HMDB0003942</t>
  </si>
  <si>
    <t xml:space="preserve">LMFA07050156</t>
  </si>
  <si>
    <t xml:space="preserve">28276</t>
  </si>
  <si>
    <t xml:space="preserve">11966160</t>
  </si>
  <si>
    <t xml:space="preserve">79171-47-4</t>
  </si>
  <si>
    <t xml:space="preserve">[C@@H]1([C@H](O)[C@H](OP(=O)(O)O)[C@@H](COP(O)(=O)OP(O)(=O)OCC(C)([C@@H](O)C(=O)NCCC(=O)NCCSC(C[C@H](CCC)O)=O)C)O1)N1C=NC2C(N)=NC=NC1=2</t>
  </si>
  <si>
    <t xml:space="preserve">VAAHKRMGOFIORX-IKTBLOROSA-N</t>
  </si>
  <si>
    <t xml:space="preserve">891-1</t>
  </si>
  <si>
    <t xml:space="preserve">Eremosulphoxinolide A</t>
  </si>
  <si>
    <t xml:space="preserve">HMDB0041532</t>
  </si>
  <si>
    <t xml:space="preserve">131753161</t>
  </si>
  <si>
    <t xml:space="preserve">182127-79-3</t>
  </si>
  <si>
    <t xml:space="preserve">C\C=C(/C)C(=O)OC1C2=C(C)C(=O)OC2CC2CCC(OC(=O)\C=C\S(C)=O)C(C)C12C</t>
  </si>
  <si>
    <t xml:space="preserve">VIUDBOBKMBZVGZ-DTICODAZSA-N</t>
  </si>
  <si>
    <t xml:space="preserve">891-2</t>
  </si>
  <si>
    <t xml:space="preserve">Eremopetasitenin B2</t>
  </si>
  <si>
    <t xml:space="preserve">HMDB0030901</t>
  </si>
  <si>
    <t xml:space="preserve">87269</t>
  </si>
  <si>
    <t xml:space="preserve">131752438</t>
  </si>
  <si>
    <t xml:space="preserve">189100-15-0</t>
  </si>
  <si>
    <t xml:space="preserve">CS\C=C/C(=O)OC1CCC2CC34OC3(C(C)C(=O)O4)C(OC(=O)C(\C)=C\C)C2(C)C1C</t>
  </si>
  <si>
    <t xml:space="preserve">DDMWYCBISCBTIJ-PCGFSOLGSA-N</t>
  </si>
  <si>
    <t xml:space="preserve">892-1</t>
  </si>
  <si>
    <t xml:space="preserve">893-1</t>
  </si>
  <si>
    <t xml:space="preserve">Biotripyrrin-b</t>
  </si>
  <si>
    <t xml:space="preserve">HMDB0003324</t>
  </si>
  <si>
    <t xml:space="preserve">131750328</t>
  </si>
  <si>
    <t xml:space="preserve">158598-18-6</t>
  </si>
  <si>
    <t xml:space="preserve">[H]\C(C1=C(C)C(CCC(O)=O)=C(N1)C(\[H])=C1/N=C(O)C(C)=C1CCC(O)=O)=C1/N=C(O)C(C=C)=C1C</t>
  </si>
  <si>
    <t xml:space="preserve">PMIYFUGIVLGYIZ-YDSWVFJZSA-N</t>
  </si>
  <si>
    <t xml:space="preserve">893-2</t>
  </si>
  <si>
    <t xml:space="preserve">Biotripyrrin-a</t>
  </si>
  <si>
    <t xml:space="preserve">HMDB0003323</t>
  </si>
  <si>
    <t xml:space="preserve">6881</t>
  </si>
  <si>
    <t xml:space="preserve">10298558</t>
  </si>
  <si>
    <t xml:space="preserve">158649-79-7</t>
  </si>
  <si>
    <t xml:space="preserve">CC1=C(CCC(O)=O)\C(NC1=O)=C/C1=C(CCC(O)=O)C(C)=C(N1)\C=C1\NC(=O)C(C)=C1C=C</t>
  </si>
  <si>
    <t xml:space="preserve">DXWHHYOVLWSVQD-WOEXBRBNSA-N</t>
  </si>
  <si>
    <t xml:space="preserve">894-1</t>
  </si>
  <si>
    <t xml:space="preserve">895-1</t>
  </si>
  <si>
    <t xml:space="preserve">896-1</t>
  </si>
  <si>
    <t xml:space="preserve">Tuberoside D</t>
  </si>
  <si>
    <t xml:space="preserve">HMDB0034304</t>
  </si>
  <si>
    <t xml:space="preserve">73020465</t>
  </si>
  <si>
    <t xml:space="preserve">234771-06-3</t>
  </si>
  <si>
    <t xml:space="preserve">CC1C2C(CC3C4CCC5CC(OC6OC(CO)C(OC7OC(C)C(O)C(O)C7O)C(O)C6OC6OC(C)C(O)C(O)C6O)C(O)CC5(C)C4CCC23C)OC11CCC(C)CO1</t>
  </si>
  <si>
    <t xml:space="preserve">PTMUTMGEBGQTEJ-UHFFFAOYSA-N</t>
  </si>
  <si>
    <t xml:space="preserve">896-2</t>
  </si>
  <si>
    <t xml:space="preserve">b-Chlorogenin 3-[2'',4''-dirhamnosylglucoside]</t>
  </si>
  <si>
    <t xml:space="preserve">HMDB0036245</t>
  </si>
  <si>
    <t xml:space="preserve">91390</t>
  </si>
  <si>
    <t xml:space="preserve">72964728</t>
  </si>
  <si>
    <t xml:space="preserve">256642-44-1</t>
  </si>
  <si>
    <t xml:space="preserve">CC1C2C(CC3C4CC(O)C5CC(CCC5(C)C4CCC23C)OC2OC(CO)C(OC3OC(C)C(O)C(O)C3O)C(O)C2OC2OC(C)C(O)C(O)C2O)OC11CCC(C)CO1</t>
  </si>
  <si>
    <t xml:space="preserve">AXDIWOQMQMPLJH-UHFFFAOYSA-N</t>
  </si>
  <si>
    <t xml:space="preserve">896-3</t>
  </si>
  <si>
    <t xml:space="preserve">Desglucoparillin</t>
  </si>
  <si>
    <t xml:space="preserve">HMDB0038382</t>
  </si>
  <si>
    <t xml:space="preserve">93090</t>
  </si>
  <si>
    <t xml:space="preserve">418709</t>
  </si>
  <si>
    <t xml:space="preserve">11025-83-5</t>
  </si>
  <si>
    <t xml:space="preserve">CC1C2C(CC3C4CCC5CC(CCC5(C)C4CCC23C)OC2OC(COC3OC(CO)C(O)C(O)C3O)C(OC3OC(C)C(O)C(O)C3O)C(O)C2O)OC11CCC(C)CO1</t>
  </si>
  <si>
    <t xml:space="preserve">UBMCTHWOOSUTHL-UHFFFAOYSA-N</t>
  </si>
  <si>
    <t xml:space="preserve">897-1</t>
  </si>
  <si>
    <t xml:space="preserve">898-1</t>
  </si>
  <si>
    <t xml:space="preserve">899-1</t>
  </si>
  <si>
    <t xml:space="preserve">900-1</t>
  </si>
  <si>
    <t xml:space="preserve">901-1</t>
  </si>
  <si>
    <t xml:space="preserve">902-1</t>
  </si>
  <si>
    <t xml:space="preserve">903-1</t>
  </si>
  <si>
    <t xml:space="preserve">904-1</t>
  </si>
  <si>
    <t xml:space="preserve">905-1</t>
  </si>
  <si>
    <t xml:space="preserve">906-1</t>
  </si>
  <si>
    <t xml:space="preserve">907-1</t>
  </si>
  <si>
    <t xml:space="preserve">908-1</t>
  </si>
  <si>
    <t xml:space="preserve">909-1</t>
  </si>
  <si>
    <t xml:space="preserve">910-1</t>
  </si>
  <si>
    <t xml:space="preserve">911-1</t>
  </si>
  <si>
    <t xml:space="preserve">912-1</t>
  </si>
  <si>
    <t xml:space="preserve">913-1</t>
  </si>
  <si>
    <t xml:space="preserve">914-1</t>
  </si>
  <si>
    <t xml:space="preserve">915-1</t>
  </si>
  <si>
    <t xml:space="preserve">916-1</t>
  </si>
  <si>
    <t xml:space="preserve">917-1</t>
  </si>
  <si>
    <t xml:space="preserve">918-1</t>
  </si>
  <si>
    <t xml:space="preserve">919-1</t>
  </si>
  <si>
    <t xml:space="preserve">920-1</t>
  </si>
  <si>
    <t xml:space="preserve">921-1</t>
  </si>
  <si>
    <t xml:space="preserve">922-1</t>
  </si>
  <si>
    <t xml:space="preserve">923-1</t>
  </si>
  <si>
    <t xml:space="preserve">924-1</t>
  </si>
  <si>
    <t xml:space="preserve">925-1</t>
  </si>
  <si>
    <t xml:space="preserve">926-1</t>
  </si>
  <si>
    <t xml:space="preserve">927-1</t>
  </si>
  <si>
    <t xml:space="preserve">928-1</t>
  </si>
  <si>
    <t xml:space="preserve">p-O-glucuronide rosiglitazone</t>
  </si>
  <si>
    <t xml:space="preserve">HMDB0060862</t>
  </si>
  <si>
    <t xml:space="preserve">78069861</t>
  </si>
  <si>
    <t xml:space="preserve">CN(CCOC1=CC=C(CC2SC(=O)NC2=O)C=C1)C1=CC=C(OC2OC(C(O)C(O)C2O)C(O)=O)C=N1</t>
  </si>
  <si>
    <t xml:space="preserve">QGESYIGEZXWVIN-UHFFFAOYSA-N</t>
  </si>
  <si>
    <t xml:space="preserve">928-2</t>
  </si>
  <si>
    <t xml:space="preserve">o-O-glucuronide rosiglitazone</t>
  </si>
  <si>
    <t xml:space="preserve">HMDB0060857</t>
  </si>
  <si>
    <t xml:space="preserve">131769977</t>
  </si>
  <si>
    <t xml:space="preserve">CN(CCOC1=CC=C(CC2SC(=O)NC2=O)C=C1)C1=C(OC2OC(C(O)C(O)C2O)C(O)=O)C=CC=N1</t>
  </si>
  <si>
    <t xml:space="preserve">YDRMOALONMVDNG-UHFFFAOYSA-N</t>
  </si>
  <si>
    <t xml:space="preserve">929-1</t>
  </si>
  <si>
    <t xml:space="preserve">930-1</t>
  </si>
  <si>
    <t xml:space="preserve">931-1</t>
  </si>
  <si>
    <t xml:space="preserve">932-1</t>
  </si>
  <si>
    <t xml:space="preserve">933-1</t>
  </si>
  <si>
    <t xml:space="preserve">Phosphoribosyl-AMP</t>
  </si>
  <si>
    <t xml:space="preserve">HMDB0012276</t>
  </si>
  <si>
    <t xml:space="preserve">3596</t>
  </si>
  <si>
    <t xml:space="preserve">C02741</t>
  </si>
  <si>
    <t xml:space="preserve">18374</t>
  </si>
  <si>
    <t xml:space="preserve">11988267</t>
  </si>
  <si>
    <t xml:space="preserve">1109-75-7</t>
  </si>
  <si>
    <t xml:space="preserve">O[C@@H]1[C@@H](COP(O)(O)=O)O[C@H]([C@@H]1O)N1C=NC2=C1N=CN([C@@H]1O[C@H](COP(O)(O)=O)[C@@H](O)[C@H]1O)C2=N</t>
  </si>
  <si>
    <t xml:space="preserve">RTQMRTSPTLIIHM-KEOHHSTQSA-N</t>
  </si>
  <si>
    <t xml:space="preserve">933-2</t>
  </si>
  <si>
    <t xml:space="preserve">Adenosine diphosphate ribose</t>
  </si>
  <si>
    <t xml:space="preserve">HMDB0001178</t>
  </si>
  <si>
    <t xml:space="preserve">3595</t>
  </si>
  <si>
    <t xml:space="preserve">C00301</t>
  </si>
  <si>
    <t xml:space="preserve">16960</t>
  </si>
  <si>
    <t xml:space="preserve">192</t>
  </si>
  <si>
    <t xml:space="preserve">20762-30-5</t>
  </si>
  <si>
    <t xml:space="preserve">NC1=C2N=CN(C3OC(COP(O)(=O)OP(O)(=O)OCC4OC(O)C(O)C4O)C(O)C3O)C2=NC=N1</t>
  </si>
  <si>
    <t xml:space="preserve">SRNWOUGRCWSEMX-UHFFFAOYSA-N</t>
  </si>
  <si>
    <t xml:space="preserve">Purine nucleotide sugars</t>
  </si>
  <si>
    <t xml:space="preserve">934-1</t>
  </si>
  <si>
    <t xml:space="preserve">Partricin A</t>
  </si>
  <si>
    <t xml:space="preserve">HMDB0256136</t>
  </si>
  <si>
    <t xml:space="preserve">CNC1=CC=C(C=C1)C(=O)CC(O)CCC(C)C1OC(=O)CC(O)CC(=O)CC(O)CC(O)CC(O)CC(O)CC2(O)CC(O)C(C(CC(OC3OC(C)C(O)C(N)C3O)C=CC=CC=CC=CC=CC=CC=CC1C)O2)C(O)=O</t>
  </si>
  <si>
    <t xml:space="preserve">PILBMRSRDPAALN-UHFFFAOYSA-N</t>
  </si>
  <si>
    <t xml:space="preserve">934-2</t>
  </si>
  <si>
    <t xml:space="preserve">Mepartricin B</t>
  </si>
  <si>
    <t xml:space="preserve">HMDB0254450</t>
  </si>
  <si>
    <t xml:space="preserve">COC(=O)C1C(O)CC2(O)CC(O)CC(O)CC(O)CC(O)CC(=O)CC(O)CC(=O)OC(C(C)CCC(O)CC(=O)C3=CC=C(N)C=C3)C(C)C=CC=CC=CC=CC=CC=CC=CC(CC1O2)OC1OC(C)C(O)C(N)C1O</t>
  </si>
  <si>
    <t xml:space="preserve">GIDIUOCSTCGLRW-UHFFFAOYSA-N</t>
  </si>
  <si>
    <t xml:space="preserve">935-1</t>
  </si>
  <si>
    <t xml:space="preserve">936-1</t>
  </si>
  <si>
    <t xml:space="preserve">3-Oxo-docosa-10,13,16,19-all-cis-tetraenoyl-CoA</t>
  </si>
  <si>
    <t xml:space="preserve">HMDB0060204</t>
  </si>
  <si>
    <t xml:space="preserve">131769880</t>
  </si>
  <si>
    <t xml:space="preserve">CC\C=C/C\C=C/C\C=C/C\C=C/CCCCCCC(=O)CC(=O)SCCN=C(O)CCN=C(O)[C@H](O)C(C)(C)COP(O)(=O)OP(O)(=O)OC[C@@H]1O[C@@H]([C@H](O)[C@@H]1OP(O)(O)=O)N1C=NC2=C(N)N=CN=C12</t>
  </si>
  <si>
    <t xml:space="preserve">MUBUSEARPWRSQN-XMTMOFKOSA-N</t>
  </si>
  <si>
    <t xml:space="preserve">936-2</t>
  </si>
  <si>
    <t xml:space="preserve">3(S)-Hydroxy-docosa-7,10,13,16,19-all-cis-pentaenoyl-CoA</t>
  </si>
  <si>
    <t xml:space="preserve">HMDB0060205</t>
  </si>
  <si>
    <t xml:space="preserve">131769881</t>
  </si>
  <si>
    <t xml:space="preserve">CC\C=C/C\C=C/C\C=C/C\C=C/C\C=C/CCC[C@H](O)CC(=O)SCCN=C(O)CCN=C(O)[C@H](O)C(C)(C)COP(O)(=O)OP(O)(=O)OC[C@@H]1O[C@@H]([C@H](O)[C@@H]1OP(O)(O)=O)N1C=NC2=C(N)N=CN=C12</t>
  </si>
  <si>
    <t xml:space="preserve">KIDYDCLNVXONEF-DXMJZDBTSA-N</t>
  </si>
  <si>
    <t xml:space="preserve">936-3</t>
  </si>
  <si>
    <t xml:space="preserve">3-Oxo-docosa-7,10,13,16-all-cis-tetraenoyl-CoA</t>
  </si>
  <si>
    <t xml:space="preserve">HMDB0060206</t>
  </si>
  <si>
    <t xml:space="preserve">131769882</t>
  </si>
  <si>
    <t xml:space="preserve">CCCCC\C=C/C\C=C/C\C=C/C\C=C/CCCC(=O)CC(=O)SCCN=C(O)CCN=C(O)[C@H](O)C(C)(C)COP(O)(=O)OP(O)(=O)OC[C@@H]1O[C@@H]([C@H](O)[C@@H]1OP(O)(O)=O)N1C=NC2=C(N)N=CN=C12</t>
  </si>
  <si>
    <t xml:space="preserve">VMAJWSSWCPBIJY-XTVXXYAESA-N</t>
  </si>
  <si>
    <t xml:space="preserve">937-1</t>
  </si>
  <si>
    <t xml:space="preserve">938-1</t>
  </si>
  <si>
    <t xml:space="preserve">939-1</t>
  </si>
  <si>
    <t xml:space="preserve">940-1</t>
  </si>
  <si>
    <t xml:space="preserve">941-1</t>
  </si>
  <si>
    <t xml:space="preserve">Cinnamtannin B2</t>
  </si>
  <si>
    <t xml:space="preserve">HMDB0037668</t>
  </si>
  <si>
    <t xml:space="preserve">71827</t>
  </si>
  <si>
    <t xml:space="preserve">C17629</t>
  </si>
  <si>
    <t xml:space="preserve">6442730</t>
  </si>
  <si>
    <t xml:space="preserve">88038-12-4</t>
  </si>
  <si>
    <t xml:space="preserve">O[C@@H]1CC2=C(O)C=C(O)C([C@@H]3[C@@H](O)[C@H](OC4=C5[C@@H]6[C@@H](O)[C@](OC5=CC(O)=C34)(OC3=C([C@@H]4[C@@H](O)[C@H](OC5=CC(O)=CC(O)=C45)C4=CC=C(O)C(O)=C4)C(O)=CC(O)=C63)C3=CC=C(O)C(O)=C3)C3=CC=C(O)C(O)=C3)=C2O[C@@H]1C1=CC=C(O)C(O)=C1</t>
  </si>
  <si>
    <t xml:space="preserve">QRQAODSINXAOBF-UKTWWWBFSA-N</t>
  </si>
  <si>
    <t xml:space="preserve">941-2</t>
  </si>
  <si>
    <t xml:space="preserve">Cinnamtannin D2</t>
  </si>
  <si>
    <t xml:space="preserve">HMDB0037669</t>
  </si>
  <si>
    <t xml:space="preserve">71830</t>
  </si>
  <si>
    <t xml:space="preserve">C17633</t>
  </si>
  <si>
    <t xml:space="preserve">81231</t>
  </si>
  <si>
    <t xml:space="preserve">46173959</t>
  </si>
  <si>
    <t xml:space="preserve">97233-47-1</t>
  </si>
  <si>
    <t xml:space="preserve">O[C@H]1CC2=C(O)C=C(O)C([C@@H]3[C@@H](O)[C@H](OC4=C5[C@@H]6[C@@H](O)[C@](OC5=CC(O)=C34)(OC3=C([C@@H]4[C@@H](O)[C@H](OC5=CC(O)=CC(O)=C45)C4=CC=C(O)C(O)=C4)C(O)=CC(O)=C63)C3=CC=C(O)C(O)=C3)C3=CC=C(O)C(O)=C3)=C2O[C@@H]1C1=CC=C(O)C(O)=C1</t>
  </si>
  <si>
    <t xml:space="preserve">QRQAODSINXAOBF-BITWWPEZSA-N</t>
  </si>
  <si>
    <t xml:space="preserve">942-1</t>
  </si>
  <si>
    <t xml:space="preserve">943-1</t>
  </si>
  <si>
    <t xml:space="preserve">944-1</t>
  </si>
  <si>
    <t xml:space="preserve">945-1</t>
  </si>
  <si>
    <t xml:space="preserve">946-1</t>
  </si>
  <si>
    <t xml:space="preserve">84.04592</t>
  </si>
  <si>
    <t xml:space="preserve">C4H7NO2</t>
  </si>
  <si>
    <t xml:space="preserve">M+H-H2O</t>
  </si>
  <si>
    <t xml:space="preserve">L-3-Aminodihydro-2(3H)-furanone</t>
  </si>
  <si>
    <t xml:space="preserve">54348</t>
  </si>
  <si>
    <t xml:space="preserve">HMDB0029387</t>
  </si>
  <si>
    <t xml:space="preserve">65863</t>
  </si>
  <si>
    <t xml:space="preserve">C02926</t>
  </si>
  <si>
    <t xml:space="preserve">17289</t>
  </si>
  <si>
    <t xml:space="preserve">73509</t>
  </si>
  <si>
    <t xml:space="preserve">1192-20-7</t>
  </si>
  <si>
    <t xml:space="preserve">NC1CCOC1=O</t>
  </si>
  <si>
    <t xml:space="preserve">QJPWUUJVYOJNMH-UHFFFAOYSA-N</t>
  </si>
  <si>
    <t xml:space="preserve">84.08158</t>
  </si>
  <si>
    <t xml:space="preserve">C5H10N</t>
  </si>
  <si>
    <t xml:space="preserve">M+</t>
  </si>
  <si>
    <t xml:space="preserve">1-Methylpyrrolinium</t>
  </si>
  <si>
    <t xml:space="preserve">82200</t>
  </si>
  <si>
    <t xml:space="preserve">HMDB0060253</t>
  </si>
  <si>
    <t xml:space="preserve">436042</t>
  </si>
  <si>
    <t xml:space="preserve">C06178</t>
  </si>
  <si>
    <t xml:space="preserve">27435</t>
  </si>
  <si>
    <t xml:space="preserve">440932</t>
  </si>
  <si>
    <t xml:space="preserve">C[N+]1=CCCC1</t>
  </si>
  <si>
    <t xml:space="preserve">FDWZAOGDOVQOLD-UHFFFAOYSA-N</t>
  </si>
  <si>
    <t xml:space="preserve">Pyrrolines</t>
  </si>
  <si>
    <t xml:space="preserve">97.01302</t>
  </si>
  <si>
    <t xml:space="preserve">C5H6OS</t>
  </si>
  <si>
    <t xml:space="preserve">2-Furanmethanethiol; 2-Thiophenemethanol; 2-Methyl-3-furanthiol</t>
  </si>
  <si>
    <t xml:space="preserve">57178; 57255; 60300</t>
  </si>
  <si>
    <t xml:space="preserve">HMDB0032915; HMDB0032993; HMDB0036611</t>
  </si>
  <si>
    <t xml:space="preserve">88820; 88889; 91671</t>
  </si>
  <si>
    <t xml:space="preserve">7363; 69467; 34286</t>
  </si>
  <si>
    <t xml:space="preserve">98-02-2; 636-72-6; 28588-74-1</t>
  </si>
  <si>
    <t xml:space="preserve">SCC1=CC=CO1; OCC1=CC=CS1; CC1=C(S)C=CO1</t>
  </si>
  <si>
    <t xml:space="preserve">ZFFTZDQKIXPDAF-UHFFFAOYSA-N; ZPHGMBGIFODUMF-UHFFFAOYSA-N; RUYNUXHHUVUINQ-UHFFFAOYSA-N</t>
  </si>
  <si>
    <t xml:space="preserve">Heteroaromatic compounds; Heteroaromatic compounds; Heteroaromatic compounds</t>
  </si>
  <si>
    <t xml:space="preserve">Unclassified; Unclassified; Unclassified</t>
  </si>
  <si>
    <t xml:space="preserve">97.02848</t>
  </si>
  <si>
    <t xml:space="preserve">C5H4O2</t>
  </si>
  <si>
    <t xml:space="preserve">M+H</t>
  </si>
  <si>
    <t xml:space="preserve">Protoanemonin; 2-Furancarboxaldehyde</t>
  </si>
  <si>
    <t xml:space="preserve">82396; 57177</t>
  </si>
  <si>
    <t xml:space="preserve">HMDB0060503; HMDB0032914</t>
  </si>
  <si>
    <t xml:space="preserve">66577; 69936</t>
  </si>
  <si>
    <t xml:space="preserve">C07090; C14279</t>
  </si>
  <si>
    <t xml:space="preserve">28906; 34768</t>
  </si>
  <si>
    <t xml:space="preserve">66948; 7362</t>
  </si>
  <si>
    <t xml:space="preserve">108-28-1; 98-01-1</t>
  </si>
  <si>
    <t xml:space="preserve">C=C1OC(=O)C=C1; O=CC1=CC=CO1</t>
  </si>
  <si>
    <t xml:space="preserve">RNYZJZKPGHQTJR-UHFFFAOYSA-N; HYBBIBNJHNGZAN-UHFFFAOYSA-N</t>
  </si>
  <si>
    <t xml:space="preserve">Organoheterocyclic compounds; Organic oxygen compounds</t>
  </si>
  <si>
    <t xml:space="preserve">Dihydrofurans; Organooxygen compounds</t>
  </si>
  <si>
    <t xml:space="preserve">Furanones; Carbonyl compounds</t>
  </si>
  <si>
    <t xml:space="preserve">100.05148</t>
  </si>
  <si>
    <t xml:space="preserve">C3H7N3O2</t>
  </si>
  <si>
    <t xml:space="preserve">1-Ethyl-1-nitrosourea; Guanidoacetic acid</t>
  </si>
  <si>
    <t xml:space="preserve">199410; 46886</t>
  </si>
  <si>
    <t xml:space="preserve">HMDB0243873; HMDB0000128</t>
  </si>
  <si>
    <t xml:space="preserve">72910; 9</t>
  </si>
  <si>
    <t xml:space="preserve">C19178; C00581</t>
  </si>
  <si>
    <t xml:space="preserve">23995; 16344</t>
  </si>
  <si>
    <t xml:space="preserve">12967; 763</t>
  </si>
  <si>
    <t xml:space="preserve">759-73-9; 352-97-6</t>
  </si>
  <si>
    <t xml:space="preserve">CCN(N=O)C(O)=N; NC(=N)NCC(O)=O</t>
  </si>
  <si>
    <t xml:space="preserve">FUSGACRLAFQQRL-UHFFFAOYSA-N; BPMFZUMJYQTVII-UHFFFAOYSA-N</t>
  </si>
  <si>
    <t xml:space="preserve">Ureas; Amino acids, peptides, and analogues</t>
  </si>
  <si>
    <t xml:space="preserve">104.10794</t>
  </si>
  <si>
    <t xml:space="preserve">C5H14NO</t>
  </si>
  <si>
    <t xml:space="preserve">Choline</t>
  </si>
  <si>
    <t xml:space="preserve">46869</t>
  </si>
  <si>
    <t xml:space="preserve">HMDB0000097</t>
  </si>
  <si>
    <t xml:space="preserve">56</t>
  </si>
  <si>
    <t xml:space="preserve">C00114</t>
  </si>
  <si>
    <t xml:space="preserve">15354</t>
  </si>
  <si>
    <t xml:space="preserve">305</t>
  </si>
  <si>
    <t xml:space="preserve">62-49-7</t>
  </si>
  <si>
    <t xml:space="preserve">C[N+](C)(C)CCO</t>
  </si>
  <si>
    <t xml:space="preserve">OEYIOHPDSNJKLS-UHFFFAOYSA-N</t>
  </si>
  <si>
    <t xml:space="preserve">Quaternary ammonium salts</t>
  </si>
  <si>
    <t xml:space="preserve">110.00958</t>
  </si>
  <si>
    <t xml:space="preserve">C5H5</t>
  </si>
  <si>
    <t xml:space="preserve">M+2Na-H</t>
  </si>
  <si>
    <t xml:space="preserve">Cyclopentadienyl</t>
  </si>
  <si>
    <t xml:space="preserve">205413</t>
  </si>
  <si>
    <t xml:space="preserve">HMDB0250665</t>
  </si>
  <si>
    <t xml:space="preserve">452845</t>
  </si>
  <si>
    <t xml:space="preserve">36769</t>
  </si>
  <si>
    <t xml:space="preserve">137443</t>
  </si>
  <si>
    <t xml:space="preserve">[CH]1C=CC=C1</t>
  </si>
  <si>
    <t xml:space="preserve">HPYIUKIBUJFXII-UHFFFAOYSA-N</t>
  </si>
  <si>
    <t xml:space="preserve">112.05171</t>
  </si>
  <si>
    <t xml:space="preserve">C4H7N3O2</t>
  </si>
  <si>
    <t xml:space="preserve">5-Hydroxy-2-imino-1-methylimidazolidin-4-one</t>
  </si>
  <si>
    <t xml:space="preserve">200439</t>
  </si>
  <si>
    <t xml:space="preserve">HMDB0244988</t>
  </si>
  <si>
    <t xml:space="preserve">124266</t>
  </si>
  <si>
    <t xml:space="preserve">CN1C(O)C(=O)NC1=N</t>
  </si>
  <si>
    <t xml:space="preserve">SMQPRZPBBUJEGU-UHFFFAOYSA-N</t>
  </si>
  <si>
    <t xml:space="preserve">115.02432</t>
  </si>
  <si>
    <t xml:space="preserve">C3H6N2</t>
  </si>
  <si>
    <t xml:space="preserve">Beta-Aminopropionitrile</t>
  </si>
  <si>
    <t xml:space="preserve">48234</t>
  </si>
  <si>
    <t xml:space="preserve">HMDB0004101</t>
  </si>
  <si>
    <t xml:space="preserve">320941</t>
  </si>
  <si>
    <t xml:space="preserve">C05670</t>
  </si>
  <si>
    <t xml:space="preserve">27413</t>
  </si>
  <si>
    <t xml:space="preserve">1647</t>
  </si>
  <si>
    <t xml:space="preserve">151-18-8</t>
  </si>
  <si>
    <t xml:space="preserve">NCCC#N</t>
  </si>
  <si>
    <t xml:space="preserve">AGSPXMVUFBBBMO-UHFFFAOYSA-N</t>
  </si>
  <si>
    <t xml:space="preserve">122.92465</t>
  </si>
  <si>
    <t xml:space="preserve">CH2O2</t>
  </si>
  <si>
    <t xml:space="preserve">M+2K-H</t>
  </si>
  <si>
    <t xml:space="preserve">Formic acid</t>
  </si>
  <si>
    <t xml:space="preserve">46893</t>
  </si>
  <si>
    <t xml:space="preserve">HMDB0000142</t>
  </si>
  <si>
    <t xml:space="preserve">3202</t>
  </si>
  <si>
    <t xml:space="preserve">C00058</t>
  </si>
  <si>
    <t xml:space="preserve">284</t>
  </si>
  <si>
    <t xml:space="preserve">64-18-6</t>
  </si>
  <si>
    <t xml:space="preserve">OC=O</t>
  </si>
  <si>
    <t xml:space="preserve">BDAGIHXWWSANSR-UHFFFAOYSA-N</t>
  </si>
  <si>
    <t xml:space="preserve">123.04113</t>
  </si>
  <si>
    <t xml:space="preserve">C3H2N6</t>
  </si>
  <si>
    <t xml:space="preserve">Imidazotetrazine</t>
  </si>
  <si>
    <t xml:space="preserve">207762</t>
  </si>
  <si>
    <t xml:space="preserve">HMDB0253424</t>
  </si>
  <si>
    <t xml:space="preserve">66601537</t>
  </si>
  <si>
    <t xml:space="preserve">N1C=NC2=C1N=NN=N2</t>
  </si>
  <si>
    <t xml:space="preserve">LYHRBIAPWZFXBG-UHFFFAOYSA-N</t>
  </si>
  <si>
    <t xml:space="preserve">123.05438</t>
  </si>
  <si>
    <t xml:space="preserve">C6H6N2O</t>
  </si>
  <si>
    <t xml:space="preserve">Isonicotinamide; Picolinamide; Niacinamide</t>
  </si>
  <si>
    <t xml:space="preserve">207970; 210374; 47565</t>
  </si>
  <si>
    <t xml:space="preserve">HMDB0253663; HMDB0256533; HMDB0001406</t>
  </si>
  <si>
    <t xml:space="preserve">65768; 65685; 1497</t>
  </si>
  <si>
    <t xml:space="preserve">C02421; C01950; C00153</t>
  </si>
  <si>
    <t xml:space="preserve">6031; 8200; 17154</t>
  </si>
  <si>
    <t xml:space="preserve">15074; 15070; 936</t>
  </si>
  <si>
    <t xml:space="preserve">1453-82-3; 1452-77-3; 98-92-0</t>
  </si>
  <si>
    <t xml:space="preserve">NC(=O)C1=CC=NC=C1; OC(=N)C1=CC=CC=N1; NC(=O)C1=CC=CN=C1</t>
  </si>
  <si>
    <t xml:space="preserve">VFQXVTODMYMSMJ-UHFFFAOYSA-N; IBBMAWULFFBRKK-UHFFFAOYSA-N; DFPAKSUCGFBDDF-UHFFFAOYSA-N</t>
  </si>
  <si>
    <t xml:space="preserve">Pyridines and derivatives; Pyridines and derivatives; Pyridines and derivatives</t>
  </si>
  <si>
    <t xml:space="preserve">Pyridinecarboxylic acids and derivatives; Pyridinecarboxylic acids and derivatives; Pyridinecarboxylic acids and derivatives</t>
  </si>
  <si>
    <t xml:space="preserve">124.02459</t>
  </si>
  <si>
    <t xml:space="preserve">C3H9NS2</t>
  </si>
  <si>
    <t xml:space="preserve">2-Aminopropane-1,3-dithiol</t>
  </si>
  <si>
    <t xml:space="preserve">201116</t>
  </si>
  <si>
    <t xml:space="preserve">HMDB0245717</t>
  </si>
  <si>
    <t xml:space="preserve">22913969</t>
  </si>
  <si>
    <t xml:space="preserve">NC(CS)CS</t>
  </si>
  <si>
    <t xml:space="preserve">DJQYYYCQOZMCRC-UHFFFAOYSA-N</t>
  </si>
  <si>
    <t xml:space="preserve">Thiols</t>
  </si>
  <si>
    <t xml:space="preserve">Alkylthiols</t>
  </si>
  <si>
    <t xml:space="preserve">126.02325</t>
  </si>
  <si>
    <t xml:space="preserve">C2H7NO3S</t>
  </si>
  <si>
    <t xml:space="preserve">Taurine</t>
  </si>
  <si>
    <t xml:space="preserve">46959</t>
  </si>
  <si>
    <t xml:space="preserve">HMDB0000251</t>
  </si>
  <si>
    <t xml:space="preserve">31</t>
  </si>
  <si>
    <t xml:space="preserve">C00245</t>
  </si>
  <si>
    <t xml:space="preserve">15891</t>
  </si>
  <si>
    <t xml:space="preserve">1123</t>
  </si>
  <si>
    <t xml:space="preserve">107-35-7</t>
  </si>
  <si>
    <t xml:space="preserve">NCCS(O)(=O)=O</t>
  </si>
  <si>
    <t xml:space="preserve">XOAAWQZATWQOTB-UHFFFAOYSA-N</t>
  </si>
  <si>
    <t xml:space="preserve">129.03919</t>
  </si>
  <si>
    <t xml:space="preserve">CH4O3</t>
  </si>
  <si>
    <t xml:space="preserve">2M+H</t>
  </si>
  <si>
    <t xml:space="preserve">Methanol, hydroperoxy-</t>
  </si>
  <si>
    <t xml:space="preserve">208630</t>
  </si>
  <si>
    <t xml:space="preserve">HMDB0254523</t>
  </si>
  <si>
    <t xml:space="preserve">435628</t>
  </si>
  <si>
    <t xml:space="preserve">167497</t>
  </si>
  <si>
    <t xml:space="preserve">OCOO</t>
  </si>
  <si>
    <t xml:space="preserve">NEZWFWIACBUQMN-UHFFFAOYSA-N</t>
  </si>
  <si>
    <t xml:space="preserve">Organic hydroperoxides</t>
  </si>
  <si>
    <t xml:space="preserve">130.08864</t>
  </si>
  <si>
    <t xml:space="preserve">C6H13NO3</t>
  </si>
  <si>
    <t xml:space="preserve">Fagomine</t>
  </si>
  <si>
    <t xml:space="preserve">57683</t>
  </si>
  <si>
    <t xml:space="preserve">HMDB0033453</t>
  </si>
  <si>
    <t xml:space="preserve">68150</t>
  </si>
  <si>
    <t xml:space="preserve">C10144</t>
  </si>
  <si>
    <t xml:space="preserve">4969</t>
  </si>
  <si>
    <t xml:space="preserve">72259</t>
  </si>
  <si>
    <t xml:space="preserve">53185-12-9</t>
  </si>
  <si>
    <t xml:space="preserve">OC[C@H]1NCC[C@@H](O)[C@@H]1O</t>
  </si>
  <si>
    <t xml:space="preserve">YZNNBIPIQWYLDM-HSUXUTPPSA-N</t>
  </si>
  <si>
    <t xml:space="preserve">132.02304</t>
  </si>
  <si>
    <t xml:space="preserve">C5H8ClNO2</t>
  </si>
  <si>
    <t xml:space="preserve">3-Chloro-4,4-dimethyl-2-oxazolidinone; 3-(2-Chloroethyl)oxazolidin-2-one</t>
  </si>
  <si>
    <t xml:space="preserve">201228; 201167</t>
  </si>
  <si>
    <t xml:space="preserve">HMDB0245835; HMDB0245771</t>
  </si>
  <si>
    <t xml:space="preserve">313680; 460510</t>
  </si>
  <si>
    <t xml:space="preserve">92357; 75633</t>
  </si>
  <si>
    <t xml:space="preserve">CC1(C)COC(=O)N1Cl; ClCCN1CCOC1=O</t>
  </si>
  <si>
    <t xml:space="preserve">HUPNLWZFGMGNKB-UHFFFAOYSA-N; CDYDZTYVCIPLHY-UHFFFAOYSA-N</t>
  </si>
  <si>
    <t xml:space="preserve">Azolidines; Azolidines</t>
  </si>
  <si>
    <t xml:space="preserve">Oxazolidines; Oxazolidines</t>
  </si>
  <si>
    <t xml:space="preserve">132.10393</t>
  </si>
  <si>
    <t xml:space="preserve">C6H14NO2</t>
  </si>
  <si>
    <t xml:space="preserve">1-Nitrohexane</t>
  </si>
  <si>
    <t xml:space="preserve">52458</t>
  </si>
  <si>
    <t xml:space="preserve">HMDB0013812</t>
  </si>
  <si>
    <t xml:space="preserve">89185</t>
  </si>
  <si>
    <t xml:space="preserve">646-14-0</t>
  </si>
  <si>
    <t xml:space="preserve">CCCCCC[N+](O)=O</t>
  </si>
  <si>
    <t xml:space="preserve">RPBWECFHDHMPJN-UHFFFAOYSA-N</t>
  </si>
  <si>
    <t xml:space="preserve">133.02977</t>
  </si>
  <si>
    <t xml:space="preserve">C8H6O3</t>
  </si>
  <si>
    <t xml:space="preserve">Phenylglyoxylic acid; 3,4-Methylenedioxybenzaldehyde</t>
  </si>
  <si>
    <t xml:space="preserve">47660; 56902</t>
  </si>
  <si>
    <t xml:space="preserve">HMDB0001587; HMDB0032612</t>
  </si>
  <si>
    <t xml:space="preserve">58059; 68600</t>
  </si>
  <si>
    <t xml:space="preserve">C02137; C10812</t>
  </si>
  <si>
    <t xml:space="preserve">18280; 8240</t>
  </si>
  <si>
    <t xml:space="preserve">11915; 8438</t>
  </si>
  <si>
    <t xml:space="preserve">611-73-4; 120-57-0</t>
  </si>
  <si>
    <t xml:space="preserve">OC(=O)C(=O)C1=CC=CC=C1; [H]C(=O)C1=CC2=C(OCO2)C=C1</t>
  </si>
  <si>
    <t xml:space="preserve">FAQJJMHZNSSFSM-UHFFFAOYSA-N; SATCULPHIDQDRE-UHFFFAOYSA-N</t>
  </si>
  <si>
    <t xml:space="preserve">Benzene and substituted derivatives; Benzodioxoles</t>
  </si>
  <si>
    <t xml:space="preserve">Benzoyl derivatives; Unclassified</t>
  </si>
  <si>
    <t xml:space="preserve">136.06171</t>
  </si>
  <si>
    <t xml:space="preserve">C5H5N5</t>
  </si>
  <si>
    <t xml:space="preserve">Adenine</t>
  </si>
  <si>
    <t xml:space="preserve">46837</t>
  </si>
  <si>
    <t xml:space="preserve">HMDB0000034</t>
  </si>
  <si>
    <t xml:space="preserve">85</t>
  </si>
  <si>
    <t xml:space="preserve">C00147</t>
  </si>
  <si>
    <t xml:space="preserve">16708</t>
  </si>
  <si>
    <t xml:space="preserve">73-24-5</t>
  </si>
  <si>
    <t xml:space="preserve">NC1=C2NC=NC2=NC=N1</t>
  </si>
  <si>
    <t xml:space="preserve">GFFGJBXGBJISGV-UHFFFAOYSA-N</t>
  </si>
  <si>
    <t xml:space="preserve">138.03875</t>
  </si>
  <si>
    <t xml:space="preserve">C3H7NO5</t>
  </si>
  <si>
    <t xml:space="preserve">1-Nitropropane-1,2,3-triol; 1-Mononitroglycerin</t>
  </si>
  <si>
    <t xml:space="preserve">211663; 199484</t>
  </si>
  <si>
    <t xml:space="preserve">HMDB0258075; HMDB0243950</t>
  </si>
  <si>
    <t xml:space="preserve">; 1585</t>
  </si>
  <si>
    <t xml:space="preserve">21977402; 12211</t>
  </si>
  <si>
    <t xml:space="preserve">; 624-43-1</t>
  </si>
  <si>
    <t xml:space="preserve">OCC(O)C(O)[N+]([O-])=O; OCC(O)CO[N+]([O-])=O</t>
  </si>
  <si>
    <t xml:space="preserve">UHBVTTDRNVAOJD-UHFFFAOYSA-N; HXWLJBVVXXBZCM-UHFFFAOYSA-N</t>
  </si>
  <si>
    <t xml:space="preserve">Organooxygen compounds; Organic oxoanionic compounds</t>
  </si>
  <si>
    <t xml:space="preserve">Carbohydrates and carbohydrate conjugates; Organic nitrates</t>
  </si>
  <si>
    <t xml:space="preserve">138.05320</t>
  </si>
  <si>
    <t xml:space="preserve">C5H9NO2</t>
  </si>
  <si>
    <t xml:space="preserve">M+Na</t>
  </si>
  <si>
    <t xml:space="preserve">L-Proline</t>
  </si>
  <si>
    <t xml:space="preserve">46904</t>
  </si>
  <si>
    <t xml:space="preserve">HMDB0000162</t>
  </si>
  <si>
    <t xml:space="preserve">29</t>
  </si>
  <si>
    <t xml:space="preserve">C00148</t>
  </si>
  <si>
    <t xml:space="preserve">17203</t>
  </si>
  <si>
    <t xml:space="preserve">145742</t>
  </si>
  <si>
    <t xml:space="preserve">147-85-3</t>
  </si>
  <si>
    <t xml:space="preserve">OC(=O)[C@@H]1CCCN1</t>
  </si>
  <si>
    <t xml:space="preserve">ONIBWKKTOPOVIA-BYPYZUCNSA-N</t>
  </si>
  <si>
    <t xml:space="preserve">139.04076</t>
  </si>
  <si>
    <t xml:space="preserve">C7H8O4</t>
  </si>
  <si>
    <t xml:space="preserve">Ascladiol; 2,3-Methyleneglutaric acid</t>
  </si>
  <si>
    <t xml:space="preserve">54523; 81781</t>
  </si>
  <si>
    <t xml:space="preserve">HMDB0029610; HMDB0059731</t>
  </si>
  <si>
    <t xml:space="preserve">; 89910</t>
  </si>
  <si>
    <t xml:space="preserve">131750886; 123510533</t>
  </si>
  <si>
    <t xml:space="preserve">32013-85-7; </t>
  </si>
  <si>
    <t xml:space="preserve">OC\C=C1\OC(=O)C(CO)=C1; OC(=O)CC(=C)C(=C)C(O)=O</t>
  </si>
  <si>
    <t xml:space="preserve">LYJDVGNTDYPSTE-LZCJLJQNSA-N; YNNMOGWGBFSMGB-UHFFFAOYSA-N</t>
  </si>
  <si>
    <t xml:space="preserve">Organoheterocyclic compounds; Lipids and lipid-like molecules</t>
  </si>
  <si>
    <t xml:space="preserve">Dihydrofurans; Fatty Acyls</t>
  </si>
  <si>
    <t xml:space="preserve">Furanones; Fatty acids and conjugates</t>
  </si>
  <si>
    <t xml:space="preserve">140.05479</t>
  </si>
  <si>
    <t xml:space="preserve">C7H9NS</t>
  </si>
  <si>
    <t xml:space="preserve">2,4-Dimethyl-5-vinylthiazole; 4-Pyridylethylmercaptan; 4-Mercapto-ethyl-pyridine</t>
  </si>
  <si>
    <t xml:space="preserve">60883; 201911; 201821</t>
  </si>
  <si>
    <t xml:space="preserve">HMDB0037285; HMDB0246578; HMDB0246484</t>
  </si>
  <si>
    <t xml:space="preserve">92235; 452501; </t>
  </si>
  <si>
    <t xml:space="preserve">5362563; 150969; 19066657</t>
  </si>
  <si>
    <t xml:space="preserve">65505-18-2; ; </t>
  </si>
  <si>
    <t xml:space="preserve">CC1=NC(C)=C(S1)C=C; SCCC1=CC=NC=C1; CCC1=CC(=S)C=CN1</t>
  </si>
  <si>
    <t xml:space="preserve">MLBCDQHOBLVBQD-UHFFFAOYSA-N; VBAOEVKQBLGWTH-UHFFFAOYSA-N; HIJXBFJPIKJPAF-UHFFFAOYSA-N</t>
  </si>
  <si>
    <t xml:space="preserve">Azoles; Pyridines and derivatives; Pyridines and derivatives</t>
  </si>
  <si>
    <t xml:space="preserve">Thiazoles; Unclassified; Hydropyridines</t>
  </si>
  <si>
    <t xml:space="preserve">143.01896</t>
  </si>
  <si>
    <t xml:space="preserve">C4H6N2O</t>
  </si>
  <si>
    <t xml:space="preserve">4-Hydroxymethylpyrazole</t>
  </si>
  <si>
    <t xml:space="preserve">82631</t>
  </si>
  <si>
    <t xml:space="preserve">HMDB0060768</t>
  </si>
  <si>
    <t xml:space="preserve">460720</t>
  </si>
  <si>
    <t xml:space="preserve">3015210</t>
  </si>
  <si>
    <t xml:space="preserve">25222-43-9</t>
  </si>
  <si>
    <t xml:space="preserve">OCC1=CNN=C1</t>
  </si>
  <si>
    <t xml:space="preserve">JRMKJOOJKCAEJK-UHFFFAOYSA-N</t>
  </si>
  <si>
    <t xml:space="preserve">144.08336</t>
  </si>
  <si>
    <t xml:space="preserve">C7H13NS</t>
  </si>
  <si>
    <t xml:space="preserve">2-Ethyl-2,5-dihydro-4,5-dimethylthiazole; 1-Isothiocyanato-4-methylpentane; 1-Isothiocyanatohexane</t>
  </si>
  <si>
    <t xml:space="preserve">60809; 61822; 61819</t>
  </si>
  <si>
    <t xml:space="preserve">HMDB0037176; HMDB0038435; HMDB0038432</t>
  </si>
  <si>
    <t xml:space="preserve">92144; 93126; 93123</t>
  </si>
  <si>
    <t xml:space="preserve">5362584; 519452; 78120</t>
  </si>
  <si>
    <t xml:space="preserve">76788-46-0; 17608-07-0; 4404-45-9</t>
  </si>
  <si>
    <t xml:space="preserve">CCC1SC(C)C(C)=N1; CC(C)CCCN=C=S; CCCCCCN=C=S</t>
  </si>
  <si>
    <t xml:space="preserve">CSACPVARWHDAET-UHFFFAOYSA-N; CZWUENKYXFGDIG-UHFFFAOYSA-N; WXYAXKKXIGHXDS-UHFFFAOYSA-N</t>
  </si>
  <si>
    <t xml:space="preserve">Organoheterocyclic compounds; Organosulfur compounds; Organosulfur compounds</t>
  </si>
  <si>
    <t xml:space="preserve">Azolines; Isothiocyanates; Isothiocyanates</t>
  </si>
  <si>
    <t xml:space="preserve">Thiazolines; Unclassified; Unclassified</t>
  </si>
  <si>
    <t xml:space="preserve">145.01722</t>
  </si>
  <si>
    <t xml:space="preserve">C6H6N2</t>
  </si>
  <si>
    <t xml:space="preserve">M+K</t>
  </si>
  <si>
    <t xml:space="preserve">2-Methyleneglutaronitrile; Vinylpyrazine</t>
  </si>
  <si>
    <t xml:space="preserve">200666; 256217</t>
  </si>
  <si>
    <t xml:space="preserve">HMDB0245227; HMDB0303343</t>
  </si>
  <si>
    <t xml:space="preserve">74080; </t>
  </si>
  <si>
    <t xml:space="preserve">C=C(CCC#N)C#N; C=CC1=CN=CC=N1</t>
  </si>
  <si>
    <t xml:space="preserve">NGCJVMZXRCLPRQ-UHFFFAOYSA-N; KANZWHBYRHQMKZ-UHFFFAOYSA-N</t>
  </si>
  <si>
    <t xml:space="preserve">Organonitrogen compounds; Diazines</t>
  </si>
  <si>
    <t xml:space="preserve">Organic cyanides; Pyrazines</t>
  </si>
  <si>
    <t xml:space="preserve">145.05000</t>
  </si>
  <si>
    <t xml:space="preserve">C6H8O4</t>
  </si>
  <si>
    <t xml:space="preserve">Maleic acid homopolymer</t>
  </si>
  <si>
    <t xml:space="preserve">60002</t>
  </si>
  <si>
    <t xml:space="preserve">HMDB0036232</t>
  </si>
  <si>
    <t xml:space="preserve">63874</t>
  </si>
  <si>
    <t xml:space="preserve">C00922</t>
  </si>
  <si>
    <t xml:space="preserve">23812</t>
  </si>
  <si>
    <t xml:space="preserve">3032309</t>
  </si>
  <si>
    <t xml:space="preserve">26099-09-2</t>
  </si>
  <si>
    <t xml:space="preserve">C\C(=C(/C)C(O)=O)C(O)=O</t>
  </si>
  <si>
    <t xml:space="preserve">CGBYBGVMDAPUIH-ARJAWSKDSA-N</t>
  </si>
  <si>
    <t xml:space="preserve">146.16633</t>
  </si>
  <si>
    <t xml:space="preserve">C7H19N3</t>
  </si>
  <si>
    <t xml:space="preserve">Spermidine</t>
  </si>
  <si>
    <t xml:space="preserve">47476</t>
  </si>
  <si>
    <t xml:space="preserve">HMDB0001257</t>
  </si>
  <si>
    <t xml:space="preserve">254</t>
  </si>
  <si>
    <t xml:space="preserve">C00315</t>
  </si>
  <si>
    <t xml:space="preserve">16610</t>
  </si>
  <si>
    <t xml:space="preserve">1102</t>
  </si>
  <si>
    <t xml:space="preserve">124-20-9</t>
  </si>
  <si>
    <t xml:space="preserve">NCCCCNCCCN</t>
  </si>
  <si>
    <t xml:space="preserve">ATHGHQPFGPMSJY-UHFFFAOYSA-N</t>
  </si>
  <si>
    <t xml:space="preserve">147.11491</t>
  </si>
  <si>
    <t xml:space="preserve">C6H15N2O2</t>
  </si>
  <si>
    <t xml:space="preserve">Carbachol</t>
  </si>
  <si>
    <t xml:space="preserve">52772</t>
  </si>
  <si>
    <t xml:space="preserve">HMDB0014555</t>
  </si>
  <si>
    <t xml:space="preserve">320875</t>
  </si>
  <si>
    <t xml:space="preserve">2551</t>
  </si>
  <si>
    <t xml:space="preserve">51-83-2</t>
  </si>
  <si>
    <t xml:space="preserve">C[N+](C)(C)CCOC(N)=O</t>
  </si>
  <si>
    <t xml:space="preserve">VPJXQGSRWJZDOB-UHFFFAOYSA-O</t>
  </si>
  <si>
    <t xml:space="preserve">150.05462</t>
  </si>
  <si>
    <t xml:space="preserve">C8H7NO2</t>
  </si>
  <si>
    <t xml:space="preserve">3-Hydroxy-2-oxoindole; 5,6-Dihydroxyindole; (S)-4-Hydroxymandelonitrile</t>
  </si>
  <si>
    <t xml:space="preserve">197335; 48215; 82231</t>
  </si>
  <si>
    <t xml:space="preserve">HMDB0240741; HMDB0004058; HMDB0060318</t>
  </si>
  <si>
    <t xml:space="preserve">64535; 7009; 63618</t>
  </si>
  <si>
    <t xml:space="preserve">C11130; C05578; C03742</t>
  </si>
  <si>
    <t xml:space="preserve">28536; 27404; 16660</t>
  </si>
  <si>
    <t xml:space="preserve">6097; 114683; 440104</t>
  </si>
  <si>
    <t xml:space="preserve">61-71-2; 3131-52-0; 71807-09-5</t>
  </si>
  <si>
    <t xml:space="preserve">OC1C(=O)NC2=CC=CC=C12; OC1=C(O)C=C2C=CNC2=C1; O[C@H](C#N)C1=CC=C(O)C=C1</t>
  </si>
  <si>
    <t xml:space="preserve">SGZFJWQQBHYNNF-UHFFFAOYSA-N; SGNZYJXNUURYCH-UHFFFAOYSA-N; HOOOPXDSCKBLFG-MRVPVSSYSA-N</t>
  </si>
  <si>
    <t xml:space="preserve">Indoles and derivatives; Indoles and derivatives; Phenols</t>
  </si>
  <si>
    <t xml:space="preserve">Indolines; Hydroxyindoles; 1-hydroxy-2-unsubstituted benzenoids</t>
  </si>
  <si>
    <t xml:space="preserve">152.05677</t>
  </si>
  <si>
    <t xml:space="preserve">C5H5N5O</t>
  </si>
  <si>
    <t xml:space="preserve">Guanine</t>
  </si>
  <si>
    <t xml:space="preserve">46889</t>
  </si>
  <si>
    <t xml:space="preserve">HMDB0000132</t>
  </si>
  <si>
    <t xml:space="preserve">315</t>
  </si>
  <si>
    <t xml:space="preserve">C00242</t>
  </si>
  <si>
    <t xml:space="preserve">16235</t>
  </si>
  <si>
    <t xml:space="preserve">764</t>
  </si>
  <si>
    <t xml:space="preserve">73-40-5</t>
  </si>
  <si>
    <t xml:space="preserve">NC1=NC(=O)C2=C(N1)N=CN2</t>
  </si>
  <si>
    <t xml:space="preserve">UYTPUPDQBNUYGX-UHFFFAOYSA-N</t>
  </si>
  <si>
    <t xml:space="preserve">154.03601</t>
  </si>
  <si>
    <t xml:space="preserve">C4H3N5O2</t>
  </si>
  <si>
    <t xml:space="preserve">8-Azaxanthine</t>
  </si>
  <si>
    <t xml:space="preserve">202657</t>
  </si>
  <si>
    <t xml:space="preserve">HMDB0247424</t>
  </si>
  <si>
    <t xml:space="preserve">40850</t>
  </si>
  <si>
    <t xml:space="preserve">15113</t>
  </si>
  <si>
    <t xml:space="preserve">OC1=NC2=C(N=NN2)C(O)=N1</t>
  </si>
  <si>
    <t xml:space="preserve">KVGVQTOQSNJTJI-UHFFFAOYSA-N</t>
  </si>
  <si>
    <t xml:space="preserve">Triazolopyrimidines</t>
  </si>
  <si>
    <t xml:space="preserve">154.05439</t>
  </si>
  <si>
    <t xml:space="preserve">C5H4FN5</t>
  </si>
  <si>
    <t xml:space="preserve">2-Fluoroadenine</t>
  </si>
  <si>
    <t xml:space="preserve">200571</t>
  </si>
  <si>
    <t xml:space="preserve">HMDB0245129</t>
  </si>
  <si>
    <t xml:space="preserve">72457</t>
  </si>
  <si>
    <t xml:space="preserve">12790</t>
  </si>
  <si>
    <t xml:space="preserve">NC1=C2N=CN=C2NC(F)=N1</t>
  </si>
  <si>
    <t xml:space="preserve">WKMPTBDYDNUJLF-UHFFFAOYSA-N</t>
  </si>
  <si>
    <t xml:space="preserve">155.01812</t>
  </si>
  <si>
    <t xml:space="preserve">C4H10O2S2</t>
  </si>
  <si>
    <t xml:space="preserve">1,4-Dithiothreitol</t>
  </si>
  <si>
    <t xml:space="preserve">52405</t>
  </si>
  <si>
    <t xml:space="preserve">HMDB0013593</t>
  </si>
  <si>
    <t xml:space="preserve">C00265</t>
  </si>
  <si>
    <t xml:space="preserve">42106</t>
  </si>
  <si>
    <t xml:space="preserve">439196</t>
  </si>
  <si>
    <t xml:space="preserve">O[C@@H](CS)[C@@H](O)CS</t>
  </si>
  <si>
    <t xml:space="preserve">VHJLVAABSRFDPM-IMJSIDKUSA-N</t>
  </si>
  <si>
    <t xml:space="preserve">155.04503</t>
  </si>
  <si>
    <t xml:space="preserve">C6H6N2O3</t>
  </si>
  <si>
    <t xml:space="preserve">2-Amino-4-nitrophenol; 4-Amino-2-nitrophenol</t>
  </si>
  <si>
    <t xml:space="preserve">200441; 201688</t>
  </si>
  <si>
    <t xml:space="preserve">HMDB0244990; HMDB0246341</t>
  </si>
  <si>
    <t xml:space="preserve">73031; 73033</t>
  </si>
  <si>
    <t xml:space="preserve">C19321; C19323</t>
  </si>
  <si>
    <t xml:space="preserve">3613389; 3417419</t>
  </si>
  <si>
    <t xml:space="preserve">99-57-0; 119-34-6</t>
  </si>
  <si>
    <t xml:space="preserve">NC1=C(O)C=CC(=C1)[N+]([O-])=O; NC1=CC(=C(O)C=C1)[N+]([O-])=O</t>
  </si>
  <si>
    <t xml:space="preserve">VLZVIIYRNMWPSN-UHFFFAOYSA-N; WHODQVWERNSQEO-UHFFFAOYSA-N</t>
  </si>
  <si>
    <t xml:space="preserve">Nitrophenols; Nitrophenols</t>
  </si>
  <si>
    <t xml:space="preserve">156.04346</t>
  </si>
  <si>
    <t xml:space="preserve">C5H11NO2</t>
  </si>
  <si>
    <t xml:space="preserve">5-Aminopentanoic acid; D-Valine</t>
  </si>
  <si>
    <t xml:space="preserve">2483; 2488</t>
  </si>
  <si>
    <t xml:space="preserve">HMDB0003355; HMDB0250806</t>
  </si>
  <si>
    <t xml:space="preserve">6902; 74879</t>
  </si>
  <si>
    <t xml:space="preserve">LMFA01100040; LMFA01100046</t>
  </si>
  <si>
    <t xml:space="preserve">C00431; C16436</t>
  </si>
  <si>
    <t xml:space="preserve">15887; 27266</t>
  </si>
  <si>
    <t xml:space="preserve">138; 1182</t>
  </si>
  <si>
    <t xml:space="preserve">660-88-8; </t>
  </si>
  <si>
    <t xml:space="preserve">C(C(=O)O)CCCN; C(C(N)C(C)C)(=O)O</t>
  </si>
  <si>
    <t xml:space="preserve">JJMDCOVWQOJGCB-UHFFFAOYSA-N; KZSNJWFQEVHDMF-UHFFFAOYSA-N</t>
  </si>
  <si>
    <t xml:space="preserve">156.07856</t>
  </si>
  <si>
    <t xml:space="preserve">C6H15NO</t>
  </si>
  <si>
    <t xml:space="preserve">Triethylamine N-oxide; 1-(Diethylamino)ethanol; 2-Diethylaminoethanol</t>
  </si>
  <si>
    <t xml:space="preserve">212594; 203129; 58116</t>
  </si>
  <si>
    <t xml:space="preserve">HMDB0259192; HMDB0247953; HMDB0033971</t>
  </si>
  <si>
    <t xml:space="preserve">346536; ; 89647</t>
  </si>
  <si>
    <t xml:space="preserve">; ; 52153</t>
  </si>
  <si>
    <t xml:space="preserve">123168; 15894840; 7497</t>
  </si>
  <si>
    <t xml:space="preserve">; ; 100-37-8</t>
  </si>
  <si>
    <t xml:space="preserve">CC[N+]([O-])(CC)CC; CCN(CC)C(C)O; CCN(CC)CCO</t>
  </si>
  <si>
    <t xml:space="preserve">LFMTUFVYMCDPGY-UHFFFAOYSA-N; RQNOFUZGXHSHOT-UHFFFAOYSA-N; BFSVOASYOCHEOV-UHFFFAOYSA-N</t>
  </si>
  <si>
    <t xml:space="preserve">Organic nitrogen compounds; Organic nitrogen compounds; Organic nitrogen compounds</t>
  </si>
  <si>
    <t xml:space="preserve">Organonitrogen compounds; Organonitrogen compounds; Organonitrogen compounds</t>
  </si>
  <si>
    <t xml:space="preserve">Aminoxides; Amines; Amines</t>
  </si>
  <si>
    <t xml:space="preserve">158.03934</t>
  </si>
  <si>
    <t xml:space="preserve">C8H9N</t>
  </si>
  <si>
    <t xml:space="preserve">Indoline; Isoindoline</t>
  </si>
  <si>
    <t xml:space="preserve">207808; 207961</t>
  </si>
  <si>
    <t xml:space="preserve">HMDB0253472; HMDB0253648</t>
  </si>
  <si>
    <t xml:space="preserve">327013; </t>
  </si>
  <si>
    <t xml:space="preserve">43295; </t>
  </si>
  <si>
    <t xml:space="preserve">10328; 422478</t>
  </si>
  <si>
    <t xml:space="preserve">C1CC2=CC=CC=C2N1; C1NCC2=CC=CC=C12</t>
  </si>
  <si>
    <t xml:space="preserve">LPAGFVYQRIESJQ-UHFFFAOYSA-N; GWVMLCQWXVFZCN-UHFFFAOYSA-N</t>
  </si>
  <si>
    <t xml:space="preserve">Indoles and derivatives; Isoindoles and derivatives</t>
  </si>
  <si>
    <t xml:space="preserve">Indolines; Isoindoles</t>
  </si>
  <si>
    <t xml:space="preserve">159.05177</t>
  </si>
  <si>
    <t xml:space="preserve">C4H8N4O4</t>
  </si>
  <si>
    <t xml:space="preserve">Allantoic acid</t>
  </si>
  <si>
    <t xml:space="preserve">47454</t>
  </si>
  <si>
    <t xml:space="preserve">HMDB0001209</t>
  </si>
  <si>
    <t xml:space="preserve">343</t>
  </si>
  <si>
    <t xml:space="preserve">C00499</t>
  </si>
  <si>
    <t xml:space="preserve">30837</t>
  </si>
  <si>
    <t xml:space="preserve">203</t>
  </si>
  <si>
    <t xml:space="preserve">99-16-1</t>
  </si>
  <si>
    <t xml:space="preserve">NC(=O)NC(NC(N)=O)C(O)=O</t>
  </si>
  <si>
    <t xml:space="preserve">NUCLJNSWZCHRKL-UHFFFAOYSA-N</t>
  </si>
  <si>
    <t xml:space="preserve">161.03020</t>
  </si>
  <si>
    <t xml:space="preserve">C4H8N2O2</t>
  </si>
  <si>
    <t xml:space="preserve">N-NITROSOMORPHOLINE; N,N'-Diacetylhydrazine</t>
  </si>
  <si>
    <t xml:space="preserve">209224; 82390</t>
  </si>
  <si>
    <t xml:space="preserve">HMDB0255208; HMDB0060496</t>
  </si>
  <si>
    <t xml:space="preserve">73001; 851</t>
  </si>
  <si>
    <t xml:space="preserve">C19283; C16622</t>
  </si>
  <si>
    <t xml:space="preserve">76326; </t>
  </si>
  <si>
    <t xml:space="preserve">6046; 72884</t>
  </si>
  <si>
    <t xml:space="preserve">59-89-2; 3148-73-0</t>
  </si>
  <si>
    <t xml:space="preserve">O=NN1CCOCC1; CC(O)=NN=C(C)O</t>
  </si>
  <si>
    <t xml:space="preserve">ZKXDGKXYMTYWTB-UHFFFAOYSA-N; ZLHNYIHIHQEHJQ-UHFFFAOYSA-N</t>
  </si>
  <si>
    <t xml:space="preserve">Organoheterocyclic compounds; Organic nitrogen compounds</t>
  </si>
  <si>
    <t xml:space="preserve">Oxazinanes; Organonitrogen compounds</t>
  </si>
  <si>
    <t xml:space="preserve">Morpholines; Hydrazines and derivatives</t>
  </si>
  <si>
    <t xml:space="preserve">164.07400</t>
  </si>
  <si>
    <t xml:space="preserve">C6H14NO2S</t>
  </si>
  <si>
    <t xml:space="preserve">S-Methylmethionine</t>
  </si>
  <si>
    <t xml:space="preserve">62035</t>
  </si>
  <si>
    <t xml:space="preserve">HMDB0038670</t>
  </si>
  <si>
    <t xml:space="preserve">458</t>
  </si>
  <si>
    <t xml:space="preserve">13065-25-3</t>
  </si>
  <si>
    <t xml:space="preserve">C[S+](C)CCC(N)C(O)=O</t>
  </si>
  <si>
    <t xml:space="preserve">YDBYJHTYSHBBAU-UHFFFAOYSA-O</t>
  </si>
  <si>
    <t xml:space="preserve">165.04655</t>
  </si>
  <si>
    <t xml:space="preserve">C8H5FN2O</t>
  </si>
  <si>
    <t xml:space="preserve">Fluoronaphthyridone</t>
  </si>
  <si>
    <t xml:space="preserve">206878</t>
  </si>
  <si>
    <t xml:space="preserve">HMDB0252387</t>
  </si>
  <si>
    <t xml:space="preserve">66764350</t>
  </si>
  <si>
    <t xml:space="preserve">FC1=CC2=C(NC1=O)N=CC=C2</t>
  </si>
  <si>
    <t xml:space="preserve">JHAXGSQISYDXFP-UHFFFAOYSA-N</t>
  </si>
  <si>
    <t xml:space="preserve">166.95212</t>
  </si>
  <si>
    <t xml:space="preserve">CH5O5P</t>
  </si>
  <si>
    <t xml:space="preserve">Phosphoric acid hydroxymethyl ester</t>
  </si>
  <si>
    <t xml:space="preserve">211280</t>
  </si>
  <si>
    <t xml:space="preserve">HMDB0257619</t>
  </si>
  <si>
    <t xml:space="preserve">19914290</t>
  </si>
  <si>
    <t xml:space="preserve">OCOP(O)(O)=O</t>
  </si>
  <si>
    <t xml:space="preserve">VFNOXQPPJXXRNB-UHFFFAOYSA-N</t>
  </si>
  <si>
    <t xml:space="preserve">169.04912</t>
  </si>
  <si>
    <t xml:space="preserve">C4H4O2</t>
  </si>
  <si>
    <t xml:space="preserve">4-Hydroxy-2-butenoic acid gamma-lactone; Furanone A</t>
  </si>
  <si>
    <t xml:space="preserve">56702; 115450</t>
  </si>
  <si>
    <t xml:space="preserve">HMDB0032330; HMDB0094691</t>
  </si>
  <si>
    <t xml:space="preserve">71806; 71807</t>
  </si>
  <si>
    <t xml:space="preserve">C17601; C17602</t>
  </si>
  <si>
    <t xml:space="preserve">38118; 38120</t>
  </si>
  <si>
    <t xml:space="preserve">10341; 140765</t>
  </si>
  <si>
    <t xml:space="preserve">497-23-4; 20825-71-2</t>
  </si>
  <si>
    <t xml:space="preserve">O=C1OCC=C1; O=C1CC=CO1</t>
  </si>
  <si>
    <t xml:space="preserve">VIHAEDVKXSOUAT-UHFFFAOYSA-N; RHDGNLCLDBVESU-UHFFFAOYSA-N</t>
  </si>
  <si>
    <t xml:space="preserve">Dihydrofurans; Dihydrofurans</t>
  </si>
  <si>
    <t xml:space="preserve">Furanones; Furanones</t>
  </si>
  <si>
    <t xml:space="preserve">170.06289</t>
  </si>
  <si>
    <t xml:space="preserve">C8H10FNO3</t>
  </si>
  <si>
    <t xml:space="preserve">6-Fluoropyridoxol</t>
  </si>
  <si>
    <t xml:space="preserve">202344</t>
  </si>
  <si>
    <t xml:space="preserve">HMDB0247065</t>
  </si>
  <si>
    <t xml:space="preserve">6852038</t>
  </si>
  <si>
    <t xml:space="preserve">CC1=C(O)C(CO)=C(CO)C(F)=N1</t>
  </si>
  <si>
    <t xml:space="preserve">IDPINNAOTHGQQW-UHFFFAOYSA-N</t>
  </si>
  <si>
    <t xml:space="preserve">Pyridoxines</t>
  </si>
  <si>
    <t xml:space="preserve">171.01142</t>
  </si>
  <si>
    <t xml:space="preserve">C7H6O3S</t>
  </si>
  <si>
    <t xml:space="preserve">2-Mercapto-3-furan-2-ylpropenoic acid</t>
  </si>
  <si>
    <t xml:space="preserve">203353</t>
  </si>
  <si>
    <t xml:space="preserve">HMDB0248229</t>
  </si>
  <si>
    <t xml:space="preserve">115309</t>
  </si>
  <si>
    <t xml:space="preserve">OC(=O)C(S)=CC1=CC=CO1</t>
  </si>
  <si>
    <t xml:space="preserve">UTSNNYDOCFFEBQ-UHFFFAOYSA-N</t>
  </si>
  <si>
    <t xml:space="preserve">171.06525</t>
  </si>
  <si>
    <t xml:space="preserve">C8H12O5</t>
  </si>
  <si>
    <t xml:space="preserve">3-(3-Oxobutanoyloxy)butanoic acid; Tetrahydro-2,5-furan-diacetic acid</t>
  </si>
  <si>
    <t xml:space="preserve">211673; 81812</t>
  </si>
  <si>
    <t xml:space="preserve">HMDB0258085; HMDB0059767</t>
  </si>
  <si>
    <t xml:space="preserve">; 89885</t>
  </si>
  <si>
    <t xml:space="preserve">53889896; 13220191</t>
  </si>
  <si>
    <t xml:space="preserve">CC(CC(O)=O)OC(=O)CC(C)=O; OC(=O)CC1CCC(CC(O)=O)O1</t>
  </si>
  <si>
    <t xml:space="preserve">HPSXWFLUQVYJDN-UHFFFAOYSA-N; CVYAVSIMBYOCGA-UHFFFAOYSA-N</t>
  </si>
  <si>
    <t xml:space="preserve">Keto acids and derivatives; Carboxylic acids and derivatives</t>
  </si>
  <si>
    <t xml:space="preserve">Short-chain keto acids and derivatives; Dicarboxylic acids and derivatives</t>
  </si>
  <si>
    <t xml:space="preserve">175.04568</t>
  </si>
  <si>
    <t xml:space="preserve">C5H10N2O2</t>
  </si>
  <si>
    <t xml:space="preserve">(3R,4R)-3-Amino-1-hydroxy-4-methylpyrrolidin-2-one; L-cis-3-Amino-2-pyrrolidinecarboxylic acid; D-1-Amino-2-pyrrolidinecarboxylic acid</t>
  </si>
  <si>
    <t xml:space="preserve">199220; 54354; 55221</t>
  </si>
  <si>
    <t xml:space="preserve">HMDB0243603; HMDB0029396; HMDB0030405</t>
  </si>
  <si>
    <t xml:space="preserve">; 86241; 86950</t>
  </si>
  <si>
    <t xml:space="preserve">14804746; 21998160; 273022</t>
  </si>
  <si>
    <t xml:space="preserve">; 25876-88-4; 10139-05-6</t>
  </si>
  <si>
    <t xml:space="preserve">CC1CN(O)C(=O)C1N; NC1CCNC1C(O)=O; NN1CCCC1C(O)=O</t>
  </si>
  <si>
    <t xml:space="preserve">SKYSFPFYQBZGDC-UHFFFAOYSA-N; VJLXSTXGGXYQCT-UHFFFAOYSA-N; OUCUOMVLTQBZCY-UHFFFAOYSA-N</t>
  </si>
  <si>
    <t xml:space="preserve">175.12033</t>
  </si>
  <si>
    <t xml:space="preserve">C6H14N4O2</t>
  </si>
  <si>
    <t xml:space="preserve">L-Arginine; D-Arginine</t>
  </si>
  <si>
    <t xml:space="preserve">47071; 48094</t>
  </si>
  <si>
    <t xml:space="preserve">HMDB0000517; HMDB0003416</t>
  </si>
  <si>
    <t xml:space="preserve">13; 6924</t>
  </si>
  <si>
    <t xml:space="preserve">C00062; C00792</t>
  </si>
  <si>
    <t xml:space="preserve">16467; 15816</t>
  </si>
  <si>
    <t xml:space="preserve">6322; 71070</t>
  </si>
  <si>
    <t xml:space="preserve">74-79-3; 157-06-2</t>
  </si>
  <si>
    <t xml:space="preserve">N[C@@H](CCCNC(N)=N)C(O)=O; N[C@H](CCCNC(N)=N)C(O)=O</t>
  </si>
  <si>
    <t xml:space="preserve">ODKSFYDXXFIFQN-BYPYZUCNSA-N; ODKSFYDXXFIFQN-SCSAIBSYSA-N</t>
  </si>
  <si>
    <t xml:space="preserve">176.01227</t>
  </si>
  <si>
    <t xml:space="preserve">C7H7NO2</t>
  </si>
  <si>
    <t xml:space="preserve">Trigonelline; 2-Aminobenzoic acid; p-Aminobenzoic acid</t>
  </si>
  <si>
    <t xml:space="preserve">47275; 47405; 47557</t>
  </si>
  <si>
    <t xml:space="preserve">HMDB0000875; HMDB0001123; HMDB0001392</t>
  </si>
  <si>
    <t xml:space="preserve">273; 317; 3261</t>
  </si>
  <si>
    <t xml:space="preserve">C01004; C00108; C00568</t>
  </si>
  <si>
    <t xml:space="preserve">18123; 30754; 30753</t>
  </si>
  <si>
    <t xml:space="preserve">5570; 227; 978</t>
  </si>
  <si>
    <t xml:space="preserve">535-83-1; 118-92-3; 150-13-0</t>
  </si>
  <si>
    <t xml:space="preserve">C[N+]1=CC=CC(=C1)C([O-])=O; NC1=CC=CC=C1C(O)=O; NC1=CC=C(C=C1)C(O)=O</t>
  </si>
  <si>
    <t xml:space="preserve">WWNNZCOKKKDOPX-UHFFFAOYSA-N; RWZYAGGXGHYGMB-UHFFFAOYSA-N; ALYNCZNDIQEVRV-UHFFFAOYSA-N</t>
  </si>
  <si>
    <t xml:space="preserve">Alkaloids and derivatives; Benzenoids; Benzenoids</t>
  </si>
  <si>
    <t xml:space="preserve">Unclassified; Benzene and substituted derivatives; Benzene and substituted derivatives</t>
  </si>
  <si>
    <t xml:space="preserve">Unclassified; Benzoic acids and derivatives; Benzoic acids and derivatives</t>
  </si>
  <si>
    <t xml:space="preserve">176.04635</t>
  </si>
  <si>
    <t xml:space="preserve">C8H11NO</t>
  </si>
  <si>
    <t xml:space="preserve">Tyramine; 2-Hydroxyphenethylamine</t>
  </si>
  <si>
    <t xml:space="preserve">46989; 47375</t>
  </si>
  <si>
    <t xml:space="preserve">HMDB0000306; HMDB0001065</t>
  </si>
  <si>
    <t xml:space="preserve">60; 59</t>
  </si>
  <si>
    <t xml:space="preserve">C00483; C02735</t>
  </si>
  <si>
    <t xml:space="preserve">15760; 16343</t>
  </si>
  <si>
    <t xml:space="preserve">5610; 1000</t>
  </si>
  <si>
    <t xml:space="preserve">51-67-2; 7568-93-6</t>
  </si>
  <si>
    <t xml:space="preserve">NCCC1=CC=C(O)C=C1; NCC(O)C1=CC=CC=C1</t>
  </si>
  <si>
    <t xml:space="preserve">DZGWFCGJZKJUFP-UHFFFAOYSA-N; ULSIYEODSMZIPX-UHFFFAOYSA-N</t>
  </si>
  <si>
    <t xml:space="preserve">Benzenoids; Organic nitrogen compounds</t>
  </si>
  <si>
    <t xml:space="preserve">Benzene and substituted derivatives; Organonitrogen compounds</t>
  </si>
  <si>
    <t xml:space="preserve">Phenethylamines; Amines</t>
  </si>
  <si>
    <t xml:space="preserve">176.12166</t>
  </si>
  <si>
    <t xml:space="preserve">C7H17N3S</t>
  </si>
  <si>
    <t xml:space="preserve">4-(Dimethylamino)butyl carbamimidothioate</t>
  </si>
  <si>
    <t xml:space="preserve">201652</t>
  </si>
  <si>
    <t xml:space="preserve">HMDB0246305</t>
  </si>
  <si>
    <t xml:space="preserve">5227</t>
  </si>
  <si>
    <t xml:space="preserve">CN(C)CCCCSC(N)=N</t>
  </si>
  <si>
    <t xml:space="preserve">UFYJLJINUGVUHO-UHFFFAOYSA-N</t>
  </si>
  <si>
    <t xml:space="preserve">Isothioureas</t>
  </si>
  <si>
    <t xml:space="preserve">183.05155</t>
  </si>
  <si>
    <t xml:space="preserve">CH4N4</t>
  </si>
  <si>
    <t xml:space="preserve">2M+K</t>
  </si>
  <si>
    <t xml:space="preserve">tetrazoline; Diazenylmethyldiazene; N'-Amino-N-iminomethanimidamide</t>
  </si>
  <si>
    <t xml:space="preserve">212368; 213508; 206928</t>
  </si>
  <si>
    <t xml:space="preserve">HMDB0258937; HMDB0260388; HMDB0252443</t>
  </si>
  <si>
    <t xml:space="preserve">18377836; 54226752; 53427792</t>
  </si>
  <si>
    <t xml:space="preserve">C1NNN=N1; N=NCN=N; NN=CN=N</t>
  </si>
  <si>
    <t xml:space="preserve">PZJFUNZDCRKXPZ-UHFFFAOYSA-N; QGJLQLXDTUSXKS-UHFFFAOYSA-N; VMGAPWLDMVPYIA-UHFFFAOYSA-N</t>
  </si>
  <si>
    <t xml:space="preserve">Organoheterocyclic compounds; Organic 1,3-dipolar compounds; Organic nitrogen compounds</t>
  </si>
  <si>
    <t xml:space="preserve">Azolines; Propargyl-type 1,3-dipolar organic compounds; Organonitrogen compounds</t>
  </si>
  <si>
    <t xml:space="preserve">Tetrazolines; Unclassified; Hydrazines and derivatives</t>
  </si>
  <si>
    <t xml:space="preserve">186.04029</t>
  </si>
  <si>
    <t xml:space="preserve">C7H7NO5</t>
  </si>
  <si>
    <t xml:space="preserve">2-Amino-3-carboxymuconic acid semialdehyde</t>
  </si>
  <si>
    <t xml:space="preserve">47522</t>
  </si>
  <si>
    <t xml:space="preserve">HMDB0001330</t>
  </si>
  <si>
    <t xml:space="preserve">3319</t>
  </si>
  <si>
    <t xml:space="preserve">C04409</t>
  </si>
  <si>
    <t xml:space="preserve">995</t>
  </si>
  <si>
    <t xml:space="preserve">5280673</t>
  </si>
  <si>
    <t xml:space="preserve">16597-19-6</t>
  </si>
  <si>
    <t xml:space="preserve">N\C(C(O)=O)=C(\C=C/C=O)/C(O)=O</t>
  </si>
  <si>
    <t xml:space="preserve">KACPVQQHDVBVFC-OIFXTYEKSA-N</t>
  </si>
  <si>
    <t xml:space="preserve">187.04332</t>
  </si>
  <si>
    <t xml:space="preserve">C8H10O3S</t>
  </si>
  <si>
    <t xml:space="preserve">O-Ethyl s-(2-furylmethyl)thiocarbonate</t>
  </si>
  <si>
    <t xml:space="preserve">256143</t>
  </si>
  <si>
    <t xml:space="preserve">HMDB0303266</t>
  </si>
  <si>
    <t xml:space="preserve">CCOC(=O)SCC1=CC=CO1</t>
  </si>
  <si>
    <t xml:space="preserve">RPDATXKSJBDCAP-UHFFFAOYSA-N</t>
  </si>
  <si>
    <t xml:space="preserve">187.07403</t>
  </si>
  <si>
    <t xml:space="preserve">C7H16O3</t>
  </si>
  <si>
    <t xml:space="preserve">Triethyl orthoformate</t>
  </si>
  <si>
    <t xml:space="preserve">212592</t>
  </si>
  <si>
    <t xml:space="preserve">HMDB0259190</t>
  </si>
  <si>
    <t xml:space="preserve">CCOC(OCC)OCC</t>
  </si>
  <si>
    <t xml:space="preserve">GKASDNZWUGIAMG-UHFFFAOYSA-N</t>
  </si>
  <si>
    <t xml:space="preserve">188.14515</t>
  </si>
  <si>
    <t xml:space="preserve">C13H19NO</t>
  </si>
  <si>
    <t xml:space="preserve">Diethylpropion</t>
  </si>
  <si>
    <t xml:space="preserve">53194</t>
  </si>
  <si>
    <t xml:space="preserve">HMDB0015072</t>
  </si>
  <si>
    <t xml:space="preserve">2009</t>
  </si>
  <si>
    <t xml:space="preserve">C06954</t>
  </si>
  <si>
    <t xml:space="preserve">4530</t>
  </si>
  <si>
    <t xml:space="preserve">7029</t>
  </si>
  <si>
    <t xml:space="preserve">134-80-5</t>
  </si>
  <si>
    <t xml:space="preserve">CCN(CC)C(C)C(=O)C1=CC=CC=C1</t>
  </si>
  <si>
    <t xml:space="preserve">XXEPPPIWZFICOJ-UHFFFAOYSA-N</t>
  </si>
  <si>
    <t xml:space="preserve">189.05324</t>
  </si>
  <si>
    <t xml:space="preserve">C9H10O3</t>
  </si>
  <si>
    <t xml:space="preserve">3-(3-Hydroxyphenyl)propanoic acid; D-Phenyllactic acid; L-3-Phenyllactic acid</t>
  </si>
  <si>
    <t xml:space="preserve">47014; 47094; 47199</t>
  </si>
  <si>
    <t xml:space="preserve">HMDB0000375; HMDB0000563; HMDB0000748</t>
  </si>
  <si>
    <t xml:space="preserve">4152; 3291; 5745</t>
  </si>
  <si>
    <t xml:space="preserve">C11457; C05607; C05607</t>
  </si>
  <si>
    <t xml:space="preserve">1427; 43065; 32978</t>
  </si>
  <si>
    <t xml:space="preserve">91; 444718; 643327</t>
  </si>
  <si>
    <t xml:space="preserve">621-54-5; 20312-36-1; 7326-19-4</t>
  </si>
  <si>
    <t xml:space="preserve">OC(=O)CCC1=CC(O)=CC=C1; [H][C@](O)(CC1=CC=CC=C1)C(O)=O; O[C@H](CC1=CC=CC=C1)C(O)=O</t>
  </si>
  <si>
    <t xml:space="preserve">QVWAEZJXDYOKEH-UHFFFAOYSA-N; VOXXWSYKYCBWHO-QMMMGPOBSA-N; VOXXWSYKYCBWHO-MRVPVSSYSA-N</t>
  </si>
  <si>
    <t xml:space="preserve">Phenylpropanoic acids; Phenylpropanoic acids; Phenylpropanoic acids</t>
  </si>
  <si>
    <t xml:space="preserve">189.13469</t>
  </si>
  <si>
    <t xml:space="preserve">C7H16N4O2</t>
  </si>
  <si>
    <t xml:space="preserve">Homo-L-arginine; L-Targinine</t>
  </si>
  <si>
    <t xml:space="preserve">47150; 54374</t>
  </si>
  <si>
    <t xml:space="preserve">HMDB0000670; HMDB0029416</t>
  </si>
  <si>
    <t xml:space="preserve">5640; </t>
  </si>
  <si>
    <t xml:space="preserve">C01924; C03884</t>
  </si>
  <si>
    <t xml:space="preserve">27747; 28229</t>
  </si>
  <si>
    <t xml:space="preserve">9085; 132862</t>
  </si>
  <si>
    <t xml:space="preserve">156-86-5; 17035-90-4</t>
  </si>
  <si>
    <t xml:space="preserve">N[C@@H](CCCCNC(N)=N)C(O)=O; CNC(=N)NCCC[C@H](N)C(O)=O</t>
  </si>
  <si>
    <t xml:space="preserve">QUOGESRFPZDMMT-YFKPBYRVSA-N; NTNWOCRCBQPEKQ-YFKPBYRVSA-N</t>
  </si>
  <si>
    <t xml:space="preserve">199.08486</t>
  </si>
  <si>
    <t xml:space="preserve">C7H16N2O2</t>
  </si>
  <si>
    <t xml:space="preserve">N(6)-Methyllysine</t>
  </si>
  <si>
    <t xml:space="preserve">47774</t>
  </si>
  <si>
    <t xml:space="preserve">HMDB0002038</t>
  </si>
  <si>
    <t xml:space="preserve">58082</t>
  </si>
  <si>
    <t xml:space="preserve">C02728</t>
  </si>
  <si>
    <t xml:space="preserve">17604</t>
  </si>
  <si>
    <t xml:space="preserve">164795</t>
  </si>
  <si>
    <t xml:space="preserve">1188-07-4</t>
  </si>
  <si>
    <t xml:space="preserve">CNCCCC[C@H](N)C(O)=O</t>
  </si>
  <si>
    <t xml:space="preserve">PQNASZJZHFPQLE-LURJTMIESA-N</t>
  </si>
  <si>
    <t xml:space="preserve">201.08911</t>
  </si>
  <si>
    <t xml:space="preserve">C11H14O2</t>
  </si>
  <si>
    <t xml:space="preserve">Methyleugenol; Methylisoeugenol; 3-Phenylpropyl acetate</t>
  </si>
  <si>
    <t xml:space="preserve">56329; 64635; 57625</t>
  </si>
  <si>
    <t xml:space="preserve">HMDB0031864; HMDB0041553; HMDB0033386</t>
  </si>
  <si>
    <t xml:space="preserve">68336; ; 71846</t>
  </si>
  <si>
    <t xml:space="preserve">C10454; C10478; C17663</t>
  </si>
  <si>
    <t xml:space="preserve">4918; 50550; 81257</t>
  </si>
  <si>
    <t xml:space="preserve">7127; 1549045; 31226</t>
  </si>
  <si>
    <t xml:space="preserve">93-15-2; 6379-72-2; 122-72-5</t>
  </si>
  <si>
    <t xml:space="preserve">COC1=C(OC)C=C(CC=C)C=C1; COC1=C(OC)C=C(\C=C/C)C=C1; CC(=O)OCCCC1=CC=CC=C1</t>
  </si>
  <si>
    <t xml:space="preserve">ZYEMGPIYFIJGTP-UHFFFAOYSA-N; NNWHUJCUHAELCL-PLNGDYQASA-N; JRJGKUTZNBZHNK-UHFFFAOYSA-N</t>
  </si>
  <si>
    <t xml:space="preserve">Methoxybenzenes; Methoxybenzenes; Unclassified</t>
  </si>
  <si>
    <t xml:space="preserve">203.07919</t>
  </si>
  <si>
    <t xml:space="preserve">C11H10N2O2</t>
  </si>
  <si>
    <t xml:space="preserve">VASICINONE</t>
  </si>
  <si>
    <t xml:space="preserve">213014</t>
  </si>
  <si>
    <t xml:space="preserve">HMDB0259770</t>
  </si>
  <si>
    <t xml:space="preserve">10242</t>
  </si>
  <si>
    <t xml:space="preserve">OC1CCN2C1=NC1=CC=CC=C1C2=O</t>
  </si>
  <si>
    <t xml:space="preserve">SDIVYZXRQHWCKF-UHFFFAOYSA-N</t>
  </si>
  <si>
    <t xml:space="preserve">204.10468</t>
  </si>
  <si>
    <t xml:space="preserve">C9H19NO3S</t>
  </si>
  <si>
    <t xml:space="preserve">3-Cyclohexyl-1-propylsulfonic acid</t>
  </si>
  <si>
    <t xml:space="preserve">199905</t>
  </si>
  <si>
    <t xml:space="preserve">HMDB0244400</t>
  </si>
  <si>
    <t xml:space="preserve">342879</t>
  </si>
  <si>
    <t xml:space="preserve">70815</t>
  </si>
  <si>
    <t xml:space="preserve">OS(=O)(=O)CCCNC1CCCCC1</t>
  </si>
  <si>
    <t xml:space="preserve">PJWWRFATQTVXHA-UHFFFAOYSA-N</t>
  </si>
  <si>
    <t xml:space="preserve">Cyclohexylamines</t>
  </si>
  <si>
    <t xml:space="preserve">205.05768</t>
  </si>
  <si>
    <t xml:space="preserve">C3H6N2S</t>
  </si>
  <si>
    <t xml:space="preserve">Ethylene thiourea</t>
  </si>
  <si>
    <t xml:space="preserve">200613</t>
  </si>
  <si>
    <t xml:space="preserve">HMDB0245172</t>
  </si>
  <si>
    <t xml:space="preserve">70029</t>
  </si>
  <si>
    <t xml:space="preserve">C14398</t>
  </si>
  <si>
    <t xml:space="preserve">7300</t>
  </si>
  <si>
    <t xml:space="preserve">96-45-7</t>
  </si>
  <si>
    <t xml:space="preserve">SC1=NCCN1</t>
  </si>
  <si>
    <t xml:space="preserve">PDQAZBWRQCGBEV-UHFFFAOYSA-N</t>
  </si>
  <si>
    <t xml:space="preserve">208.06561</t>
  </si>
  <si>
    <t xml:space="preserve">C7H15NO5S</t>
  </si>
  <si>
    <t xml:space="preserve">2-Hydroxy-3-morpholinopropanesulfonic Acid</t>
  </si>
  <si>
    <t xml:space="preserve">208939</t>
  </si>
  <si>
    <t xml:space="preserve">HMDB0254881</t>
  </si>
  <si>
    <t xml:space="preserve">109333</t>
  </si>
  <si>
    <t xml:space="preserve">OC(CN1CCOCC1)CS(O)(=O)=O</t>
  </si>
  <si>
    <t xml:space="preserve">NUFBIAUZAMHTSP-UHFFFAOYSA-N</t>
  </si>
  <si>
    <t xml:space="preserve">208.11815</t>
  </si>
  <si>
    <t xml:space="preserve">C8H17NO5</t>
  </si>
  <si>
    <t xml:space="preserve">Miglitol</t>
  </si>
  <si>
    <t xml:space="preserve">52839</t>
  </si>
  <si>
    <t xml:space="preserve">HMDB0014634</t>
  </si>
  <si>
    <t xml:space="preserve">43885</t>
  </si>
  <si>
    <t xml:space="preserve">C07708</t>
  </si>
  <si>
    <t xml:space="preserve">545681</t>
  </si>
  <si>
    <t xml:space="preserve">441314</t>
  </si>
  <si>
    <t xml:space="preserve">72432-03-2</t>
  </si>
  <si>
    <t xml:space="preserve">OCCN1C[C@H](O)[C@@H](O)[C@H](O)[C@H]1CO</t>
  </si>
  <si>
    <t xml:space="preserve">IBAQFPQHRJAVAV-ULAWRXDQSA-N</t>
  </si>
  <si>
    <t xml:space="preserve">208.97278</t>
  </si>
  <si>
    <t xml:space="preserve">C8H7ClO2</t>
  </si>
  <si>
    <t xml:space="preserve">4-Chlorophenylacetic acid</t>
  </si>
  <si>
    <t xml:space="preserve">201744</t>
  </si>
  <si>
    <t xml:space="preserve">HMDB0246401</t>
  </si>
  <si>
    <t xml:space="preserve">64744</t>
  </si>
  <si>
    <t xml:space="preserve">C03077</t>
  </si>
  <si>
    <t xml:space="preserve">30749</t>
  </si>
  <si>
    <t xml:space="preserve">15880</t>
  </si>
  <si>
    <t xml:space="preserve">1878-66-6</t>
  </si>
  <si>
    <t xml:space="preserve">OC(=O)CC1=CC=C(Cl)C=C1</t>
  </si>
  <si>
    <t xml:space="preserve">CDPKJZJVTHSESZ-UHFFFAOYSA-N</t>
  </si>
  <si>
    <t xml:space="preserve">209.95936</t>
  </si>
  <si>
    <t xml:space="preserve">C6H3Cl2N3</t>
  </si>
  <si>
    <t xml:space="preserve">5,7-Dichloropyrazolo[1,5-a]pyrimidine</t>
  </si>
  <si>
    <t xml:space="preserve">202181</t>
  </si>
  <si>
    <t xml:space="preserve">HMDB0246869</t>
  </si>
  <si>
    <t xml:space="preserve">11074154</t>
  </si>
  <si>
    <t xml:space="preserve">ClC1=NC2=CC=NN2C(Cl)=C1</t>
  </si>
  <si>
    <t xml:space="preserve">JMTFWCYVZOFHLR-UHFFFAOYSA-N</t>
  </si>
  <si>
    <t xml:space="preserve">Pyrazolopyrimidines</t>
  </si>
  <si>
    <t xml:space="preserve">Pyrazolo[1,5-a]pyrimidines</t>
  </si>
  <si>
    <t xml:space="preserve">210.06966</t>
  </si>
  <si>
    <t xml:space="preserve">C11H12ClNO</t>
  </si>
  <si>
    <t xml:space="preserve">4-(4-Chlorophenyl)-3-methyl-3-buten-2-one oxime</t>
  </si>
  <si>
    <t xml:space="preserve">203581</t>
  </si>
  <si>
    <t xml:space="preserve">HMDB0248500</t>
  </si>
  <si>
    <t xml:space="preserve">2825138</t>
  </si>
  <si>
    <t xml:space="preserve">CC(=CC1=CC=C(Cl)C=C1)C(C)=NO</t>
  </si>
  <si>
    <t xml:space="preserve">MHTJEUOFLVQMCL-UHFFFAOYSA-N</t>
  </si>
  <si>
    <t xml:space="preserve">210.09903</t>
  </si>
  <si>
    <t xml:space="preserve">C8H11N5O2</t>
  </si>
  <si>
    <t xml:space="preserve">Desciclovir</t>
  </si>
  <si>
    <t xml:space="preserve">205701</t>
  </si>
  <si>
    <t xml:space="preserve">HMDB0251033</t>
  </si>
  <si>
    <t xml:space="preserve">55256</t>
  </si>
  <si>
    <t xml:space="preserve">NC1=NC=C2N=CN(COCCO)C2=N1</t>
  </si>
  <si>
    <t xml:space="preserve">OKQHSIGMOWQUIK-UHFFFAOYSA-N</t>
  </si>
  <si>
    <t xml:space="preserve">211.05985</t>
  </si>
  <si>
    <t xml:space="preserve">C10H10O5</t>
  </si>
  <si>
    <t xml:space="preserve">5-Hydroxyferulic acid</t>
  </si>
  <si>
    <t xml:space="preserve">59351</t>
  </si>
  <si>
    <t xml:space="preserve">HMDB0035484</t>
  </si>
  <si>
    <t xml:space="preserve">C05619</t>
  </si>
  <si>
    <t xml:space="preserve">2069</t>
  </si>
  <si>
    <t xml:space="preserve">446834</t>
  </si>
  <si>
    <t xml:space="preserve">1782-55-4</t>
  </si>
  <si>
    <t xml:space="preserve">COC1=C(O)C(O)=CC(\C=C\C(O)=O)=C1</t>
  </si>
  <si>
    <t xml:space="preserve">YFXWTVLDSKSYLW-NSCUHMNNSA-N</t>
  </si>
  <si>
    <t xml:space="preserve">215.05264</t>
  </si>
  <si>
    <t xml:space="preserve">C7H12O6</t>
  </si>
  <si>
    <t xml:space="preserve">Quinic acid</t>
  </si>
  <si>
    <t xml:space="preserve">48024</t>
  </si>
  <si>
    <t xml:space="preserve">HMDB0003072</t>
  </si>
  <si>
    <t xml:space="preserve">C00296</t>
  </si>
  <si>
    <t xml:space="preserve">17521</t>
  </si>
  <si>
    <t xml:space="preserve">6508</t>
  </si>
  <si>
    <t xml:space="preserve">77-95-2</t>
  </si>
  <si>
    <t xml:space="preserve">O[C@@H]1C[C@@](O)(C[C@@H](O)[C@H]1O)C(O)=O</t>
  </si>
  <si>
    <t xml:space="preserve">AAWZDTNXLSGCEK-WYWMIBKRSA-N</t>
  </si>
  <si>
    <t xml:space="preserve">222.98896</t>
  </si>
  <si>
    <t xml:space="preserve">C9H9ClO2</t>
  </si>
  <si>
    <t xml:space="preserve">Benzyl chloroacetate</t>
  </si>
  <si>
    <t xml:space="preserve">204089</t>
  </si>
  <si>
    <t xml:space="preserve">HMDB0249069</t>
  </si>
  <si>
    <t xml:space="preserve">336141</t>
  </si>
  <si>
    <t xml:space="preserve">8786</t>
  </si>
  <si>
    <t xml:space="preserve">ClCC(=O)OCC1=CC=CC=C1</t>
  </si>
  <si>
    <t xml:space="preserve">SOGXBRHOWDEKQB-UHFFFAOYSA-N</t>
  </si>
  <si>
    <t xml:space="preserve">223.97290</t>
  </si>
  <si>
    <t xml:space="preserve">C3H8NO6P</t>
  </si>
  <si>
    <t xml:space="preserve">Phosphoserine</t>
  </si>
  <si>
    <t xml:space="preserve">46968</t>
  </si>
  <si>
    <t xml:space="preserve">HMDB0000272</t>
  </si>
  <si>
    <t xml:space="preserve">297</t>
  </si>
  <si>
    <t xml:space="preserve">C01005</t>
  </si>
  <si>
    <t xml:space="preserve">15811</t>
  </si>
  <si>
    <t xml:space="preserve">68841</t>
  </si>
  <si>
    <t xml:space="preserve">407-41-0</t>
  </si>
  <si>
    <t xml:space="preserve">N[C@@H](COP(O)(O)=O)C(O)=O</t>
  </si>
  <si>
    <t xml:space="preserve">BZQFBWGGLXLEPQ-REOHCLBHSA-N</t>
  </si>
  <si>
    <t xml:space="preserve">226.06901</t>
  </si>
  <si>
    <t xml:space="preserve">C10H11NO5</t>
  </si>
  <si>
    <t xml:space="preserve">4-amino-4-deoxychorismate</t>
  </si>
  <si>
    <t xml:space="preserve">256993</t>
  </si>
  <si>
    <t xml:space="preserve">HMDB0304170</t>
  </si>
  <si>
    <t xml:space="preserve">3363</t>
  </si>
  <si>
    <t xml:space="preserve">C11355</t>
  </si>
  <si>
    <t xml:space="preserve">18198</t>
  </si>
  <si>
    <t xml:space="preserve">443142</t>
  </si>
  <si>
    <t xml:space="preserve">133442-18-9</t>
  </si>
  <si>
    <t xml:space="preserve">N[C@@H]1C=CC(=C[C@H]1OC(=C)C(O)=O)C(O)=O</t>
  </si>
  <si>
    <t xml:space="preserve">OIUJHGOLFKDBSU-HTQZYQBOSA-N</t>
  </si>
  <si>
    <t xml:space="preserve">229.12289</t>
  </si>
  <si>
    <t xml:space="preserve">C15H18O3</t>
  </si>
  <si>
    <t xml:space="preserve">Zedoarol; Loxoprofen</t>
  </si>
  <si>
    <t xml:space="preserve">61630; 64934</t>
  </si>
  <si>
    <t xml:space="preserve">HMDB0038202; HMDB0041920</t>
  </si>
  <si>
    <t xml:space="preserve">; 1039</t>
  </si>
  <si>
    <t xml:space="preserve">C17490; D08149</t>
  </si>
  <si>
    <t xml:space="preserve">; 76172</t>
  </si>
  <si>
    <t xml:space="preserve">75144776; 3965</t>
  </si>
  <si>
    <t xml:space="preserve">103994-22-5; 80382-23-6</t>
  </si>
  <si>
    <t xml:space="preserve">CC1CCC2C(=C)CC3=C(C(C)=CO3)C(=O)C12O; CC(C(O)=O)C1=CC=C(CC2CCCC2=O)C=C1</t>
  </si>
  <si>
    <t xml:space="preserve">CKDRPCYJCDMPFO-UHFFFAOYSA-N; YMBXTVYHTMGZDW-UHFFFAOYSA-N</t>
  </si>
  <si>
    <t xml:space="preserve">Prenol lipids; Phenylpropanoic acids</t>
  </si>
  <si>
    <t xml:space="preserve">Sesquiterpenoids; Unclassified</t>
  </si>
  <si>
    <t xml:space="preserve">230.03135</t>
  </si>
  <si>
    <t xml:space="preserve">C9H9N3O2</t>
  </si>
  <si>
    <t xml:space="preserve">Carbendazim</t>
  </si>
  <si>
    <t xml:space="preserve">56240</t>
  </si>
  <si>
    <t xml:space="preserve">HMDB0031769</t>
  </si>
  <si>
    <t xml:space="preserve">68667</t>
  </si>
  <si>
    <t xml:space="preserve">C10897</t>
  </si>
  <si>
    <t xml:space="preserve">3392</t>
  </si>
  <si>
    <t xml:space="preserve">25429</t>
  </si>
  <si>
    <t xml:space="preserve">10605-21-7</t>
  </si>
  <si>
    <t xml:space="preserve">COC(=O)NC1=NC2=CC=CC=C2N1</t>
  </si>
  <si>
    <t xml:space="preserve">TWFZGCMQGLPBSX-UHFFFAOYSA-N</t>
  </si>
  <si>
    <t xml:space="preserve">231.10437</t>
  </si>
  <si>
    <t xml:space="preserve">C14H16O4</t>
  </si>
  <si>
    <t xml:space="preserve">Mycorradicin; Prenyl cis-caffeate</t>
  </si>
  <si>
    <t xml:space="preserve">255025; 64246</t>
  </si>
  <si>
    <t xml:space="preserve">HMDB0302033; HMDB0041140</t>
  </si>
  <si>
    <t xml:space="preserve">; 68358</t>
  </si>
  <si>
    <t xml:space="preserve">C20426; C10487</t>
  </si>
  <si>
    <t xml:space="preserve">; 8393</t>
  </si>
  <si>
    <t xml:space="preserve">6444309; 5281790</t>
  </si>
  <si>
    <t xml:space="preserve">; 118971-61-2</t>
  </si>
  <si>
    <t xml:space="preserve">C\C(\C=C\C(O)=O)=C/C=C/C=C(\C)/C=C/C(O)=O; CC(C)=CCOC(=O)\C=C\C1=CC=C(O)C(O)=C1</t>
  </si>
  <si>
    <t xml:space="preserve">UXBCAWHJMZPSBQ-HBPHNZTASA-N; TTYOHMFLCXENHR-GQCTYLIASA-N</t>
  </si>
  <si>
    <t xml:space="preserve">Fatty Acyls; Cinnamic acids and derivatives</t>
  </si>
  <si>
    <t xml:space="preserve">Fatty acids and conjugates; Hydroxycinnamic acids and derivatives</t>
  </si>
  <si>
    <t xml:space="preserve">232.04273</t>
  </si>
  <si>
    <t xml:space="preserve">C7H15NO3S</t>
  </si>
  <si>
    <t xml:space="preserve">S-Butylcysteine sulfoxide</t>
  </si>
  <si>
    <t xml:space="preserve">255158</t>
  </si>
  <si>
    <t xml:space="preserve">HMDB0302178</t>
  </si>
  <si>
    <t xml:space="preserve">636439</t>
  </si>
  <si>
    <t xml:space="preserve">CCCCS(=O)C[C@H](N)C(O)=O</t>
  </si>
  <si>
    <t xml:space="preserve">CBFHOPPJBYHALQ-RLWMBFFFSA-N</t>
  </si>
  <si>
    <t xml:space="preserve">233.08091</t>
  </si>
  <si>
    <t xml:space="preserve">C13H14O5</t>
  </si>
  <si>
    <t xml:space="preserve">Citrinin</t>
  </si>
  <si>
    <t xml:space="preserve">64891</t>
  </si>
  <si>
    <t xml:space="preserve">HMDB0041857</t>
  </si>
  <si>
    <t xml:space="preserve">C16765</t>
  </si>
  <si>
    <t xml:space="preserve">48707</t>
  </si>
  <si>
    <t xml:space="preserve">518-75-2</t>
  </si>
  <si>
    <t xml:space="preserve">[H][C@]1(C)OC=C2C(O)=C(C(O)=O)C(=O)C(C)=C2[C@]1([H])C</t>
  </si>
  <si>
    <t xml:space="preserve">CQIUKKVOEOPUDV-IYSWYEEDSA-N</t>
  </si>
  <si>
    <t xml:space="preserve">234.02804</t>
  </si>
  <si>
    <t xml:space="preserve">C6H10N3O6P</t>
  </si>
  <si>
    <t xml:space="preserve">Metronidazole phosphate</t>
  </si>
  <si>
    <t xml:space="preserve">208773</t>
  </si>
  <si>
    <t xml:space="preserve">HMDB0254689</t>
  </si>
  <si>
    <t xml:space="preserve">51794</t>
  </si>
  <si>
    <t xml:space="preserve">CC1=NC=C(N1CCOP(O)(O)=O)[N+]([O-])=O</t>
  </si>
  <si>
    <t xml:space="preserve">GFFOAZOYBIIJHI-UHFFFAOYSA-N</t>
  </si>
  <si>
    <t xml:space="preserve">242.10390</t>
  </si>
  <si>
    <t xml:space="preserve">C12H11N5O</t>
  </si>
  <si>
    <t xml:space="preserve">9H-Purin-6-ol, 2-((phenylmethyl)amino)-; o6-Benzylguanine; Peldesine</t>
  </si>
  <si>
    <t xml:space="preserve">202267; 209799; 210085</t>
  </si>
  <si>
    <t xml:space="preserve">HMDB0246978; HMDB0255878; HMDB0256208</t>
  </si>
  <si>
    <t xml:space="preserve">; 448971; 419846</t>
  </si>
  <si>
    <t xml:space="preserve">5271885; 4578; 135413525</t>
  </si>
  <si>
    <t xml:space="preserve">O=C1NC(NCC2=CC=CC=C2)=NC2=C1NC=N2; N=C1NC2=C(N=CN2)C(OCC2=CC=CC=C2)=N1; NC1=NC(=O)C2=C(N1)C(CC1=CN=CC=C1)=CN2</t>
  </si>
  <si>
    <t xml:space="preserve">XWNJMSJGJFSGRY-UHFFFAOYSA-N; KRWMERLEINMZFT-UHFFFAOYSA-N; DOHVAKFYAHLCJP-UHFFFAOYSA-N</t>
  </si>
  <si>
    <t xml:space="preserve">Imidazopyrimidines; Imidazopyrimidines; Pyrrolopyrimidines</t>
  </si>
  <si>
    <t xml:space="preserve">Purines and purine derivatives; Purines and purine derivatives; Unclassified</t>
  </si>
  <si>
    <t xml:space="preserve">243.10736</t>
  </si>
  <si>
    <t xml:space="preserve">C9H16N4O5</t>
  </si>
  <si>
    <t xml:space="preserve">Asparaginylglutamine</t>
  </si>
  <si>
    <t xml:space="preserve">53768</t>
  </si>
  <si>
    <t xml:space="preserve">HMDB0028729</t>
  </si>
  <si>
    <t xml:space="preserve">23656</t>
  </si>
  <si>
    <t xml:space="preserve">73421</t>
  </si>
  <si>
    <t xml:space="preserve">446922</t>
  </si>
  <si>
    <t xml:space="preserve">14608-83-4</t>
  </si>
  <si>
    <t xml:space="preserve">N[C@@H](CC(N)=O)C(=O)N[C@@H](CCC(N)=O)C(O)=O</t>
  </si>
  <si>
    <t xml:space="preserve">QCWJKJLNCFEVPQ-WHFBIAKZSA-N</t>
  </si>
  <si>
    <t xml:space="preserve">244.09756</t>
  </si>
  <si>
    <t xml:space="preserve">C10H15N5</t>
  </si>
  <si>
    <t xml:space="preserve">Phenformin</t>
  </si>
  <si>
    <t xml:space="preserve">53176</t>
  </si>
  <si>
    <t xml:space="preserve">HMDB0015050</t>
  </si>
  <si>
    <t xml:space="preserve">66713</t>
  </si>
  <si>
    <t xml:space="preserve">C07673</t>
  </si>
  <si>
    <t xml:space="preserve">8064</t>
  </si>
  <si>
    <t xml:space="preserve">8249</t>
  </si>
  <si>
    <t xml:space="preserve">114-86-3</t>
  </si>
  <si>
    <t xml:space="preserve">NC(=N)NC(=N)NCCC1=CC=CC=C1</t>
  </si>
  <si>
    <t xml:space="preserve">ICFJFFQQTFMIBG-UHFFFAOYSA-N</t>
  </si>
  <si>
    <t xml:space="preserve">Guanidines</t>
  </si>
  <si>
    <t xml:space="preserve">245.05349</t>
  </si>
  <si>
    <t xml:space="preserve">C7H14N2O5</t>
  </si>
  <si>
    <t xml:space="preserve">Serylthreonine; Threonylserine; (2S)-2-Amino-3-[(2S,3R)-2-amino-3-hydroxybutanoyl]oxypropanoic acid</t>
  </si>
  <si>
    <t xml:space="preserve">54060; 54081; 211227</t>
  </si>
  <si>
    <t xml:space="preserve">HMDB0029049; HMDB0029070; HMDB0257561</t>
  </si>
  <si>
    <t xml:space="preserve">; 23808; </t>
  </si>
  <si>
    <t xml:space="preserve">141393; 73664; </t>
  </si>
  <si>
    <t xml:space="preserve">54027404; 7016064; </t>
  </si>
  <si>
    <t xml:space="preserve">61043-85-4; 61043-86-5; </t>
  </si>
  <si>
    <t xml:space="preserve">C[C@@H](O)[C@H](NC(=O)[C@@H](N)CO)C(O)=O; C[C@@H](O)[C@H](N)C(=O)N[C@@H](CO)C(O)=O; CC(O)C(N)C(=O)OCC(N)C(O)=O</t>
  </si>
  <si>
    <t xml:space="preserve">LDEBVRIURYMKQS-WISUUJSJSA-N; GXDLGHLJTHMDII-WISUUJSJSA-N; HYSIMHWTLUDZPY-UHFFFAOYSA-N</t>
  </si>
  <si>
    <t xml:space="preserve">245.11263</t>
  </si>
  <si>
    <t xml:space="preserve">C10H18N2O6</t>
  </si>
  <si>
    <t xml:space="preserve">Nopalinic acid</t>
  </si>
  <si>
    <t xml:space="preserve">54395</t>
  </si>
  <si>
    <t xml:space="preserve">HMDB0029437</t>
  </si>
  <si>
    <t xml:space="preserve">65631</t>
  </si>
  <si>
    <t xml:space="preserve">C01683</t>
  </si>
  <si>
    <t xml:space="preserve">133921</t>
  </si>
  <si>
    <t xml:space="preserve">4474580</t>
  </si>
  <si>
    <t xml:space="preserve">63409-16-5</t>
  </si>
  <si>
    <t xml:space="preserve">NCCCC(NC(CCC(O)=O)C(O)=O)C(O)=O</t>
  </si>
  <si>
    <t xml:space="preserve">UXZAXFPFSQRZOZ-UHFFFAOYSA-N</t>
  </si>
  <si>
    <t xml:space="preserve">247.01991</t>
  </si>
  <si>
    <t xml:space="preserve">C7H6N2O8</t>
  </si>
  <si>
    <t xml:space="preserve">urea citrate</t>
  </si>
  <si>
    <t xml:space="preserve">212970</t>
  </si>
  <si>
    <t xml:space="preserve">HMDB0259715</t>
  </si>
  <si>
    <t xml:space="preserve">129638541</t>
  </si>
  <si>
    <t xml:space="preserve">OC12CC(=O)ON(OC1=O)C(=O)NOC(=O)C2</t>
  </si>
  <si>
    <t xml:space="preserve">DZIYQKGGZRPROI-UHFFFAOYSA-N</t>
  </si>
  <si>
    <t xml:space="preserve">248.04106</t>
  </si>
  <si>
    <t xml:space="preserve">C11H12ClNO2</t>
  </si>
  <si>
    <t xml:space="preserve">4-(4-(Chloromethyl)phenyl)morpholin-3-one</t>
  </si>
  <si>
    <t xml:space="preserve">213220</t>
  </si>
  <si>
    <t xml:space="preserve">HMDB0260013</t>
  </si>
  <si>
    <t xml:space="preserve">53417739</t>
  </si>
  <si>
    <t xml:space="preserve">ClCC1=CC=C(C=C1)N1CCOCC1=O</t>
  </si>
  <si>
    <t xml:space="preserve">WBSSDSSXNMRUOJ-UHFFFAOYSA-N</t>
  </si>
  <si>
    <t xml:space="preserve">249.06838</t>
  </si>
  <si>
    <t xml:space="preserve">C15H14O</t>
  </si>
  <si>
    <t xml:space="preserve">Lactaroviolin</t>
  </si>
  <si>
    <t xml:space="preserve">59717</t>
  </si>
  <si>
    <t xml:space="preserve">HMDB0035896</t>
  </si>
  <si>
    <t xml:space="preserve">67890</t>
  </si>
  <si>
    <t xml:space="preserve">C09696</t>
  </si>
  <si>
    <t xml:space="preserve">6350</t>
  </si>
  <si>
    <t xml:space="preserve">123595</t>
  </si>
  <si>
    <t xml:space="preserve">85-33-6</t>
  </si>
  <si>
    <t xml:space="preserve">CC(=C)C1=CC2=C(C=O)C=CC2=C(C)C=C1</t>
  </si>
  <si>
    <t xml:space="preserve">PUEUPUYRYIOTKZ-UHFFFAOYSA-N</t>
  </si>
  <si>
    <t xml:space="preserve">250.00884</t>
  </si>
  <si>
    <t xml:space="preserve">C13H9NS</t>
  </si>
  <si>
    <t xml:space="preserve">Benzo[d][2,1]benzothiazepine</t>
  </si>
  <si>
    <t xml:space="preserve">211721</t>
  </si>
  <si>
    <t xml:space="preserve">HMDB0258137</t>
  </si>
  <si>
    <t xml:space="preserve">22145432</t>
  </si>
  <si>
    <t xml:space="preserve">S1C=C2C=CC=CC2=C2C=CC=CC2=N1</t>
  </si>
  <si>
    <t xml:space="preserve">RCZNTCRHZYKQIC-UHFFFAOYSA-N</t>
  </si>
  <si>
    <t xml:space="preserve">253.12132</t>
  </si>
  <si>
    <t xml:space="preserve">C9H20N2O4S</t>
  </si>
  <si>
    <t xml:space="preserve">Hepps</t>
  </si>
  <si>
    <t xml:space="preserve">207475</t>
  </si>
  <si>
    <t xml:space="preserve">HMDB0253090</t>
  </si>
  <si>
    <t xml:space="preserve">358980</t>
  </si>
  <si>
    <t xml:space="preserve">42298</t>
  </si>
  <si>
    <t xml:space="preserve">85255</t>
  </si>
  <si>
    <t xml:space="preserve">OCCN1CCN(CCCS(O)(=O)=O)CC1</t>
  </si>
  <si>
    <t xml:space="preserve">OWXMKDGYPWMGEB-UHFFFAOYSA-N</t>
  </si>
  <si>
    <t xml:space="preserve">255.06453</t>
  </si>
  <si>
    <t xml:space="preserve">C15H11O4</t>
  </si>
  <si>
    <t xml:space="preserve">Apigenidin</t>
  </si>
  <si>
    <t xml:space="preserve">255964</t>
  </si>
  <si>
    <t xml:space="preserve">HMDB0303074</t>
  </si>
  <si>
    <t xml:space="preserve">C08574</t>
  </si>
  <si>
    <t xml:space="preserve">2772</t>
  </si>
  <si>
    <t xml:space="preserve">441647</t>
  </si>
  <si>
    <t xml:space="preserve">OC1=CC=C(C=C1)C1=[O+]C2=C(C=C1)C(O)=CC(O)=C2</t>
  </si>
  <si>
    <t xml:space="preserve">ZKMZBAABQFUXFE-UHFFFAOYSA-O</t>
  </si>
  <si>
    <t xml:space="preserve">Hydroxyflavonoids</t>
  </si>
  <si>
    <t xml:space="preserve">255.13598</t>
  </si>
  <si>
    <t xml:space="preserve">C15H20O2</t>
  </si>
  <si>
    <t xml:space="preserve">Alantolactone; Isoalantolactone; Costunolide</t>
  </si>
  <si>
    <t xml:space="preserve">59726; 59749; 60366</t>
  </si>
  <si>
    <t xml:space="preserve">HMDB0035906; HMDB0035934; HMDB0036688</t>
  </si>
  <si>
    <t xml:space="preserve">C09289; C09484; C09382</t>
  </si>
  <si>
    <t xml:space="preserve">2540; ; </t>
  </si>
  <si>
    <t xml:space="preserve">327378; 605266; 5367559</t>
  </si>
  <si>
    <t xml:space="preserve">546-43-0; 470-17-7; 553-21-9</t>
  </si>
  <si>
    <t xml:space="preserve">CC1CCCC2(C)CC3OC(=O)C(=C)C3C=C12; CC12CCCC(=C)C1CC1C(C2)OC(=O)C1=C; C\C1=C\CC\C(C)=C/C2OC(=O)C(=C)C2CC1</t>
  </si>
  <si>
    <t xml:space="preserve">PXOYOCNNSUAQNS-UHFFFAOYSA-N; CVUANYCQTOGILD-UHFFFAOYSA-N; HRYLQFBHBWLLLL-GYIATTAWSA-N</t>
  </si>
  <si>
    <t xml:space="preserve">Terpene lactones; Terpene lactones; Terpene lactones</t>
  </si>
  <si>
    <t xml:space="preserve">257.03935</t>
  </si>
  <si>
    <t xml:space="preserve">C9H8N2O7</t>
  </si>
  <si>
    <t xml:space="preserve">Bis(2,5-dioxopyrrolidin-1-yl) carbonate; Bis(2,5-dihydroxypyrrol-1-yl) carbonate</t>
  </si>
  <si>
    <t xml:space="preserve">202591; 213491</t>
  </si>
  <si>
    <t xml:space="preserve">HMDB0247347; HMDB0260371</t>
  </si>
  <si>
    <t xml:space="preserve">; 53830932</t>
  </si>
  <si>
    <t xml:space="preserve">O=C(ON1C(=O)CCC1=O)ON1C(=O)CCC1=O; OC1=CC=C(O)N1OC(=O)ON1C(O)=CC=C1O</t>
  </si>
  <si>
    <t xml:space="preserve">PFYXSUNOLOJMDX-UHFFFAOYSA-N; GCJMLPAIVSMUEG-UHFFFAOYSA-N</t>
  </si>
  <si>
    <t xml:space="preserve">Pyrrolidines; Pyrroles</t>
  </si>
  <si>
    <t xml:space="preserve">Pyrrolidones; Substituted pyrroles</t>
  </si>
  <si>
    <t xml:space="preserve">257.08066</t>
  </si>
  <si>
    <t xml:space="preserve">C15H12O4</t>
  </si>
  <si>
    <t xml:space="preserve">Pinocembrin; Liquiritigenin; Isoliquiritigenin</t>
  </si>
  <si>
    <t xml:space="preserve">34395; 34243; 33587</t>
  </si>
  <si>
    <t xml:space="preserve">HMDB0030808; HMDB0029519; HMDB0037316</t>
  </si>
  <si>
    <t xml:space="preserve">44418; 52551; 44115</t>
  </si>
  <si>
    <t xml:space="preserve">LMPK12140214; LMPK12140061; LMPK12120096</t>
  </si>
  <si>
    <t xml:space="preserve">C09827; C09762; C08650</t>
  </si>
  <si>
    <t xml:space="preserve">28157; 28777; 310312</t>
  </si>
  <si>
    <t xml:space="preserve">68071; 114829; 638278</t>
  </si>
  <si>
    <t xml:space="preserve">480-39-7; 578-86-9; 961-29-5</t>
  </si>
  <si>
    <t xml:space="preserve">C1(O)C=C2O[C@]([H])(C3C=CC=CC=3)CC(=O)C2=C(O)C=1; C1(O)C=C2O[C@]([H])(C3C=CC(O)=CC=3)CC(=O)C2=CC=1; C1(O)=CC=C(C(=O)/C=C/C2C=CC(O)=CC=2)C(O)=C1</t>
  </si>
  <si>
    <t xml:space="preserve">URFCJEUYXNAHFI-ZDUSSCGKSA-N; FURUXTVZLHCCNA-AWEZNQCLSA-N; DXDRHHKMWQZJHT-FPYGCLRLSA-N</t>
  </si>
  <si>
    <t xml:space="preserve">Flavonoids; Flavonoids; Linear 1,3-diarylpropanoids</t>
  </si>
  <si>
    <t xml:space="preserve">Flavans; Flavans; Chalcones and dihydrochalcones</t>
  </si>
  <si>
    <t xml:space="preserve">259.08552</t>
  </si>
  <si>
    <t xml:space="preserve">C9H14N4O3S</t>
  </si>
  <si>
    <t xml:space="preserve">Histidinyl-Cysteine; Cysteinyl-Histidine; Histidylcysteine</t>
  </si>
  <si>
    <t xml:space="preserve">257531; 53813; 53906</t>
  </si>
  <si>
    <t xml:space="preserve">HMDB0304780; HMDB0028777; HMDB0028882</t>
  </si>
  <si>
    <t xml:space="preserve">85788; ; 23651</t>
  </si>
  <si>
    <t xml:space="preserve">174374; ; </t>
  </si>
  <si>
    <t xml:space="preserve">21839149; 18218196; 15294281</t>
  </si>
  <si>
    <t xml:space="preserve">; ; 116833-93-3</t>
  </si>
  <si>
    <t xml:space="preserve">NC(CC1=CN=CN1)C(O)=NC(CS)C(O)=O; NC(CS)C(=O)NC(CC1=CN=CN1)C(O)=O; N[C@@H](CC1=CNC=N1)C(=O)N[C@@H](CS)C(O)=O</t>
  </si>
  <si>
    <t xml:space="preserve">MAJYPBAJPNUFPV-UHFFFAOYSA-N; LVNMAAGSAUGNIC-UHFFFAOYSA-N; MAJYPBAJPNUFPV-BQBZGAKWSA-N</t>
  </si>
  <si>
    <t xml:space="preserve">260.04214</t>
  </si>
  <si>
    <t xml:space="preserve">C6H13NO8S</t>
  </si>
  <si>
    <t xml:space="preserve">N-Sulfo-D-glucosamine; Glucosamine 6-sulfate</t>
  </si>
  <si>
    <t xml:space="preserve">47607; 47111</t>
  </si>
  <si>
    <t xml:space="preserve">HMDB0001481; HMDB0000592</t>
  </si>
  <si>
    <t xml:space="preserve">6267; 5571</t>
  </si>
  <si>
    <t xml:space="preserve">C01075; C04132</t>
  </si>
  <si>
    <t xml:space="preserve">16702; 133343</t>
  </si>
  <si>
    <t xml:space="preserve">439388; 72361</t>
  </si>
  <si>
    <t xml:space="preserve">909257-48-3; 91674-26-9</t>
  </si>
  <si>
    <t xml:space="preserve">OC[C@H]1O[C@@H](O)[C@H](NS(O)(=O)=O)[C@@H](O)[C@@H]1O; N[C@H]1[C@H](O)O[C@H](COS(O)(=O)=O)[C@@H](O)[C@@H]1O</t>
  </si>
  <si>
    <t xml:space="preserve">PRDZVHCOEWJPOB-QZABAPFNSA-N; MTDHILKWIRSIHB-QZABAPFNSA-N</t>
  </si>
  <si>
    <t xml:space="preserve">261.09143</t>
  </si>
  <si>
    <t xml:space="preserve">C18H14O3</t>
  </si>
  <si>
    <t xml:space="preserve">Dihydrotanshinone; Methylenetanshinquinone; 1,2-Dihydrotanshinquinone</t>
  </si>
  <si>
    <t xml:space="preserve">205961; 208731; 199604</t>
  </si>
  <si>
    <t xml:space="preserve">HMDB0251332; HMDB0254643; HMDB0244078</t>
  </si>
  <si>
    <t xml:space="preserve">85014; ; </t>
  </si>
  <si>
    <t xml:space="preserve">5316743; 105118; 105119</t>
  </si>
  <si>
    <t xml:space="preserve">87205-99-0; ; </t>
  </si>
  <si>
    <t xml:space="preserve">CC1COC2=C1C(=O)C(=O)C1=C3C=CC=C(C)C3=CC=C21; CC1=COC2=C1C(=O)C(=O)C1=C3CCCC(=C)C3=CC=C21; CC1=COC2=C1C(=O)C(=O)C1=C2C=CC2=C1CCC=C2C</t>
  </si>
  <si>
    <t xml:space="preserve">HARGZZNYNSYSGJ-UHFFFAOYSA-N; QDFFAXSMLUUJSG-UHFFFAOYSA-N; OYOSADAKNZWZGA-UHFFFAOYSA-N</t>
  </si>
  <si>
    <t xml:space="preserve">Diterpenoids; Diterpenoids; Diterpenoids</t>
  </si>
  <si>
    <t xml:space="preserve">263.04383</t>
  </si>
  <si>
    <t xml:space="preserve">C9H11ClN2O5</t>
  </si>
  <si>
    <t xml:space="preserve">5-Chloro-2'-deoxyuridine</t>
  </si>
  <si>
    <t xml:space="preserve">204945</t>
  </si>
  <si>
    <t xml:space="preserve">HMDB0250110</t>
  </si>
  <si>
    <t xml:space="preserve">351382</t>
  </si>
  <si>
    <t xml:space="preserve">OCC1OC(CC1O)N1C=C(Cl)C(=O)NC1=O</t>
  </si>
  <si>
    <t xml:space="preserve">NJCXGFKPQSFZIB-UHFFFAOYSA-N</t>
  </si>
  <si>
    <t xml:space="preserve">266.16177</t>
  </si>
  <si>
    <t xml:space="preserve">C12H21N5O3</t>
  </si>
  <si>
    <t xml:space="preserve">Histidyllysine; Lysylhistidine; Cadralazine</t>
  </si>
  <si>
    <t xml:space="preserve">53914; 53974; 64884</t>
  </si>
  <si>
    <t xml:space="preserve">HMDB0028890; HMDB0028953; HMDB0041845</t>
  </si>
  <si>
    <t xml:space="preserve">23848; 85855; 96157</t>
  </si>
  <si>
    <t xml:space="preserve">74052; ; </t>
  </si>
  <si>
    <t xml:space="preserve">148224; 9857010; 2515</t>
  </si>
  <si>
    <t xml:space="preserve">37700-85-9; 35170-01-5; 64241-34-5</t>
  </si>
  <si>
    <t xml:space="preserve">NCCCC[C@H](NC(=O)[C@@H](N)CC1=CNC=N1)C(O)=O; NCCCC[C@H](N)C(=O)N[C@@H](CC1=CN=CN1)C(O)=O; CCOC(O)=NNC1=NN=C(C=C1)N(CC)CC(C)O</t>
  </si>
  <si>
    <t xml:space="preserve">CZVQSYNVUHAILZ-UWVGGRQHSA-N; IGRMTQMIDNDFAA-UWVGGRQHSA-N; QLTVVOATEHFXLT-UHFFFAOYSA-N</t>
  </si>
  <si>
    <t xml:space="preserve">Organic acids and derivatives; Organic acids and derivatives; Organic nitrogen compounds</t>
  </si>
  <si>
    <t xml:space="preserve">Carboxylic acids and derivatives; Carboxylic acids and derivatives; Organonitrogen compounds</t>
  </si>
  <si>
    <t xml:space="preserve">Amino acids, peptides, and analogues; Amino acids, peptides, and analogues; Amines</t>
  </si>
  <si>
    <t xml:space="preserve">268.10678</t>
  </si>
  <si>
    <t xml:space="preserve">C15H13N3O2</t>
  </si>
  <si>
    <t xml:space="preserve">Prinomide</t>
  </si>
  <si>
    <t xml:space="preserve">210577</t>
  </si>
  <si>
    <t xml:space="preserve">HMDB0256775</t>
  </si>
  <si>
    <t xml:space="preserve">68722</t>
  </si>
  <si>
    <t xml:space="preserve">C10958</t>
  </si>
  <si>
    <t xml:space="preserve">8415</t>
  </si>
  <si>
    <t xml:space="preserve">60352</t>
  </si>
  <si>
    <t xml:space="preserve">77639-66-8</t>
  </si>
  <si>
    <t xml:space="preserve">CN1C=CC=C1C(=O)C(C#N)C(=O)NC1=CC=CC=C1</t>
  </si>
  <si>
    <t xml:space="preserve">KBQUAIAGRLAZGP-UHFFFAOYSA-N</t>
  </si>
  <si>
    <t xml:space="preserve">271.05956</t>
  </si>
  <si>
    <t xml:space="preserve">C15H11O5</t>
  </si>
  <si>
    <t xml:space="preserve">Luteolinidin; Pelargonidin</t>
  </si>
  <si>
    <t xml:space="preserve">54227; 28380</t>
  </si>
  <si>
    <t xml:space="preserve">HMDB0029249; HMDB0003263</t>
  </si>
  <si>
    <t xml:space="preserve">86126; 3399</t>
  </si>
  <si>
    <t xml:space="preserve">; LMPK12010003</t>
  </si>
  <si>
    <t xml:space="preserve">C08652; C05904</t>
  </si>
  <si>
    <t xml:space="preserve">6584; 25863</t>
  </si>
  <si>
    <t xml:space="preserve">441701; 440832</t>
  </si>
  <si>
    <t xml:space="preserve">1154-78-5; 7690-51-9</t>
  </si>
  <si>
    <t xml:space="preserve">OC1=CC2=[O+]C(=CC=C2C(O)=C1)C1=CC=C(O)C(O)=C1; C1(O)C=C2[O+]=C(C3=CC=C(O)C=C3)C(O)=CC2=C(O)C=1</t>
  </si>
  <si>
    <t xml:space="preserve">GDNIGMNXEKGFIP-UHFFFAOYSA-O; XVFMGWDSJLBXDZ-UHFFFAOYSA-O</t>
  </si>
  <si>
    <t xml:space="preserve">Hydroxyflavonoids; Hydroxyflavonoids</t>
  </si>
  <si>
    <t xml:space="preserve">271.13053</t>
  </si>
  <si>
    <t xml:space="preserve">C13H14N6O</t>
  </si>
  <si>
    <t xml:space="preserve">voxtalisib</t>
  </si>
  <si>
    <t xml:space="preserve">213099</t>
  </si>
  <si>
    <t xml:space="preserve">HMDB0259876</t>
  </si>
  <si>
    <t xml:space="preserve">CCN1C(=O)C(=CC2=C(C)N=C(N)N=C12)C1=CC=NN1</t>
  </si>
  <si>
    <t xml:space="preserve">RGHYDLZMTYDBDT-UHFFFAOYSA-N</t>
  </si>
  <si>
    <t xml:space="preserve">Pyrazolylpyridines</t>
  </si>
  <si>
    <t xml:space="preserve">272.16147</t>
  </si>
  <si>
    <t xml:space="preserve">C15H23NO2</t>
  </si>
  <si>
    <t xml:space="preserve">Alprenolol; N,O-Didesmethylvenlafaxine; O-Desmethyltramadol</t>
  </si>
  <si>
    <t xml:space="preserve">53137; 82710; 82835</t>
  </si>
  <si>
    <t xml:space="preserve">HMDB0015004; HMDB0060852; HMDB0060997</t>
  </si>
  <si>
    <t xml:space="preserve">44522; 3007; </t>
  </si>
  <si>
    <t xml:space="preserve">51211; 83529; </t>
  </si>
  <si>
    <t xml:space="preserve">2119; 3451347; 9838803</t>
  </si>
  <si>
    <t xml:space="preserve">13655-52-2; 135308-74-6; 144830-14-8</t>
  </si>
  <si>
    <t xml:space="preserve">CC(C)NCC(O)COC1=CC=CC=C1CC=C; CNCC(C1=CC=C(O)C=C1)C1(O)CCCCC1; CN(C)C[C@H]1CCCC[C@]1(O)C1=CC(O)=CC=C1</t>
  </si>
  <si>
    <t xml:space="preserve">PAZJSJFMUHDSTF-UHFFFAOYSA-N; MMSWXJSQCAEDLK-UHFFFAOYSA-N; UWJUQVWARXYRCG-HIFRSBDPSA-N</t>
  </si>
  <si>
    <t xml:space="preserve">Benzenoids; Organic oxygen compounds; Benzenoids</t>
  </si>
  <si>
    <t xml:space="preserve">Phenol ethers; Organooxygen compounds; Benzene and substituted derivatives</t>
  </si>
  <si>
    <t xml:space="preserve">Unclassified; Alcohols and polyols; Cyclohexylphenols</t>
  </si>
  <si>
    <t xml:space="preserve">273.08256</t>
  </si>
  <si>
    <t xml:space="preserve">C13H12N4OS</t>
  </si>
  <si>
    <t xml:space="preserve">Dendrodoine</t>
  </si>
  <si>
    <t xml:space="preserve">205672</t>
  </si>
  <si>
    <t xml:space="preserve">HMDB0250998</t>
  </si>
  <si>
    <t xml:space="preserve">126514</t>
  </si>
  <si>
    <t xml:space="preserve">CN(C)C1=NSC(=N1)C(=O)C1=CNC2=CC=CC=C12</t>
  </si>
  <si>
    <t xml:space="preserve">XXIZLPNTFMKYIO-UHFFFAOYSA-N</t>
  </si>
  <si>
    <t xml:space="preserve">275.05571</t>
  </si>
  <si>
    <t xml:space="preserve">C14H12O7</t>
  </si>
  <si>
    <t xml:space="preserve">Cordeauxione</t>
  </si>
  <si>
    <t xml:space="preserve">58355</t>
  </si>
  <si>
    <t xml:space="preserve">HMDB0034310</t>
  </si>
  <si>
    <t xml:space="preserve">1228-77-9</t>
  </si>
  <si>
    <t xml:space="preserve">COC1=C(O)C(O)=C2C(=O)C(C(C)=O)=C(C)C(O)=C2C1=O</t>
  </si>
  <si>
    <t xml:space="preserve">HHMBLIVHBTZFJR-UHFFFAOYSA-N</t>
  </si>
  <si>
    <t xml:space="preserve">Vinylogous acids</t>
  </si>
  <si>
    <t xml:space="preserve">276.05499</t>
  </si>
  <si>
    <t xml:space="preserve">C12H15Cl2NO2</t>
  </si>
  <si>
    <t xml:space="preserve">Chlorphenacil</t>
  </si>
  <si>
    <t xml:space="preserve">204966</t>
  </si>
  <si>
    <t xml:space="preserve">HMDB0250131</t>
  </si>
  <si>
    <t xml:space="preserve">637</t>
  </si>
  <si>
    <t xml:space="preserve">25306</t>
  </si>
  <si>
    <t xml:space="preserve">10477-72-2</t>
  </si>
  <si>
    <t xml:space="preserve">OC(=O)CC1=CC=C(C=C1)N(CCCl)CCCl</t>
  </si>
  <si>
    <t xml:space="preserve">RQAFMLCWWGDNLI-UHFFFAOYSA-N</t>
  </si>
  <si>
    <t xml:space="preserve">277.05885</t>
  </si>
  <si>
    <t xml:space="preserve">C11H14N2O4</t>
  </si>
  <si>
    <t xml:space="preserve">Felbamate</t>
  </si>
  <si>
    <t xml:space="preserve">53204</t>
  </si>
  <si>
    <t xml:space="preserve">HMDB0015084</t>
  </si>
  <si>
    <t xml:space="preserve">2654</t>
  </si>
  <si>
    <t xml:space="preserve">C07501</t>
  </si>
  <si>
    <t xml:space="preserve">4995</t>
  </si>
  <si>
    <t xml:space="preserve">3331</t>
  </si>
  <si>
    <t xml:space="preserve">25451-15-4</t>
  </si>
  <si>
    <t xml:space="preserve">NC(=O)OCC(COC(N)=O)C1=CC=CC=C1</t>
  </si>
  <si>
    <t xml:space="preserve">WKGXYQFOCVYPAC-UHFFFAOYSA-N</t>
  </si>
  <si>
    <t xml:space="preserve">277.10985</t>
  </si>
  <si>
    <t xml:space="preserve">C16H18N2</t>
  </si>
  <si>
    <t xml:space="preserve">Nomifensine; Metapramine; 4-(4-Aminophenyl)-5,6,7,8-tetrahydronaphthalen-1-amine</t>
  </si>
  <si>
    <t xml:space="preserve">209650; 208614; 211510</t>
  </si>
  <si>
    <t xml:space="preserve">HMDB0255702; HMDB0254506; HMDB0257898</t>
  </si>
  <si>
    <t xml:space="preserve">44345; ; </t>
  </si>
  <si>
    <t xml:space="preserve">116225; ; </t>
  </si>
  <si>
    <t xml:space="preserve">4528; ; 54391106</t>
  </si>
  <si>
    <t xml:space="preserve">32795-47-4; ; </t>
  </si>
  <si>
    <t xml:space="preserve">CN1CC(C2=CC=CC=C2)C2=C(C1)C(N)=CC=C2; CNC1CC2=CC=CC=C2N(C)C2=CC=CC=C12; NC1=CC=C(C=C1)C1=C2CCCCC2=C(N)C=C1</t>
  </si>
  <si>
    <t xml:space="preserve">XXPANQJNYNUNES-UHFFFAOYSA-N; YXVZOBVWVRFPTE-UHFFFAOYSA-N; VGRSZFFLBZRCLL-UHFFFAOYSA-N</t>
  </si>
  <si>
    <t xml:space="preserve">Tetrahydroisoquinolines; Benzazepines; Tetralins</t>
  </si>
  <si>
    <t xml:space="preserve">4-phenyltetrahydroisoquinolines; Dibenzazepines; Unclassified</t>
  </si>
  <si>
    <t xml:space="preserve">279.04935</t>
  </si>
  <si>
    <t xml:space="preserve">C13H12O8</t>
  </si>
  <si>
    <t xml:space="preserve">Caffeoylmalic acid; cis-Coutaric acid; 2-O-Feruloyltartronic acid</t>
  </si>
  <si>
    <t xml:space="preserve">54288; 58614; 57220</t>
  </si>
  <si>
    <t xml:space="preserve">HMDB0029318; HMDB0034620; HMDB0032957</t>
  </si>
  <si>
    <t xml:space="preserve">; 90083; 88856</t>
  </si>
  <si>
    <t xml:space="preserve">493262; ; 174811</t>
  </si>
  <si>
    <t xml:space="preserve">6124299; 69968525; 131751352</t>
  </si>
  <si>
    <t xml:space="preserve">53755-04-7; 67920-37-0; 95519-25-8</t>
  </si>
  <si>
    <t xml:space="preserve">OC(=O)CC(OC(=O)\C=C\C1=CC=C(O)C(O)=C1)C(O)=O; OC(C(OC(=O)\C=C/C1=CC=C(O)C=C1)C(O)=O)C(O)=O; COC1=C(O)C=CC(\C=C\C(=O)OC(C(O)=O)C(O)=O)=C1</t>
  </si>
  <si>
    <t xml:space="preserve">PMKQSEYPLQIEAY-DUXPYHPUSA-N; INYJZRKTYXTZHP-UTCJRWHESA-N; ZWXOJLRXYPVVQY-HWKANZROSA-N</t>
  </si>
  <si>
    <t xml:space="preserve">Cinnamic acids and derivatives; Cinnamic acids and derivatives; Cinnamic acids and derivatives</t>
  </si>
  <si>
    <t xml:space="preserve">Hydroxycinnamic acids and derivatives; Hydroxycinnamic acids and derivatives; Hydroxycinnamic acids and derivatives</t>
  </si>
  <si>
    <t xml:space="preserve">283.13299</t>
  </si>
  <si>
    <t xml:space="preserve">C18H20O4</t>
  </si>
  <si>
    <t xml:space="preserve">Myrigalone E; Myrigalon B; Myrigalone A</t>
  </si>
  <si>
    <t xml:space="preserve">33978; 33980; 34084</t>
  </si>
  <si>
    <t xml:space="preserve">HMDB0030755; HMDB0037246; HMDB0037245</t>
  </si>
  <si>
    <t xml:space="preserve">52291; 52293; 52396</t>
  </si>
  <si>
    <t xml:space="preserve">LMPK12120488; LMPK12120490; LMPK12120594</t>
  </si>
  <si>
    <t xml:space="preserve">15747330; 10086169; 11722329</t>
  </si>
  <si>
    <t xml:space="preserve">65349-37-3; 34328-55-7; 34328-57-9</t>
  </si>
  <si>
    <t xml:space="preserve">C1(OC)C=C(OC)C(C(=O)CCC2C=CC=CC=2)=C(O)C=1C; C1(OC)C(C)=C(O)C(C(=O)CCC2C=CC=CC=2)=C(O)C=1C; C1(=O)C(C)(C)C(=O)C(C(=O)CCC2C=CC=CC=2)C(=O)C1C</t>
  </si>
  <si>
    <t xml:space="preserve">ACLIVQJKNNTVHO-UHFFFAOYSA-N; SGSWJLOWQDDBPP-UHFFFAOYSA-N; CTSXBYQFSBUGKB-UHFFFAOYSA-N</t>
  </si>
  <si>
    <t xml:space="preserve">Phenylpropanoids and polyketides; Phenylpropanoids and polyketides; Lipids and lipid-like molecules</t>
  </si>
  <si>
    <t xml:space="preserve">Linear 1,3-diarylpropanoids; Linear 1,3-diarylpropanoids; Prenol lipids</t>
  </si>
  <si>
    <t xml:space="preserve">Chalcones and dihydrochalcones; Chalcones and dihydrochalcones; Monoterpenoids</t>
  </si>
  <si>
    <t xml:space="preserve">284.13520</t>
  </si>
  <si>
    <t xml:space="preserve">C11H17N5O4</t>
  </si>
  <si>
    <t xml:space="preserve">Glutaminylhistidine; Histidylglutamine; Histidinyl-Gamma-glutamate</t>
  </si>
  <si>
    <t xml:space="preserve">53835; 53907; 53923</t>
  </si>
  <si>
    <t xml:space="preserve">HMDB0028799; HMDB0028883; HMDB0028899</t>
  </si>
  <si>
    <t xml:space="preserve">85713; 23820; 85805</t>
  </si>
  <si>
    <t xml:space="preserve">; ; 169018</t>
  </si>
  <si>
    <t xml:space="preserve">9814348; 9900427; 131750770</t>
  </si>
  <si>
    <t xml:space="preserve">104018-08-8; 224638-13-5; </t>
  </si>
  <si>
    <t xml:space="preserve">[H][C@](N)(CCC(O)=N)C(O)=N[C@@]([H])(CC1=CN=CN1)C(O)=O; N[C@@H](CC1=CNC=N1)C(=O)N[C@@H](CCC(N)=O)C(O)=O; NC(CCC(=O)NC(=O)C(N)CC1=CN=CN1)C(O)=O</t>
  </si>
  <si>
    <t xml:space="preserve">JZOYFBPIEHCDFV-YUMQZZPRSA-N; CTCFZNBRZBNKAX-YUMQZZPRSA-N; PFZUBGMULASFDW-UHFFFAOYSA-N</t>
  </si>
  <si>
    <t xml:space="preserve">285.14483</t>
  </si>
  <si>
    <t xml:space="preserve">C14H16N6O</t>
  </si>
  <si>
    <t xml:space="preserve">Siguazodan</t>
  </si>
  <si>
    <t xml:space="preserve">211842</t>
  </si>
  <si>
    <t xml:space="preserve">HMDB0258290</t>
  </si>
  <si>
    <t xml:space="preserve">CN=C(NC#N)NC1=CC=C(C=C1)C1=NN=C(O)CC1C</t>
  </si>
  <si>
    <t xml:space="preserve">NUHPODZZKHQQET-UHFFFAOYSA-N</t>
  </si>
  <si>
    <t xml:space="preserve">285.18407</t>
  </si>
  <si>
    <t xml:space="preserve">C19H24O2</t>
  </si>
  <si>
    <t xml:space="preserve">Boldione</t>
  </si>
  <si>
    <t xml:space="preserve">48098</t>
  </si>
  <si>
    <t xml:space="preserve">HMDB0003422</t>
  </si>
  <si>
    <t xml:space="preserve">44529</t>
  </si>
  <si>
    <t xml:space="preserve">C20144</t>
  </si>
  <si>
    <t xml:space="preserve">40799</t>
  </si>
  <si>
    <t xml:space="preserve">13472</t>
  </si>
  <si>
    <t xml:space="preserve">897-06-3</t>
  </si>
  <si>
    <t xml:space="preserve">[H][C@@]12CCC(=O)[C@@]1(C)CC[C@@]1([H])[C@@]2([H])CCC2=CC(=O)C=C[C@]12C</t>
  </si>
  <si>
    <t xml:space="preserve">LUJVUUWNAPIQQI-QAGGRKNESA-N</t>
  </si>
  <si>
    <t xml:space="preserve">286.09385</t>
  </si>
  <si>
    <t xml:space="preserve">C10H12FN5O4</t>
  </si>
  <si>
    <t xml:space="preserve">arabinosyl-2-fluoroadenine; 2-Fluoroadenosine</t>
  </si>
  <si>
    <t xml:space="preserve">203627; 200572</t>
  </si>
  <si>
    <t xml:space="preserve">HMDB0248556; HMDB0245130</t>
  </si>
  <si>
    <t xml:space="preserve">; 3367</t>
  </si>
  <si>
    <t xml:space="preserve">NC1=NC(F)=NC2=C1NC(=N2)C1OCC(O)C(O)C1O; NC1=NC(F)=NC2=C1N=CN2C1OC(CO)C(O)C1O</t>
  </si>
  <si>
    <t xml:space="preserve">LQJONUIZHVUVGO-UHFFFAOYSA-N; HBUBKKRHXORPQB-UHFFFAOYSA-N</t>
  </si>
  <si>
    <t xml:space="preserve">Organoheterocyclic compounds; Nucleosides, nucleotides, and analogues</t>
  </si>
  <si>
    <t xml:space="preserve">Imidazopyrimidines; Purine nucleosides</t>
  </si>
  <si>
    <t xml:space="preserve">Purines and purine derivatives; Unclassified</t>
  </si>
  <si>
    <t xml:space="preserve">287.15853</t>
  </si>
  <si>
    <t xml:space="preserve">C14H18N6O</t>
  </si>
  <si>
    <t xml:space="preserve">Abacavir</t>
  </si>
  <si>
    <t xml:space="preserve">53286</t>
  </si>
  <si>
    <t xml:space="preserve">HMDB0015182</t>
  </si>
  <si>
    <t xml:space="preserve">64828</t>
  </si>
  <si>
    <t xml:space="preserve">C07624</t>
  </si>
  <si>
    <t xml:space="preserve">421707</t>
  </si>
  <si>
    <t xml:space="preserve">441300</t>
  </si>
  <si>
    <t xml:space="preserve">136470-78-5</t>
  </si>
  <si>
    <t xml:space="preserve">NC1=NC2=C(N=CN2[C@@H]2C[C@H](CO)C=C2)C(NC2CC2)=N1</t>
  </si>
  <si>
    <t xml:space="preserve">MCGSCOLBFJQGHM-SCZZXKLOSA-N</t>
  </si>
  <si>
    <t xml:space="preserve">Cyclopentyl nucleosides</t>
  </si>
  <si>
    <t xml:space="preserve">289.13866</t>
  </si>
  <si>
    <t xml:space="preserve">C16H22N2O2S</t>
  </si>
  <si>
    <t xml:space="preserve">N-(6-Aminohexyl)-1-Naphthalenesulfonamide</t>
  </si>
  <si>
    <t xml:space="preserve">209056</t>
  </si>
  <si>
    <t xml:space="preserve">HMDB0255017</t>
  </si>
  <si>
    <t xml:space="preserve">4314</t>
  </si>
  <si>
    <t xml:space="preserve">NCCCCCCNS(=O)(=O)C1=CC=CC2=CC=CC=C12</t>
  </si>
  <si>
    <t xml:space="preserve">FVJRBJIENDRNBE-UHFFFAOYSA-N</t>
  </si>
  <si>
    <t xml:space="preserve">Naphthalene sulfonic acids and derivatives</t>
  </si>
  <si>
    <t xml:space="preserve">290.13331</t>
  </si>
  <si>
    <t xml:space="preserve">C15H21N3O2S</t>
  </si>
  <si>
    <t xml:space="preserve">Fabomotizole</t>
  </si>
  <si>
    <t xml:space="preserve">206671</t>
  </si>
  <si>
    <t xml:space="preserve">HMDB0252156</t>
  </si>
  <si>
    <t xml:space="preserve">441259</t>
  </si>
  <si>
    <t xml:space="preserve">9862937</t>
  </si>
  <si>
    <t xml:space="preserve">CCOC1=CC=C2NC(SCCN3CCOCC3)=NC2=C1</t>
  </si>
  <si>
    <t xml:space="preserve">WWNUCVSRRUDYPP-UHFFFAOYSA-N</t>
  </si>
  <si>
    <t xml:space="preserve">291.13818</t>
  </si>
  <si>
    <t xml:space="preserve">C20H18O2</t>
  </si>
  <si>
    <t xml:space="preserve">trans-3,4-Dihydro-3,4-dihydroxy-7,12-dimethylbenz[a]anthracene; trans-5,6-Dihydro-5,6-dihydroxy-7,12-dimethylbenz[a]anthracene</t>
  </si>
  <si>
    <t xml:space="preserve">82409; 82411</t>
  </si>
  <si>
    <t xml:space="preserve">HMDB0060517; HMDB0060519</t>
  </si>
  <si>
    <t xml:space="preserve">73184; 73262</t>
  </si>
  <si>
    <t xml:space="preserve">C19490; C19607</t>
  </si>
  <si>
    <t xml:space="preserve">82518; 82593</t>
  </si>
  <si>
    <t xml:space="preserve">156317; 12778780</t>
  </si>
  <si>
    <t xml:space="preserve">68162-13-0; 16644-15-8</t>
  </si>
  <si>
    <t xml:space="preserve">CC1=C2C=CC3=C(C=C[C@H](O)[C@H]3O)C2=C(C)C2=CC=CC=C12; CC1=C2[C@H](O)[C@@H](O)C3=CC=CC=C3C2=C(C)C2=CC=CC=C12</t>
  </si>
  <si>
    <t xml:space="preserve">YZIIKMBFHLJAFT-ICSRJNTNSA-N; SGVWCDYKBWRHKJ-PMACEKPBSA-N</t>
  </si>
  <si>
    <t xml:space="preserve">Phenanthrenes and derivatives; Phenanthrenes and derivatives</t>
  </si>
  <si>
    <t xml:space="preserve">Phenanthrols; Unclassified</t>
  </si>
  <si>
    <t xml:space="preserve">295.07341</t>
  </si>
  <si>
    <t xml:space="preserve">C16H16O3</t>
  </si>
  <si>
    <t xml:space="preserve">Xenognosin A</t>
  </si>
  <si>
    <t xml:space="preserve">54473</t>
  </si>
  <si>
    <t xml:space="preserve">HMDB0029539</t>
  </si>
  <si>
    <t xml:space="preserve">67151</t>
  </si>
  <si>
    <t xml:space="preserve">C08731</t>
  </si>
  <si>
    <t xml:space="preserve">714392</t>
  </si>
  <si>
    <t xml:space="preserve">5281296</t>
  </si>
  <si>
    <t xml:space="preserve">76907-79-4</t>
  </si>
  <si>
    <t xml:space="preserve">COC1=C(C\C=C\C2=CC=C(O)C=C2)C=CC(O)=C1</t>
  </si>
  <si>
    <t xml:space="preserve">LOHIEGDVOARVPJ-NSCUHMNNSA-N</t>
  </si>
  <si>
    <t xml:space="preserve">Cinnamylphenols</t>
  </si>
  <si>
    <t xml:space="preserve">295.22562</t>
  </si>
  <si>
    <t xml:space="preserve">C18H30O3</t>
  </si>
  <si>
    <t xml:space="preserve">5-Hexyl-2-furanoctanoic acid; 13-OxoODE; 9-OxoODE</t>
  </si>
  <si>
    <t xml:space="preserve">2618; 2976; 3228</t>
  </si>
  <si>
    <t xml:space="preserve">HMDB0112099; HMDB0004668; HMDB0004669</t>
  </si>
  <si>
    <t xml:space="preserve">74896; 36023; 35860</t>
  </si>
  <si>
    <t xml:space="preserve">LMFA01150001; LMFA02000016; LMFA02000274</t>
  </si>
  <si>
    <t xml:space="preserve">C13798; C14765; C14766</t>
  </si>
  <si>
    <t xml:space="preserve">34491; 68947; 72842</t>
  </si>
  <si>
    <t xml:space="preserve">395943; 6446027; 9839084</t>
  </si>
  <si>
    <t xml:space="preserve">; 54739-30-9; 54232-59-6</t>
  </si>
  <si>
    <t xml:space="preserve">C1C=C(CCCCCCCC(=O)O)OC=1CCCCCC; C(CCCCCCC/C=C\C=C\C(=O)CCCCC)(=O)O; OC(=O)CCCCCCCC(=O)/C=C/C=C\CCCCC</t>
  </si>
  <si>
    <t xml:space="preserve">SZNVIDWMWMWUCY-UHFFFAOYSA-N; JHXAZBBVQSRKJR-BSZOFBHHSA-N; LUZSWWYKKLTDHU-ZJHFMPGASA-N</t>
  </si>
  <si>
    <t xml:space="preserve">Fatty acids and conjugates; Lineolic acids and derivatives; Lineolic acids and derivatives</t>
  </si>
  <si>
    <t xml:space="preserve">296.07205</t>
  </si>
  <si>
    <t xml:space="preserve">C15H15NO2S</t>
  </si>
  <si>
    <t xml:space="preserve">Modafinil</t>
  </si>
  <si>
    <t xml:space="preserve">53038</t>
  </si>
  <si>
    <t xml:space="preserve">HMDB0014883</t>
  </si>
  <si>
    <t xml:space="preserve">44446</t>
  </si>
  <si>
    <t xml:space="preserve">77585</t>
  </si>
  <si>
    <t xml:space="preserve">4236</t>
  </si>
  <si>
    <t xml:space="preserve">68693-11-8</t>
  </si>
  <si>
    <t xml:space="preserve">NC(=O)CS(=O)C(C1=CC=CC=C1)C1=CC=CC=C1</t>
  </si>
  <si>
    <t xml:space="preserve">YFGHCGITMMYXAQ-UHFFFAOYSA-N</t>
  </si>
  <si>
    <t xml:space="preserve">297.14885</t>
  </si>
  <si>
    <t xml:space="preserve">C19H20O3</t>
  </si>
  <si>
    <t xml:space="preserve">5-[(4-Hydroxypheny)ethenyl]-2-(3-methyl-1-butenyl)-1,3-benzenediol; Parakmerin A; Cryptotanshinone</t>
  </si>
  <si>
    <t xml:space="preserve">55385; 58097; 59110</t>
  </si>
  <si>
    <t xml:space="preserve">HMDB0030599; HMDB0033950; HMDB0035220</t>
  </si>
  <si>
    <t xml:space="preserve">87087; 89637; 90535</t>
  </si>
  <si>
    <t xml:space="preserve">172526; 174823; </t>
  </si>
  <si>
    <t xml:space="preserve">131751056; 14213226; 496348</t>
  </si>
  <si>
    <t xml:space="preserve">; 119555-99-6; 35825-57-1</t>
  </si>
  <si>
    <t xml:space="preserve">CC(C)\C=C\C1=C(O)C=C(\C=C/C2=CC=C(O)C=C2)C=C1O; COC1=C(O)C=CC(=C1)C1OC2=C(C=C(\C=C\C)C=C2)C1C; CC1COC2=C1C(=O)C(=O)C1=C2C=CC2=C1CCCC2(C)C</t>
  </si>
  <si>
    <t xml:space="preserve">XTDKVQYWANHUFS-MZTCIMCMSA-N; FCFVMNGCSPIORZ-SNAWJCMRSA-N; GVKKJJOMQCNPGB-UHFFFAOYSA-N</t>
  </si>
  <si>
    <t xml:space="preserve">Stilbenes; 2-arylbenzofuran flavonoids; Prenol lipids</t>
  </si>
  <si>
    <t xml:space="preserve">Unclassified; Unclassified; Diterpenoids</t>
  </si>
  <si>
    <t xml:space="preserve">298.15177</t>
  </si>
  <si>
    <t xml:space="preserve">C15H21N3O2</t>
  </si>
  <si>
    <t xml:space="preserve">Physostigmine</t>
  </si>
  <si>
    <t xml:space="preserve">53231</t>
  </si>
  <si>
    <t xml:space="preserve">HMDB0015116</t>
  </si>
  <si>
    <t xml:space="preserve">1934</t>
  </si>
  <si>
    <t xml:space="preserve">C06535</t>
  </si>
  <si>
    <t xml:space="preserve">27953</t>
  </si>
  <si>
    <t xml:space="preserve">5983</t>
  </si>
  <si>
    <t xml:space="preserve">57-47-6</t>
  </si>
  <si>
    <t xml:space="preserve">[H][C@]12N(C)CC[C@@]1(C)C1=C(C=CC(OC(=O)NC)=C1)N2C</t>
  </si>
  <si>
    <t xml:space="preserve">PIJVFDBKTWXHHD-HIFRSBDPSA-N</t>
  </si>
  <si>
    <t xml:space="preserve">299.17155</t>
  </si>
  <si>
    <t xml:space="preserve">C13H23N4O4</t>
  </si>
  <si>
    <t xml:space="preserve">2-(3-carboxy-3-(trimethylammonio)propyl)-L-histidine; Diphthine</t>
  </si>
  <si>
    <t xml:space="preserve">81721; 82369</t>
  </si>
  <si>
    <t xml:space="preserve">HMDB0059617; HMDB0060474</t>
  </si>
  <si>
    <t xml:space="preserve">96237; </t>
  </si>
  <si>
    <t xml:space="preserve">71464657; 23657814</t>
  </si>
  <si>
    <t xml:space="preserve">[H][C@](N)(CC1=CN=C(CCC([H])(C(O)=O)[N+](C)(C)C)N1)C(O)=O; C[N+](C)(C)[C@H](CCC1=NC=C(C[C@H](N)C(O)=O)N1)C(O)=O</t>
  </si>
  <si>
    <t xml:space="preserve">CBQVLMCHMFGPMX-RGURZIINSA-O; CBQVLMCHMFGPMX-VHSXEESVSA-O</t>
  </si>
  <si>
    <t xml:space="preserve">302.30640</t>
  </si>
  <si>
    <t xml:space="preserve">C18H40NO2</t>
  </si>
  <si>
    <t xml:space="preserve">L-threo-sphinganine</t>
  </si>
  <si>
    <t xml:space="preserve">257219</t>
  </si>
  <si>
    <t xml:space="preserve">HMDB0304406</t>
  </si>
  <si>
    <t xml:space="preserve">90658247</t>
  </si>
  <si>
    <t xml:space="preserve">[H][C@@]([NH3+])(CO)[C@]([H])(O)CCCCCCCCCCCCCCC</t>
  </si>
  <si>
    <t xml:space="preserve">OTKJDMGTUTTYMP-QZTJIDSGSA-O</t>
  </si>
  <si>
    <t xml:space="preserve">303.21720</t>
  </si>
  <si>
    <t xml:space="preserve">C20H32OS</t>
  </si>
  <si>
    <t xml:space="preserve">2,3-Thioepoxy Madol</t>
  </si>
  <si>
    <t xml:space="preserve">207462</t>
  </si>
  <si>
    <t xml:space="preserve">HMDB0253075</t>
  </si>
  <si>
    <t xml:space="preserve">75245245</t>
  </si>
  <si>
    <t xml:space="preserve">CC1(O)CCC2C3CCC4CC5SC5CC4(C)C3CCC12C</t>
  </si>
  <si>
    <t xml:space="preserve">UPLPHRJJTCUQAY-UHFFFAOYSA-N</t>
  </si>
  <si>
    <t xml:space="preserve">305.22321</t>
  </si>
  <si>
    <t xml:space="preserve">C18H28N2O2</t>
  </si>
  <si>
    <t xml:space="preserve">2-Piperidinecarboxamide, 1-butyl-N-(4-hydroxy-2,6-dimethylphenyl)-; Vadocaine</t>
  </si>
  <si>
    <t xml:space="preserve">201963; 212985</t>
  </si>
  <si>
    <t xml:space="preserve">HMDB0246631; HMDB0259736</t>
  </si>
  <si>
    <t xml:space="preserve">1414; </t>
  </si>
  <si>
    <t xml:space="preserve">162660; 68912</t>
  </si>
  <si>
    <t xml:space="preserve">51989-47-0; </t>
  </si>
  <si>
    <t xml:space="preserve">CCCCN1CCCCC1C(=O)NC1=C(C)C=C(O)C=C1C; COC1=CC(C)=CC(C)=C1NC(=O)CCN1CCCCC1C</t>
  </si>
  <si>
    <t xml:space="preserve">YVPPHAUZYVAQNM-UHFFFAOYSA-N; UJCARUGFZOJPMI-UHFFFAOYSA-N</t>
  </si>
  <si>
    <t xml:space="preserve">307.04470</t>
  </si>
  <si>
    <t xml:space="preserve">C14H10O8</t>
  </si>
  <si>
    <t xml:space="preserve">2-(3,4-Dihydroxybenzoyloxy)-4,6-dihydroxybenzoate</t>
  </si>
  <si>
    <t xml:space="preserve">81741</t>
  </si>
  <si>
    <t xml:space="preserve">HMDB0059651</t>
  </si>
  <si>
    <t xml:space="preserve">C04524</t>
  </si>
  <si>
    <t xml:space="preserve">16068</t>
  </si>
  <si>
    <t xml:space="preserve">440370</t>
  </si>
  <si>
    <t xml:space="preserve">OC(=O)C1=C(O)C=C(O)C=C1OC(=O)C1=CC(O)=C(O)C=C1</t>
  </si>
  <si>
    <t xml:space="preserve">GRXIELRCPYIEQI-UHFFFAOYSA-N</t>
  </si>
  <si>
    <t xml:space="preserve">308.06575</t>
  </si>
  <si>
    <t xml:space="preserve">C12H11N7O</t>
  </si>
  <si>
    <t xml:space="preserve">4-Hydroxy Triamterene</t>
  </si>
  <si>
    <t xml:space="preserve">201782</t>
  </si>
  <si>
    <t xml:space="preserve">HMDB0246440</t>
  </si>
  <si>
    <t xml:space="preserve">2909</t>
  </si>
  <si>
    <t xml:space="preserve">71046</t>
  </si>
  <si>
    <t xml:space="preserve">1226-52-4</t>
  </si>
  <si>
    <t xml:space="preserve">NC1=NC2=C(N=C(C(N)=N2)C2=CC=C(O)C=C2)C(N)=N1</t>
  </si>
  <si>
    <t xml:space="preserve">QNJVMSASTUDLGC-UHFFFAOYSA-N</t>
  </si>
  <si>
    <t xml:space="preserve">313.27332</t>
  </si>
  <si>
    <t xml:space="preserve">C19H38O4</t>
  </si>
  <si>
    <t xml:space="preserve">MG(0:0); 3-Palmitoyl-sn-glycerol; MG(16:0)</t>
  </si>
  <si>
    <t xml:space="preserve">93668; 10431; 10442</t>
  </si>
  <si>
    <t xml:space="preserve">HMDB0072844; HMDB0245964; HMDB0011533</t>
  </si>
  <si>
    <t xml:space="preserve">; 24076; 62317</t>
  </si>
  <si>
    <t xml:space="preserve">; LMGL01010001; LMGL01010025</t>
  </si>
  <si>
    <t xml:space="preserve">; 69081; 75455</t>
  </si>
  <si>
    <t xml:space="preserve">51416799; 14900; 123409</t>
  </si>
  <si>
    <t xml:space="preserve">; 542-44-9; </t>
  </si>
  <si>
    <t xml:space="preserve">[H][C@@](O)(CO)COC(=O)CCCCCCCCCCCCC(C)C; OCC([H])(O)COC(CCCCCCCCCCCCCCC)=O; OC[C@]([H])(OC(CCCCCCCCCCCCCCC)=O)CO</t>
  </si>
  <si>
    <t xml:space="preserve">UJXZLNLZBUWQKD-GOSISDBHSA-N; QHZLMUACJMDIAE-UHFFFAOYSA-N; BBNYCLAREVXOSG-UHFFFAOYSA-N</t>
  </si>
  <si>
    <t xml:space="preserve">Glycerolipids; Glycerolipids; Glycerolipids</t>
  </si>
  <si>
    <t xml:space="preserve">Monoradylglycerols; Monoradylglycerols; Monoradylglycerols</t>
  </si>
  <si>
    <t xml:space="preserve">315.11240</t>
  </si>
  <si>
    <t xml:space="preserve">C17H21ClO2</t>
  </si>
  <si>
    <t xml:space="preserve">Cpdna</t>
  </si>
  <si>
    <t xml:space="preserve">213451</t>
  </si>
  <si>
    <t xml:space="preserve">HMDB0260326</t>
  </si>
  <si>
    <t xml:space="preserve">188829</t>
  </si>
  <si>
    <t xml:space="preserve">CC(C)(C=CCCCC(O)=O)C=CC1=CC=C(Cl)C=C1</t>
  </si>
  <si>
    <t xml:space="preserve">MDCBZIPHGRGTOZ-UHFFFAOYSA-N</t>
  </si>
  <si>
    <t xml:space="preserve">Styrenes</t>
  </si>
  <si>
    <t xml:space="preserve">317.11685</t>
  </si>
  <si>
    <t xml:space="preserve">C21H18O4</t>
  </si>
  <si>
    <t xml:space="preserve">Psora-4</t>
  </si>
  <si>
    <t xml:space="preserve">210687</t>
  </si>
  <si>
    <t xml:space="preserve">HMDB0256900</t>
  </si>
  <si>
    <t xml:space="preserve">O=C1OC2=CC3=C(C=CO3)C(OCCCCC3=CC=CC=C3)=C2C=C1</t>
  </si>
  <si>
    <t xml:space="preserve">JJAWGNIQEOFURP-UHFFFAOYSA-N</t>
  </si>
  <si>
    <t xml:space="preserve">319.11477</t>
  </si>
  <si>
    <t xml:space="preserve">C15H20O6</t>
  </si>
  <si>
    <t xml:space="preserve">Deoxynivalenol</t>
  </si>
  <si>
    <t xml:space="preserve">59946</t>
  </si>
  <si>
    <t xml:space="preserve">HMDB0036156</t>
  </si>
  <si>
    <t xml:space="preserve">C09747</t>
  </si>
  <si>
    <t xml:space="preserve">430147</t>
  </si>
  <si>
    <t xml:space="preserve">51481-10-8</t>
  </si>
  <si>
    <t xml:space="preserve">CC1=CC2OC3C(O)CC(C)(C33CO3)C2(CO)C(O)C1=O</t>
  </si>
  <si>
    <t xml:space="preserve">LINOMUASTDIRTM-UHFFFAOYSA-N</t>
  </si>
  <si>
    <t xml:space="preserve">321.12755</t>
  </si>
  <si>
    <t xml:space="preserve">C12H20N2O8</t>
  </si>
  <si>
    <t xml:space="preserve">Isomugineic acid; D-Fructosazine</t>
  </si>
  <si>
    <t xml:space="preserve">57772; 59167</t>
  </si>
  <si>
    <t xml:space="preserve">HMDB0033555; HMDB0035284</t>
  </si>
  <si>
    <t xml:space="preserve">89365; 90590</t>
  </si>
  <si>
    <t xml:space="preserve">175088; 175089</t>
  </si>
  <si>
    <t xml:space="preserve">3085404; 11956719</t>
  </si>
  <si>
    <t xml:space="preserve">74281-81-5; 13185-73-4</t>
  </si>
  <si>
    <t xml:space="preserve">OC(CN1CCC1C(O)=O)C(NCCC(O)C(O)=O)C(O)=O; OCC(O)C(O)C(O)C1=CN=C(C=N1)C(O)C(O)C(O)CO</t>
  </si>
  <si>
    <t xml:space="preserve">GJRGEVKCJPPZIT-UHFFFAOYSA-N; NPWQIVOYGNUVEB-UHFFFAOYSA-N</t>
  </si>
  <si>
    <t xml:space="preserve">Carboxylic acids and derivatives; Diazines</t>
  </si>
  <si>
    <t xml:space="preserve">Amino acids, peptides, and analogues; Pyrazines</t>
  </si>
  <si>
    <t xml:space="preserve">325.10584</t>
  </si>
  <si>
    <t xml:space="preserve">C19H16O5</t>
  </si>
  <si>
    <t xml:space="preserve">S-6-Hydroxywarfarin; S-4'-Hydroxywarfarin; R-4'-Hydroxywarfarin</t>
  </si>
  <si>
    <t xml:space="preserve">52493; 52494; 52495</t>
  </si>
  <si>
    <t xml:space="preserve">HMDB0013880; HMDB0013881; HMDB0013882</t>
  </si>
  <si>
    <t xml:space="preserve">13427218; 6935999; 6936000</t>
  </si>
  <si>
    <t xml:space="preserve">[H][C@](CC(C)=O)(C1=CC=CC=C1)C1=C(O)OC2=CC=C(O)C=C2C1=O; [H][C@](CC(C)=O)(C1=CC=C(O)C=C1)C1=C(O)OC2=CC=CC=C2C1=O; [H][C@@](CC(C)=O)(C1=CC=C(O)C=C1)C1=C(O)OC2=CC=CC=C2C1=O</t>
  </si>
  <si>
    <t xml:space="preserve">JFCOGWFGPAUYNK-AWEZNQCLSA-N; UNTPHJKCRGFOFJ-HNNXBMFYSA-N; UNTPHJKCRGFOFJ-OAHLLOKOSA-N</t>
  </si>
  <si>
    <t xml:space="preserve">Homoisoflavonoids; Homoisoflavonoids; Homoisoflavonoids</t>
  </si>
  <si>
    <t xml:space="preserve">Homoisoflavones; Homoisoflavones; Homoisoflavones</t>
  </si>
  <si>
    <t xml:space="preserve">325.17879</t>
  </si>
  <si>
    <t xml:space="preserve">C21H24O3</t>
  </si>
  <si>
    <t xml:space="preserve">2,3-Epoxymenaquinone</t>
  </si>
  <si>
    <t xml:space="preserve">82269</t>
  </si>
  <si>
    <t xml:space="preserve">HMDB0060359</t>
  </si>
  <si>
    <t xml:space="preserve">C20265</t>
  </si>
  <si>
    <t xml:space="preserve">71448979</t>
  </si>
  <si>
    <t xml:space="preserve">CC(C)=CCC\C(C)=C\CC12OC1(C)C(=O)C1=CC=CC=C1C2=O</t>
  </si>
  <si>
    <t xml:space="preserve">ZEACJJRPAPKYKW-NTCAYCPXSA-N</t>
  </si>
  <si>
    <t xml:space="preserve">326.11081</t>
  </si>
  <si>
    <t xml:space="preserve">C15H17N3O4</t>
  </si>
  <si>
    <t xml:space="preserve">5-Pyrimidinecarboxylic acid, 1,4-dihydro-2-((2-(2-methylpropoxy)phenyl)amino)-4-oxo-; Indoleacetyl glutamine</t>
  </si>
  <si>
    <t xml:space="preserve">199131; 52225</t>
  </si>
  <si>
    <t xml:space="preserve">HMDB0243486; HMDB0013240</t>
  </si>
  <si>
    <t xml:space="preserve">; 70811</t>
  </si>
  <si>
    <t xml:space="preserve">127154; 25200879</t>
  </si>
  <si>
    <t xml:space="preserve">; 6899-04-3</t>
  </si>
  <si>
    <t xml:space="preserve">CCC(C)OC1=CC=CC=C1NC1=NC=C(C(O)=O)C(=O)N1; NC(=O)CCC(NC(=O)CC1=CNC2=CC=CC=C12)C(O)=O</t>
  </si>
  <si>
    <t xml:space="preserve">GPASXNHOXQCREW-UHFFFAOYSA-N; DVJIJAYHBZALOJ-UHFFFAOYSA-N</t>
  </si>
  <si>
    <t xml:space="preserve">Diazines; Carboxylic acids and derivatives</t>
  </si>
  <si>
    <t xml:space="preserve">Pyrimidines and pyrimidine derivatives; Amino acids, peptides, and analogues</t>
  </si>
  <si>
    <t xml:space="preserve">327.17978</t>
  </si>
  <si>
    <t xml:space="preserve">C16H24N4O2</t>
  </si>
  <si>
    <t xml:space="preserve">8-Cyclopentyl-1,3-dipropylxanthine</t>
  </si>
  <si>
    <t xml:space="preserve">202665</t>
  </si>
  <si>
    <t xml:space="preserve">HMDB0247432</t>
  </si>
  <si>
    <t xml:space="preserve">44518</t>
  </si>
  <si>
    <t xml:space="preserve">C13709</t>
  </si>
  <si>
    <t xml:space="preserve">73282</t>
  </si>
  <si>
    <t xml:space="preserve">102146-07-6</t>
  </si>
  <si>
    <t xml:space="preserve">CCCN1C2=C(N=C(N2)C2CCCC2)C(=O)N(CCC)C1=O</t>
  </si>
  <si>
    <t xml:space="preserve">FFBDFADSZUINTG-UHFFFAOYSA-N</t>
  </si>
  <si>
    <t xml:space="preserve">328.20355</t>
  </si>
  <si>
    <t xml:space="preserve">C22H27N</t>
  </si>
  <si>
    <t xml:space="preserve">Indenopyridine; Nonyl acridine</t>
  </si>
  <si>
    <t xml:space="preserve">207791; 209658</t>
  </si>
  <si>
    <t xml:space="preserve">HMDB0253454; HMDB0255711</t>
  </si>
  <si>
    <t xml:space="preserve">10086446; 22239671</t>
  </si>
  <si>
    <t xml:space="preserve">CCN1CCC2C(C1)C1=C(C=C(C)C=C1)C2C1=CC=C(C)C=C1; CCCCCCCCCC1=CC=CC2=NC3=CC=CC=C3C=C12</t>
  </si>
  <si>
    <t xml:space="preserve">AYJJTPLDSZAGGA-UHFFFAOYSA-N; VAXNMTMRMVMKLU-UHFFFAOYSA-N</t>
  </si>
  <si>
    <t xml:space="preserve">Indanes; Quinolines and derivatives</t>
  </si>
  <si>
    <t xml:space="preserve">Unclassified; Benzoquinolines</t>
  </si>
  <si>
    <t xml:space="preserve">329.17242</t>
  </si>
  <si>
    <t xml:space="preserve">C19H25N2OS</t>
  </si>
  <si>
    <t xml:space="preserve">Hydroxyethylpromethazine</t>
  </si>
  <si>
    <t xml:space="preserve">196996</t>
  </si>
  <si>
    <t xml:space="preserve">HMDB0240229</t>
  </si>
  <si>
    <t xml:space="preserve">7647-63-4</t>
  </si>
  <si>
    <t xml:space="preserve">CC(CN1C2=CC=CC=C2SC2=CC=CC=C12)[N+](C)(C)CCO</t>
  </si>
  <si>
    <t xml:space="preserve">PDSVTRQOBUIQBQ-UHFFFAOYSA-N</t>
  </si>
  <si>
    <t xml:space="preserve">Phenothiazines</t>
  </si>
  <si>
    <t xml:space="preserve">329.20580</t>
  </si>
  <si>
    <t xml:space="preserve">C17H32O3</t>
  </si>
  <si>
    <t xml:space="preserve">Avocadyne; Muricatacin; 2-Tetradecylglycidate</t>
  </si>
  <si>
    <t xml:space="preserve">6363; 6393; 200751</t>
  </si>
  <si>
    <t xml:space="preserve">HMDB0035473; HMDB0038685; HMDB0245318</t>
  </si>
  <si>
    <t xml:space="preserve">43517; 93340; </t>
  </si>
  <si>
    <t xml:space="preserve">LMFA05000643; LMFA05000682; </t>
  </si>
  <si>
    <t xml:space="preserve">3015189; 10016749; 56614422</t>
  </si>
  <si>
    <t xml:space="preserve">129099-96-3; 134698-86-5; </t>
  </si>
  <si>
    <t xml:space="preserve">C#CCCCCCCCCCCCC(O)CC(O)CO; CCCCCCCCCCCCC(C1OC(CC1)=O)O; CCCCCCCCCCCCC(C)OC(=O)C1CO1</t>
  </si>
  <si>
    <t xml:space="preserve">OHLQBKZXSJYBMK-UHFFFAOYSA-N; VFLQJBVJJLGBKM-UHFFFAOYSA-N; VLMGXWFUALFDKF-UHFFFAOYSA-N</t>
  </si>
  <si>
    <t xml:space="preserve">Fatty alcohols; Fatty alcohols; Fatty alcohol esters</t>
  </si>
  <si>
    <t xml:space="preserve">331.09842</t>
  </si>
  <si>
    <t xml:space="preserve">C18H20O5S</t>
  </si>
  <si>
    <t xml:space="preserve">Equilin sulfate</t>
  </si>
  <si>
    <t xml:space="preserve">206455</t>
  </si>
  <si>
    <t xml:space="preserve">HMDB0251897</t>
  </si>
  <si>
    <t xml:space="preserve">27993</t>
  </si>
  <si>
    <t xml:space="preserve">CC12CCC3C(=CCC4=CC(OS(O)(=O)=O)=CC=C34)C1CCC2=O</t>
  </si>
  <si>
    <t xml:space="preserve">YJBYRYVLFAUXBJ-UHFFFAOYSA-N</t>
  </si>
  <si>
    <t xml:space="preserve">Sulfated steroids</t>
  </si>
  <si>
    <t xml:space="preserve">333.17504</t>
  </si>
  <si>
    <t xml:space="preserve">C15H32FO2P</t>
  </si>
  <si>
    <t xml:space="preserve">Isopropyl dodecylfluorophosphonate</t>
  </si>
  <si>
    <t xml:space="preserve">207718</t>
  </si>
  <si>
    <t xml:space="preserve">HMDB0253378</t>
  </si>
  <si>
    <t xml:space="preserve">45402</t>
  </si>
  <si>
    <t xml:space="preserve">24762154</t>
  </si>
  <si>
    <t xml:space="preserve">615250-02-7</t>
  </si>
  <si>
    <t xml:space="preserve">CCCCCCCCCCCCP(F)(=O)OC(C)C</t>
  </si>
  <si>
    <t xml:space="preserve">SFRALHFBKRAJPW-UHFFFAOYSA-N</t>
  </si>
  <si>
    <t xml:space="preserve">Phosphonic acid esters</t>
  </si>
  <si>
    <t xml:space="preserve">336.05548</t>
  </si>
  <si>
    <t xml:space="preserve">C12H16N3O3PS</t>
  </si>
  <si>
    <t xml:space="preserve">Triazophos</t>
  </si>
  <si>
    <t xml:space="preserve">212563</t>
  </si>
  <si>
    <t xml:space="preserve">HMDB0259159</t>
  </si>
  <si>
    <t xml:space="preserve">72443</t>
  </si>
  <si>
    <t xml:space="preserve">C18657</t>
  </si>
  <si>
    <t xml:space="preserve">38963</t>
  </si>
  <si>
    <t xml:space="preserve">32184</t>
  </si>
  <si>
    <t xml:space="preserve">24017-47-8</t>
  </si>
  <si>
    <t xml:space="preserve">CCOP(=S)(OCC)OC1=NN(C=N1)C1=CC=CC=C1</t>
  </si>
  <si>
    <t xml:space="preserve">AMFGTOFWMRQMEM-UHFFFAOYSA-N</t>
  </si>
  <si>
    <t xml:space="preserve">Triazoles</t>
  </si>
  <si>
    <t xml:space="preserve">336.94991</t>
  </si>
  <si>
    <t xml:space="preserve">C6H13O9P</t>
  </si>
  <si>
    <t xml:space="preserve">Fructose 6-phosphate; Galactose 1-phosphate; myo-Inositol 1-phosphate</t>
  </si>
  <si>
    <t xml:space="preserve">46882; 47139; 46934</t>
  </si>
  <si>
    <t xml:space="preserve">HMDB0000124; HMDB0000645; HMDB0000213</t>
  </si>
  <si>
    <t xml:space="preserve">146; 5618; 359</t>
  </si>
  <si>
    <t xml:space="preserve">C00085; C00446; C01177</t>
  </si>
  <si>
    <t xml:space="preserve">15946; 17973; 18297</t>
  </si>
  <si>
    <t xml:space="preserve">69507; 123912; </t>
  </si>
  <si>
    <t xml:space="preserve">643-13-0; 2255-14-3; 15421-51-9</t>
  </si>
  <si>
    <t xml:space="preserve">OCC(=O)[C@@H](O)[C@H](O)[C@H](O)COP(O)(O)=O; OC[C@H]1O[C@H](OP(O)(O)=O)[C@H](O)[C@@H](O)[C@H]1O; O[C@H]1[C@H](O)[C@@H](O)[C@H](OP(O)(O)=O)[C@H](O)[C@@H]1O</t>
  </si>
  <si>
    <t xml:space="preserve">GSXOAOHZAIYLCY-HSUXUTPPSA-N; HXXFSFRBOHSIMQ-FPRJBGLDSA-N; INAPMGSXUVUWAF-UOTPTPDRSA-N</t>
  </si>
  <si>
    <t xml:space="preserve">Carbohydrates and carbohydrate conjugates; Carbohydrates and carbohydrate conjugates; Alcohols and polyols</t>
  </si>
  <si>
    <t xml:space="preserve">337.10909</t>
  </si>
  <si>
    <t xml:space="preserve">C17H20O5S</t>
  </si>
  <si>
    <t xml:space="preserve">Firocoxib</t>
  </si>
  <si>
    <t xml:space="preserve">206770</t>
  </si>
  <si>
    <t xml:space="preserve">HMDB0252268</t>
  </si>
  <si>
    <t xml:space="preserve">72180</t>
  </si>
  <si>
    <t xml:space="preserve">C18363</t>
  </si>
  <si>
    <t xml:space="preserve">76136</t>
  </si>
  <si>
    <t xml:space="preserve">208910</t>
  </si>
  <si>
    <t xml:space="preserve">189954-96-9</t>
  </si>
  <si>
    <t xml:space="preserve">CC1(C)OC(=O)C(OCC2CC2)=C1C1=CC=C(C=C1)S(C)(=O)=O</t>
  </si>
  <si>
    <t xml:space="preserve">FULAPETWGIGNMT-UHFFFAOYSA-N</t>
  </si>
  <si>
    <t xml:space="preserve">337.27263</t>
  </si>
  <si>
    <t xml:space="preserve">C21H36O3</t>
  </si>
  <si>
    <t xml:space="preserve">3-Methyl-5-pentyl-2-furanundecanoic acid; 5-Butyl-3,4-dimethyl-2-furanundecanoic acid; 3,4-Dimethyl-5-pentyl-2-furandecanoic acid</t>
  </si>
  <si>
    <t xml:space="preserve">2626; 2634; 2642</t>
  </si>
  <si>
    <t xml:space="preserve">HMDB0031005; HMDB0112072; HMDB0112067</t>
  </si>
  <si>
    <t xml:space="preserve">87343; ; </t>
  </si>
  <si>
    <t xml:space="preserve">LMFA01150013; LMFA01150021; LMFA01150029</t>
  </si>
  <si>
    <t xml:space="preserve">11056824; 13963852; 85564630</t>
  </si>
  <si>
    <t xml:space="preserve">57818-37-8; 107473-41-6; 116627-45-3</t>
  </si>
  <si>
    <t xml:space="preserve">C(CC)CCC1=CC(C)=C(CCCCCCCCCCC(=O)O)O1; C(C)CCC1=C(C)C(C)=C(CCCCCCCCCCC(=O)O)O1; C(CC)CCC1=C(C)C(C)=C(CCCCCCCCCC(=O)O)O1</t>
  </si>
  <si>
    <t xml:space="preserve">QDTBMEGPXZUECM-UHFFFAOYSA-N; HHLJTVKQHLQNRZ-UHFFFAOYSA-N; SWOLPSUMESXJAB-UHFFFAOYSA-N</t>
  </si>
  <si>
    <t xml:space="preserve">338.34395</t>
  </si>
  <si>
    <t xml:space="preserve">C22H45NO2</t>
  </si>
  <si>
    <t xml:space="preserve">Arachidoyl Ethanolamide</t>
  </si>
  <si>
    <t xml:space="preserve">9047</t>
  </si>
  <si>
    <t xml:space="preserve">HMDB0248559</t>
  </si>
  <si>
    <t xml:space="preserve">3723</t>
  </si>
  <si>
    <t xml:space="preserve">LMFA08040038</t>
  </si>
  <si>
    <t xml:space="preserve">85253</t>
  </si>
  <si>
    <t xml:space="preserve">3787294</t>
  </si>
  <si>
    <t xml:space="preserve">94421-69-9</t>
  </si>
  <si>
    <t xml:space="preserve">C(CCCCCCCCCCC)CCCCCCCC(=O)NCCO</t>
  </si>
  <si>
    <t xml:space="preserve">AUJVQJHODMISJP-UHFFFAOYSA-N</t>
  </si>
  <si>
    <t xml:space="preserve">343.22304</t>
  </si>
  <si>
    <t xml:space="preserve">C17H30N2O5</t>
  </si>
  <si>
    <t xml:space="preserve">Aloxistatin</t>
  </si>
  <si>
    <t xml:space="preserve">203323</t>
  </si>
  <si>
    <t xml:space="preserve">HMDB0248182</t>
  </si>
  <si>
    <t xml:space="preserve">3189</t>
  </si>
  <si>
    <t xml:space="preserve">CCOC(=O)C1OC1C(=O)NC(CC(C)C)C(=O)NCCC(C)C</t>
  </si>
  <si>
    <t xml:space="preserve">SRVFFFJZQVENJC-UHFFFAOYSA-N</t>
  </si>
  <si>
    <t xml:space="preserve">347.13250</t>
  </si>
  <si>
    <t xml:space="preserve">C15H22O9</t>
  </si>
  <si>
    <t xml:space="preserve">Aucubin</t>
  </si>
  <si>
    <t xml:space="preserve">60263</t>
  </si>
  <si>
    <t xml:space="preserve">HMDB0036562</t>
  </si>
  <si>
    <t xml:space="preserve">C09771</t>
  </si>
  <si>
    <t xml:space="preserve">348157</t>
  </si>
  <si>
    <t xml:space="preserve">479-98-1</t>
  </si>
  <si>
    <t xml:space="preserve">OCC1OC(OC2OC=CC3C(O)C=C(CO)C23)C(O)C(O)C1O</t>
  </si>
  <si>
    <t xml:space="preserve">RJWJHRPNHPHBRN-UHFFFAOYSA-N</t>
  </si>
  <si>
    <t xml:space="preserve">347.19147</t>
  </si>
  <si>
    <t xml:space="preserve">C21H24N4O2</t>
  </si>
  <si>
    <t xml:space="preserve">7-Methyl-2-morpholino-9-(1-(phenylamino)ethyl)-4H-pyrido[1,2-a]pyrimidin-4-one</t>
  </si>
  <si>
    <t xml:space="preserve">212384</t>
  </si>
  <si>
    <t xml:space="preserve">HMDB0258955</t>
  </si>
  <si>
    <t xml:space="preserve">45059</t>
  </si>
  <si>
    <t xml:space="preserve">9907093</t>
  </si>
  <si>
    <t xml:space="preserve">663619-89-4</t>
  </si>
  <si>
    <t xml:space="preserve">CC(NC1=CC=CC=C1)C1=CC(C)=CN2C(=O)C=C(N=C12)N1CCOCC1</t>
  </si>
  <si>
    <t xml:space="preserve">CPRAGQJXBLMUEL-UHFFFAOYSA-N</t>
  </si>
  <si>
    <t xml:space="preserve">Pyridopyrimidines</t>
  </si>
  <si>
    <t xml:space="preserve">349.17957</t>
  </si>
  <si>
    <t xml:space="preserve">C23H26O4</t>
  </si>
  <si>
    <t xml:space="preserve">Clusiaphenone B</t>
  </si>
  <si>
    <t xml:space="preserve">257412</t>
  </si>
  <si>
    <t xml:space="preserve">HMDB0304620</t>
  </si>
  <si>
    <t xml:space="preserve">14282626</t>
  </si>
  <si>
    <t xml:space="preserve">CC(C)=CCC1=C(O)C(C(=O)C2=CC=CC=C2)=C(O)C(CC=C(C)C)=C1O</t>
  </si>
  <si>
    <t xml:space="preserve">DGDGUAUJFQUJRX-UHFFFAOYSA-N</t>
  </si>
  <si>
    <t xml:space="preserve">350.07431</t>
  </si>
  <si>
    <t xml:space="preserve">C19H15F2NO</t>
  </si>
  <si>
    <t xml:space="preserve">3,5-Bis(2-fluorobenzylidene)-4-piperidone</t>
  </si>
  <si>
    <t xml:space="preserve">201419</t>
  </si>
  <si>
    <t xml:space="preserve">HMDB0246046</t>
  </si>
  <si>
    <t xml:space="preserve">66993057</t>
  </si>
  <si>
    <t xml:space="preserve">FC1=CC=CC=C1C=C1CNCC(=CC2=CC=CC=C2F)C1=O</t>
  </si>
  <si>
    <t xml:space="preserve">NIVYQYSNRUIFIF-UHFFFAOYSA-N</t>
  </si>
  <si>
    <t xml:space="preserve">Piperidinones</t>
  </si>
  <si>
    <t xml:space="preserve">351.19154</t>
  </si>
  <si>
    <t xml:space="preserve">C18H26N2O5</t>
  </si>
  <si>
    <t xml:space="preserve">Disofenin</t>
  </si>
  <si>
    <t xml:space="preserve">206101</t>
  </si>
  <si>
    <t xml:space="preserve">HMDB0251479</t>
  </si>
  <si>
    <t xml:space="preserve">355129</t>
  </si>
  <si>
    <t xml:space="preserve">171682</t>
  </si>
  <si>
    <t xml:space="preserve">CC(C)C1=CC=CC(C(C)C)=C1NC(=O)CN(CC(O)=O)CC(O)=O</t>
  </si>
  <si>
    <t xml:space="preserve">UDUSOMRJOPCWHT-UHFFFAOYSA-N</t>
  </si>
  <si>
    <t xml:space="preserve">352.03981</t>
  </si>
  <si>
    <t xml:space="preserve">C16H14ClNO4S</t>
  </si>
  <si>
    <t xml:space="preserve">2-(2-Chlorophenyl)-2-(6,7-dihydro-4H-thieno[3,2-c]pyridin-5-yl)propanedioic acid</t>
  </si>
  <si>
    <t xml:space="preserve">211390</t>
  </si>
  <si>
    <t xml:space="preserve">HMDB0257750</t>
  </si>
  <si>
    <t xml:space="preserve">67237777</t>
  </si>
  <si>
    <t xml:space="preserve">OC(=O)C(N1CCC2=C(C1)C=CS2)(C(O)=O)C1=CC=CC=C1Cl</t>
  </si>
  <si>
    <t xml:space="preserve">ZLDBJUJGHPZUER-UHFFFAOYSA-N</t>
  </si>
  <si>
    <t xml:space="preserve">353.07724</t>
  </si>
  <si>
    <t xml:space="preserve">C10H16N4O8S</t>
  </si>
  <si>
    <t xml:space="preserve">s-Nitroglutathione</t>
  </si>
  <si>
    <t xml:space="preserve">211100</t>
  </si>
  <si>
    <t xml:space="preserve">HMDB0257410</t>
  </si>
  <si>
    <t xml:space="preserve">54501752</t>
  </si>
  <si>
    <t xml:space="preserve">NC(CCC(=O)NC(CS[N+]([O-])=O)C(=O)NCC(O)=O)C(O)=O</t>
  </si>
  <si>
    <t xml:space="preserve">YCXQDCDFQROPND-UHFFFAOYSA-N</t>
  </si>
  <si>
    <t xml:space="preserve">354.10820</t>
  </si>
  <si>
    <t xml:space="preserve">C21H18ClFNO</t>
  </si>
  <si>
    <t xml:space="preserve">4-(4-Chlorophenyl)-1-[4-(4-fluorophenyl)-4-oxobutyl]-pyridinium (HPP+)</t>
  </si>
  <si>
    <t xml:space="preserve">82838</t>
  </si>
  <si>
    <t xml:space="preserve">HMDB0061000</t>
  </si>
  <si>
    <t xml:space="preserve">9975463</t>
  </si>
  <si>
    <t xml:space="preserve">[H]C1=C([H])C(=C([H])C([H])=C1F)C(=O)C([H])([H])C([H])([H])C([H])([H])[N+]1=C([H])C([H])=C(C([H])=C1[H])C1=C([H])C([H])=C(Cl)C([H])=C1[H]</t>
  </si>
  <si>
    <t xml:space="preserve">KAPIKUHBALFONG-UHFFFAOYSA-N</t>
  </si>
  <si>
    <t xml:space="preserve">362.08910</t>
  </si>
  <si>
    <t xml:space="preserve">C10H17N7O7S</t>
  </si>
  <si>
    <t xml:space="preserve">Gonyautoxin V</t>
  </si>
  <si>
    <t xml:space="preserve">57734</t>
  </si>
  <si>
    <t xml:space="preserve">HMDB0033513</t>
  </si>
  <si>
    <t xml:space="preserve">14917387</t>
  </si>
  <si>
    <t xml:space="preserve">64296-25-9</t>
  </si>
  <si>
    <t xml:space="preserve">OC1(O)CCN2C(=N)NC(COC(=O)NS(O)(=O)=O)C3NC(=N)NC123</t>
  </si>
  <si>
    <t xml:space="preserve">JKKCSFJSULZNDN-UHFFFAOYSA-N</t>
  </si>
  <si>
    <t xml:space="preserve">363.19234</t>
  </si>
  <si>
    <t xml:space="preserve">C19H26N2O5</t>
  </si>
  <si>
    <t xml:space="preserve">Remifentanil Acid</t>
  </si>
  <si>
    <t xml:space="preserve">210890</t>
  </si>
  <si>
    <t xml:space="preserve">HMDB0257145</t>
  </si>
  <si>
    <t xml:space="preserve">419324</t>
  </si>
  <si>
    <t xml:space="preserve">131560</t>
  </si>
  <si>
    <t xml:space="preserve">CCC(=O)N(C1=CC=CC=C1)C1(CCN(CCC(O)=O)CC1)C(=O)OC</t>
  </si>
  <si>
    <t xml:space="preserve">GFJKFSFFMHOISI-UHFFFAOYSA-N</t>
  </si>
  <si>
    <t xml:space="preserve">364.96738</t>
  </si>
  <si>
    <t xml:space="preserve">C15H12Cl4O2</t>
  </si>
  <si>
    <t xml:space="preserve">Tetrachlorobisphenol A</t>
  </si>
  <si>
    <t xml:space="preserve">212309</t>
  </si>
  <si>
    <t xml:space="preserve">HMDB0258870</t>
  </si>
  <si>
    <t xml:space="preserve">70129</t>
  </si>
  <si>
    <t xml:space="preserve">C14528</t>
  </si>
  <si>
    <t xml:space="preserve">6619</t>
  </si>
  <si>
    <t xml:space="preserve">79-95-8</t>
  </si>
  <si>
    <t xml:space="preserve">CC(C)(C1=CC(Cl)=C(O)C(Cl)=C1)C1=CC(Cl)=C(O)C(Cl)=C1</t>
  </si>
  <si>
    <t xml:space="preserve">KYPYTERUKNKOLP-UHFFFAOYSA-N</t>
  </si>
  <si>
    <t xml:space="preserve">365.15471</t>
  </si>
  <si>
    <t xml:space="preserve">C23H21FO3</t>
  </si>
  <si>
    <t xml:space="preserve">TUG-891</t>
  </si>
  <si>
    <t xml:space="preserve">212715</t>
  </si>
  <si>
    <t xml:space="preserve">HMDB0259323</t>
  </si>
  <si>
    <t xml:space="preserve">CC1=CC=C(C=C1)C1=C(COC2=CC=C(CCC(O)=O)C=C2)C=C(F)C=C1</t>
  </si>
  <si>
    <t xml:space="preserve">LPGBXHWIQNZEJB-UHFFFAOYSA-N</t>
  </si>
  <si>
    <t xml:space="preserve">366.06399</t>
  </si>
  <si>
    <t xml:space="preserve">C16H15NO7S</t>
  </si>
  <si>
    <t xml:space="preserve">2-Hydroxy-4-(2-(tosyloxy)acetamido)benzoic acid</t>
  </si>
  <si>
    <t xml:space="preserve">202196</t>
  </si>
  <si>
    <t xml:space="preserve">HMDB0246889</t>
  </si>
  <si>
    <t xml:space="preserve">91224</t>
  </si>
  <si>
    <t xml:space="preserve">252682</t>
  </si>
  <si>
    <t xml:space="preserve">CC1=CC=C(C=C1)S(=O)(=O)OCC(=O)NC1=CC(O)=C(C=C1)C(O)=O</t>
  </si>
  <si>
    <t xml:space="preserve">HWNUSGNZBAISFM-UHFFFAOYSA-N</t>
  </si>
  <si>
    <t xml:space="preserve">366.95878</t>
  </si>
  <si>
    <t xml:space="preserve">C10H14N2O4S2</t>
  </si>
  <si>
    <t xml:space="preserve">Sultiame</t>
  </si>
  <si>
    <t xml:space="preserve">212106</t>
  </si>
  <si>
    <t xml:space="preserve">HMDB0258622</t>
  </si>
  <si>
    <t xml:space="preserve">NS(=O)(=O)C1=CC=C(C=C1)N1CCCCS1(=O)=O</t>
  </si>
  <si>
    <t xml:space="preserve">HMHVCUVYZFYAJI-UHFFFAOYSA-N</t>
  </si>
  <si>
    <t xml:space="preserve">369.13613</t>
  </si>
  <si>
    <t xml:space="preserve">C21H21ClN2O2</t>
  </si>
  <si>
    <t xml:space="preserve">Benzamide, N-(2-chloro-2-phenyl-1-(1-piperidinylcarbonyl)ethenyl)-</t>
  </si>
  <si>
    <t xml:space="preserve">203736</t>
  </si>
  <si>
    <t xml:space="preserve">HMDB0248687</t>
  </si>
  <si>
    <t xml:space="preserve">451541</t>
  </si>
  <si>
    <t xml:space="preserve">ClC(=C(NC(=O)C1=CC=CC=C1)C(=O)N1CCCCC1)C1=CC=CC=C1</t>
  </si>
  <si>
    <t xml:space="preserve">FGCZYICKZZNEEU-UHFFFAOYSA-N</t>
  </si>
  <si>
    <t xml:space="preserve">369.24474</t>
  </si>
  <si>
    <t xml:space="preserve">C24H32O3</t>
  </si>
  <si>
    <t xml:space="preserve">Menoctone</t>
  </si>
  <si>
    <t xml:space="preserve">208559</t>
  </si>
  <si>
    <t xml:space="preserve">HMDB0254439</t>
  </si>
  <si>
    <t xml:space="preserve">26738</t>
  </si>
  <si>
    <t xml:space="preserve">OC1=C(CCCCCCCCC2CCCCC2)C(=O)C(=O)C2=CC=CC=C12</t>
  </si>
  <si>
    <t xml:space="preserve">JJMFNXJCDGGBEV-UHFFFAOYSA-N</t>
  </si>
  <si>
    <t xml:space="preserve">370.05565</t>
  </si>
  <si>
    <t xml:space="preserve">C19H17NO4S2</t>
  </si>
  <si>
    <t xml:space="preserve">Naroparcil</t>
  </si>
  <si>
    <t xml:space="preserve">209453</t>
  </si>
  <si>
    <t xml:space="preserve">HMDB0255463</t>
  </si>
  <si>
    <t xml:space="preserve">14374050</t>
  </si>
  <si>
    <t xml:space="preserve">OC1CSC(SC2=CC=C(C=C2)C(=O)C2=CC=C(C=C2)C#N)C(O)C1O</t>
  </si>
  <si>
    <t xml:space="preserve">IMAFEPKOGMHYNH-UHFFFAOYSA-N</t>
  </si>
  <si>
    <t xml:space="preserve">379.07488</t>
  </si>
  <si>
    <t xml:space="preserve">C15H20N2O4S2</t>
  </si>
  <si>
    <t xml:space="preserve">Bisdethiobis(methylthio)gliotoxin</t>
  </si>
  <si>
    <t xml:space="preserve">204237</t>
  </si>
  <si>
    <t xml:space="preserve">HMDB0249258</t>
  </si>
  <si>
    <t xml:space="preserve">5114266</t>
  </si>
  <si>
    <t xml:space="preserve">CSC12CC3=CC=CC(O)C3N1C(=O)C(CO)(SC)N(C)C2=O</t>
  </si>
  <si>
    <t xml:space="preserve">OVBAGMZLGLXSBN-UHFFFAOYSA-N</t>
  </si>
  <si>
    <t xml:space="preserve">381.08098</t>
  </si>
  <si>
    <t xml:space="preserve">C12H22O11</t>
  </si>
  <si>
    <t xml:space="preserve">Cellobiose</t>
  </si>
  <si>
    <t xml:space="preserve">46847</t>
  </si>
  <si>
    <t xml:space="preserve">HMDB0000055</t>
  </si>
  <si>
    <t xml:space="preserve">3480</t>
  </si>
  <si>
    <t xml:space="preserve">C06422</t>
  </si>
  <si>
    <t xml:space="preserve">36217</t>
  </si>
  <si>
    <t xml:space="preserve">10712</t>
  </si>
  <si>
    <t xml:space="preserve">528-50-7</t>
  </si>
  <si>
    <t xml:space="preserve">OC[C@H]1O[C@@H](O[C@H]2[C@H](O)[C@@H](O)[C@H](O)O[C@@H]2CO)[C@H](O)[C@@H](O)[C@@H]1O</t>
  </si>
  <si>
    <t xml:space="preserve">GUBGYTABKSRVRQ-QRZGKKJRSA-N</t>
  </si>
  <si>
    <t xml:space="preserve">385.21478</t>
  </si>
  <si>
    <t xml:space="preserve">C25H30O2</t>
  </si>
  <si>
    <t xml:space="preserve">(8R,9S,13S,14S,17S)-17-Benzyl-13-methyl-7,8,9,11,12,14,15,16-octahydro-6H-cyclopenta[a]phenanthrene-3,17-diol</t>
  </si>
  <si>
    <t xml:space="preserve">213326</t>
  </si>
  <si>
    <t xml:space="preserve">HMDB0260177</t>
  </si>
  <si>
    <t xml:space="preserve">CC12CCC3C(CCC4=C3C=CC(O)=C4)C1CCC2(O)CC1=CC=CC=C1</t>
  </si>
  <si>
    <t xml:space="preserve">HMIDDXLVYVRYHN-UHFFFAOYSA-N</t>
  </si>
  <si>
    <t xml:space="preserve">389.13527</t>
  </si>
  <si>
    <t xml:space="preserve">C19H20N2O7</t>
  </si>
  <si>
    <t xml:space="preserve">Aranidipine; 3-O-Methyl 5-O-(2-oxopropyl) 2,6-dimethyl-4-(2-nitrophenyl)-3,4-dihydropyridine-3,5-dicarboxylate</t>
  </si>
  <si>
    <t xml:space="preserve">203632; 213390</t>
  </si>
  <si>
    <t xml:space="preserve">HMDB0248563; HMDB0260254</t>
  </si>
  <si>
    <t xml:space="preserve">321687; </t>
  </si>
  <si>
    <t xml:space="preserve">2225; 54302981</t>
  </si>
  <si>
    <t xml:space="preserve">COC(=O)C1=C(C)NC(C)=C(C1C1=CC=CC=C1[N+]([O-])=O)C(=O)OCC(C)=O; COC(=O)C1C(C2=CC=CC=C2[N+]([O-])=O)C(C(=O)OCC(C)=O)=C(C)N=C1C</t>
  </si>
  <si>
    <t xml:space="preserve">NCUCGYYHUFIYNU-UHFFFAOYSA-N; SFNSAGXFTUBWBC-UHFFFAOYSA-N</t>
  </si>
  <si>
    <t xml:space="preserve">Hydropyridines; Hydropyridines</t>
  </si>
  <si>
    <t xml:space="preserve">389.17686</t>
  </si>
  <si>
    <t xml:space="preserve">C25H26O5</t>
  </si>
  <si>
    <t xml:space="preserve">Mammeisin</t>
  </si>
  <si>
    <t xml:space="preserve">30013</t>
  </si>
  <si>
    <t xml:space="preserve">HMDB0034269</t>
  </si>
  <si>
    <t xml:space="preserve">48364</t>
  </si>
  <si>
    <t xml:space="preserve">LMPK12100002</t>
  </si>
  <si>
    <t xml:space="preserve">C09275</t>
  </si>
  <si>
    <t xml:space="preserve">5281419</t>
  </si>
  <si>
    <t xml:space="preserve">18483-64-2</t>
  </si>
  <si>
    <t xml:space="preserve">C1(C(=O)CC(C)C)=C(O)C2C(C3=CC=CC=C3)=CC(=O)OC=2C(C/C=C(/C)\C)=C1O</t>
  </si>
  <si>
    <t xml:space="preserve">JIFOADIANOIMSK-UHFFFAOYSA-N</t>
  </si>
  <si>
    <t xml:space="preserve">Neoflavonoids</t>
  </si>
  <si>
    <t xml:space="preserve">Prenylated neoflavonoids</t>
  </si>
  <si>
    <t xml:space="preserve">392.28478</t>
  </si>
  <si>
    <t xml:space="preserve">C23H39NO5</t>
  </si>
  <si>
    <t xml:space="preserve">5-(3,4-Dimethyl-5-pentylfuran-2-yl)pentanoylcarnitine; 6-(5-Hexylfuran-2-yl)hexanoylcarnitine; 7-(3,4-Dimethyl-5-propylfuran-2-yl)heptanoylcarnitine</t>
  </si>
  <si>
    <t xml:space="preserve">198367; 198370; 198371</t>
  </si>
  <si>
    <t xml:space="preserve">HMDB0241845; HMDB0241848; HMDB0241849</t>
  </si>
  <si>
    <t xml:space="preserve">CCCCCC1=C(C)C(C)=C(CCCCC(=O)OC(CC([O-])=O)C[N+](C)(C)C)O1; CCCCCCC1=CC=C(CCCCCC(=O)OC(CC([O-])=O)C[N+](C)(C)C)O1; CCCC1=C(C)C(C)=C(CCCCCCC(=O)OC(CC([O-])=O)C[N+](C)(C)C)O1</t>
  </si>
  <si>
    <t xml:space="preserve">WRRXGVCJQHRUIW-UHFFFAOYSA-N; PMKWXVYIIIGJAV-UHFFFAOYSA-N; ARBRWHXTRUCFTM-UHFFFAOYSA-N</t>
  </si>
  <si>
    <t xml:space="preserve">393.23949</t>
  </si>
  <si>
    <t xml:space="preserve">C21H38O4</t>
  </si>
  <si>
    <t xml:space="preserve">Glyceryl monolinoleate; MG(18:2)</t>
  </si>
  <si>
    <t xml:space="preserve">10436; 10449</t>
  </si>
  <si>
    <t xml:space="preserve">HMDB0242115; HMDB0011538</t>
  </si>
  <si>
    <t xml:space="preserve">4252; 62322</t>
  </si>
  <si>
    <t xml:space="preserve">LMGL01010006; LMGL01010033</t>
  </si>
  <si>
    <t xml:space="preserve">75565; 75457</t>
  </si>
  <si>
    <t xml:space="preserve">5283469; 5365676</t>
  </si>
  <si>
    <t xml:space="preserve">26545-74-4; </t>
  </si>
  <si>
    <t xml:space="preserve">OCC([H])(O)COC(CCCCCCC/C=C\C/C=C\CCCCC)=O; OC[C@]([H])(OC(CCCCCCC/C=C\C/C=C\CCCCC)=O)CO</t>
  </si>
  <si>
    <t xml:space="preserve">WECGLUPZRHILCT-HZJYTTRNSA-N; IEPGNWMPIFDNSD-HZJYTTRNSA-N</t>
  </si>
  <si>
    <t xml:space="preserve">395.06314</t>
  </si>
  <si>
    <t xml:space="preserve">C16H15F3N2O4</t>
  </si>
  <si>
    <t xml:space="preserve">Methyl 2,6-dimethyl-5-nitro-4-[2-(trifluoromethyl)phenyl]-1,4-dihydropyridine-3-carboxylate</t>
  </si>
  <si>
    <t xml:space="preserve">202559</t>
  </si>
  <si>
    <t xml:space="preserve">HMDB0247310</t>
  </si>
  <si>
    <t xml:space="preserve">69687</t>
  </si>
  <si>
    <t xml:space="preserve">C13758</t>
  </si>
  <si>
    <t xml:space="preserve">131345</t>
  </si>
  <si>
    <t xml:space="preserve">2303</t>
  </si>
  <si>
    <t xml:space="preserve">71145-03-4</t>
  </si>
  <si>
    <t xml:space="preserve">COC(=O)C1=C(C)NC(C)=C(C1C1=CC=CC=C1C(F)(F)F)[N+]([O-])=O</t>
  </si>
  <si>
    <t xml:space="preserve">ZFLWDHHVRRZMEI-UHFFFAOYSA-N</t>
  </si>
  <si>
    <t xml:space="preserve">396.07098</t>
  </si>
  <si>
    <t xml:space="preserve">C15H19NO9</t>
  </si>
  <si>
    <t xml:space="preserve">cyclo-dopa 5-O-glucoside</t>
  </si>
  <si>
    <t xml:space="preserve">257125</t>
  </si>
  <si>
    <t xml:space="preserve">HMDB0304310</t>
  </si>
  <si>
    <t xml:space="preserve">64475</t>
  </si>
  <si>
    <t xml:space="preserve">C17751</t>
  </si>
  <si>
    <t xml:space="preserve">134458</t>
  </si>
  <si>
    <t xml:space="preserve">46173990</t>
  </si>
  <si>
    <t xml:space="preserve">[H][C@]1(CC2=CC(O[C@]3([H])O[C@]([H])(CO)[C@@]([H])(O)[C@]([H])(O)[C@@]3([H])O)=C(O)C=C2N1)C(O)=O</t>
  </si>
  <si>
    <t xml:space="preserve">PXMFPPFHRQZIHO-OLCQZNMOSA-N</t>
  </si>
  <si>
    <t xml:space="preserve">399.17782</t>
  </si>
  <si>
    <t xml:space="preserve">C21H28O6</t>
  </si>
  <si>
    <t xml:space="preserve">18-Oxocortisol</t>
  </si>
  <si>
    <t xml:space="preserve">45062</t>
  </si>
  <si>
    <t xml:space="preserve">HMDB0000332</t>
  </si>
  <si>
    <t xml:space="preserve">5321</t>
  </si>
  <si>
    <t xml:space="preserve">LMST02030194</t>
  </si>
  <si>
    <t xml:space="preserve">89213</t>
  </si>
  <si>
    <t xml:space="preserve">44263344</t>
  </si>
  <si>
    <t xml:space="preserve">2410-60-8</t>
  </si>
  <si>
    <t xml:space="preserve">[C@@]12([H])CCC3=CC(=O)CC[C@]3(C)[C@@]1([H])[C@@H](O)C[C@]1(C=O)[C@](O)(C(=O)CO)CC[C@@]21[H]</t>
  </si>
  <si>
    <t xml:space="preserve">XUQWWIFROYJHCU-FJNAKSJRSA-N</t>
  </si>
  <si>
    <t xml:space="preserve">Hydroxysteroids</t>
  </si>
  <si>
    <t xml:space="preserve">399.25124</t>
  </si>
  <si>
    <t xml:space="preserve">C18H39O7P</t>
  </si>
  <si>
    <t xml:space="preserve">Tris(2-butoxyethyl) phosphate</t>
  </si>
  <si>
    <t xml:space="preserve">212673</t>
  </si>
  <si>
    <t xml:space="preserve">HMDB0259275</t>
  </si>
  <si>
    <t xml:space="preserve">70068</t>
  </si>
  <si>
    <t xml:space="preserve">C14446</t>
  </si>
  <si>
    <t xml:space="preserve">35038</t>
  </si>
  <si>
    <t xml:space="preserve">6540</t>
  </si>
  <si>
    <t xml:space="preserve">78-51-3</t>
  </si>
  <si>
    <t xml:space="preserve">CCCCOCCOP(=O)(OCCOCCCC)OCCOCCCC</t>
  </si>
  <si>
    <t xml:space="preserve">WTLBZVNBAKMVDP-UHFFFAOYSA-N</t>
  </si>
  <si>
    <t xml:space="preserve">402.77278</t>
  </si>
  <si>
    <t xml:space="preserve">C10H4Cl8O</t>
  </si>
  <si>
    <t xml:space="preserve">Oxychlordane</t>
  </si>
  <si>
    <t xml:space="preserve">81698</t>
  </si>
  <si>
    <t xml:space="preserve">HMDB0059571</t>
  </si>
  <si>
    <t xml:space="preserve">33772</t>
  </si>
  <si>
    <t xml:space="preserve">27304-13-8</t>
  </si>
  <si>
    <t xml:space="preserve">ClC1C2C(C3OC13Cl)C1(Cl)C(Cl)=C(Cl)C2(Cl)C1(Cl)Cl</t>
  </si>
  <si>
    <t xml:space="preserve">VWGNQYSIWFHEQU-UHFFFAOYSA-N</t>
  </si>
  <si>
    <t xml:space="preserve">Oxanes</t>
  </si>
  <si>
    <t xml:space="preserve">403.27177</t>
  </si>
  <si>
    <t xml:space="preserve">C27H36N2O2</t>
  </si>
  <si>
    <t xml:space="preserve">2,4-Decadienamide,5-(4-methoxyphenyl)-N-[(1R)-1-methyl-4-(3-pyridinyl)butyl]-, (2E,4E)-</t>
  </si>
  <si>
    <t xml:space="preserve">199962</t>
  </si>
  <si>
    <t xml:space="preserve">HMDB0244461</t>
  </si>
  <si>
    <t xml:space="preserve">53882981</t>
  </si>
  <si>
    <t xml:space="preserve">CCCCCC(=CC=CC(=O)NC(C)CCCC1=CN=CC=C1)C1=CC=C(OC)C=C1</t>
  </si>
  <si>
    <t xml:space="preserve">HLCHRSFXEXAMLU-UHFFFAOYSA-N</t>
  </si>
  <si>
    <t xml:space="preserve">Anisoles</t>
  </si>
  <si>
    <t xml:space="preserve">404.28247</t>
  </si>
  <si>
    <t xml:space="preserve">C24H39NO5</t>
  </si>
  <si>
    <t xml:space="preserve">Talatisamine</t>
  </si>
  <si>
    <t xml:space="preserve">212156</t>
  </si>
  <si>
    <t xml:space="preserve">HMDB0258689</t>
  </si>
  <si>
    <t xml:space="preserve">67147</t>
  </si>
  <si>
    <t xml:space="preserve">C08713</t>
  </si>
  <si>
    <t xml:space="preserve">159891</t>
  </si>
  <si>
    <t xml:space="preserve">20501-56-8</t>
  </si>
  <si>
    <t xml:space="preserve">CCN1CC2(COC)CCC(OC)C34C5CC6C(O)C5C(O)(CC6OC)C(CC23)C14</t>
  </si>
  <si>
    <t xml:space="preserve">BDCURAWBZJMFIK-UHFFFAOYSA-N</t>
  </si>
  <si>
    <t xml:space="preserve">409.18767</t>
  </si>
  <si>
    <t xml:space="preserve">C17H30N4O4S</t>
  </si>
  <si>
    <t xml:space="preserve">Butyryl timolol</t>
  </si>
  <si>
    <t xml:space="preserve">204427</t>
  </si>
  <si>
    <t xml:space="preserve">HMDB0249485</t>
  </si>
  <si>
    <t xml:space="preserve">CCCC(=O)OC(CNC(C)(C)C)COC1=NSN=C1N1CCOCC1</t>
  </si>
  <si>
    <t xml:space="preserve">IGJCFKQCZRWRRM-UHFFFAOYSA-N</t>
  </si>
  <si>
    <t xml:space="preserve">409.27097</t>
  </si>
  <si>
    <t xml:space="preserve">C25H38O3</t>
  </si>
  <si>
    <t xml:space="preserve">Dexanabinol</t>
  </si>
  <si>
    <t xml:space="preserve">205745</t>
  </si>
  <si>
    <t xml:space="preserve">HMDB0251084</t>
  </si>
  <si>
    <t xml:space="preserve">4193475</t>
  </si>
  <si>
    <t xml:space="preserve">CCCCCCC(C)(C)C1=CC2=C(C3CC(CO)=CCC3C(C)(C)O2)C(O)=C1</t>
  </si>
  <si>
    <t xml:space="preserve">SSQJFGMEZBFMNV-UHFFFAOYSA-N</t>
  </si>
  <si>
    <t xml:space="preserve">410.09914</t>
  </si>
  <si>
    <t xml:space="preserve">C20H21NO6</t>
  </si>
  <si>
    <t xml:space="preserve">N-Methyl-14-O-demethylepiporphyroxine</t>
  </si>
  <si>
    <t xml:space="preserve">54997</t>
  </si>
  <si>
    <t xml:space="preserve">HMDB0030171</t>
  </si>
  <si>
    <t xml:space="preserve">86771</t>
  </si>
  <si>
    <t xml:space="preserve">122376203</t>
  </si>
  <si>
    <t xml:space="preserve">18361-67-6</t>
  </si>
  <si>
    <t xml:space="preserve">COC1=C(O)C=C2C3OC(O)C4=C(C=CC5=C4OCO5)C3N(C)CCC2=C1</t>
  </si>
  <si>
    <t xml:space="preserve">DPRSKEMBOBQDJV-UHFFFAOYSA-N</t>
  </si>
  <si>
    <t xml:space="preserve">Rhoeadine alkaloids</t>
  </si>
  <si>
    <t xml:space="preserve">411.08966</t>
  </si>
  <si>
    <t xml:space="preserve">C18H17F3N2O3</t>
  </si>
  <si>
    <t xml:space="preserve">5-[[Pyridin-3-yl-[3-(trifluoromethyl)phenyl]methylidene]amino]oxypentanoic acid; Ridogrel</t>
  </si>
  <si>
    <t xml:space="preserve">210150; 53421</t>
  </si>
  <si>
    <t xml:space="preserve">HMDB0256278; HMDB0015338</t>
  </si>
  <si>
    <t xml:space="preserve">; 85477</t>
  </si>
  <si>
    <t xml:space="preserve">; 127439</t>
  </si>
  <si>
    <t xml:space="preserve">; 5362391</t>
  </si>
  <si>
    <t xml:space="preserve">; 110140-89-1</t>
  </si>
  <si>
    <t xml:space="preserve">OC(=O)CCCCON=C(C1=CN=CC=C1)C1=CC(=CC=C1)C(F)(F)F; OC(=O)CCCCO\N=C(\C1=CN=CC=C1)C1=CC(=CC=C1)C(F)(F)F</t>
  </si>
  <si>
    <t xml:space="preserve">GLLPUTYLZIKEGF-UHFFFAOYSA-N; GLLPUTYLZIKEGF-HAVVHWLPSA-N</t>
  </si>
  <si>
    <t xml:space="preserve">Trifluoromethylbenzenes; Trifluoromethylbenzenes</t>
  </si>
  <si>
    <t xml:space="preserve">411.26520</t>
  </si>
  <si>
    <t xml:space="preserve">C25H34N2O3</t>
  </si>
  <si>
    <t xml:space="preserve">tilorone</t>
  </si>
  <si>
    <t xml:space="preserve">212512</t>
  </si>
  <si>
    <t xml:space="preserve">HMDB0259096</t>
  </si>
  <si>
    <t xml:space="preserve">34544</t>
  </si>
  <si>
    <t xml:space="preserve">147347</t>
  </si>
  <si>
    <t xml:space="preserve">5475</t>
  </si>
  <si>
    <t xml:space="preserve">27591-69-1</t>
  </si>
  <si>
    <t xml:space="preserve">CCN(CC)CCOC1=CC2=C(C=C1)C1=C(C=C(OCCN(CC)CC)C=C1)C2=O</t>
  </si>
  <si>
    <t xml:space="preserve">MPMFCABZENCRHV-UHFFFAOYSA-N</t>
  </si>
  <si>
    <t xml:space="preserve">412.06813</t>
  </si>
  <si>
    <t xml:space="preserve">C21H15N3O4</t>
  </si>
  <si>
    <t xml:space="preserve">Deferasirox</t>
  </si>
  <si>
    <t xml:space="preserve">53592</t>
  </si>
  <si>
    <t xml:space="preserve">HMDB0015547</t>
  </si>
  <si>
    <t xml:space="preserve">321511</t>
  </si>
  <si>
    <t xml:space="preserve">49005</t>
  </si>
  <si>
    <t xml:space="preserve">214348</t>
  </si>
  <si>
    <t xml:space="preserve">201530-41-8</t>
  </si>
  <si>
    <t xml:space="preserve">OC(=O)C1=CC=C(C=C1)N1N=C(N=C1C1=CC=CC=C1O)C1=CC=CC=C1O</t>
  </si>
  <si>
    <t xml:space="preserve">BOFQWVMAQOTZIW-UHFFFAOYSA-N</t>
  </si>
  <si>
    <t xml:space="preserve">419.03526</t>
  </si>
  <si>
    <t xml:space="preserve">C16H16N2O6S2</t>
  </si>
  <si>
    <t xml:space="preserve">Cefalotin</t>
  </si>
  <si>
    <t xml:space="preserve">52808</t>
  </si>
  <si>
    <t xml:space="preserve">HMDB0014599</t>
  </si>
  <si>
    <t xml:space="preserve">1638</t>
  </si>
  <si>
    <t xml:space="preserve">C07761</t>
  </si>
  <si>
    <t xml:space="preserve">124991</t>
  </si>
  <si>
    <t xml:space="preserve">6024</t>
  </si>
  <si>
    <t xml:space="preserve">153-61-7</t>
  </si>
  <si>
    <t xml:space="preserve">[H][C@]12SCC(COC(C)=O)=C(N1C(=O)[C@H]2NC(=O)CC1=CC=CS1)C(O)=O</t>
  </si>
  <si>
    <t xml:space="preserve">XIURVHNZVLADCM-IUODEOHRSA-N</t>
  </si>
  <si>
    <t xml:space="preserve">423.21338</t>
  </si>
  <si>
    <t xml:space="preserve">C24H32O5</t>
  </si>
  <si>
    <t xml:space="preserve">Marinobufagenin; Lucidone B; Nevskin</t>
  </si>
  <si>
    <t xml:space="preserve">208474; 59666; 54990</t>
  </si>
  <si>
    <t xml:space="preserve">HMDB0254337; HMDB0035834; HMDB0030162</t>
  </si>
  <si>
    <t xml:space="preserve">; 91055; 86765</t>
  </si>
  <si>
    <t xml:space="preserve">; ; 175980</t>
  </si>
  <si>
    <t xml:space="preserve">615793; 131751870; 495442</t>
  </si>
  <si>
    <t xml:space="preserve">; 97653-93-5; 61490-17-3</t>
  </si>
  <si>
    <t xml:space="preserve">CC12CCC3C(CCC4(O)CC(O)CCC34C)C11OC1CC2C1=COC(=O)C=C1; CC(=O)C1CC(=O)C2(C)C3=C(C(=O)CC12C)C1(C)CCC(=O)C(C)(C)C1CC3O; CC1(O)CCC2C(C)(C)C(O)CCC2(C)C1COC1=CC2=C(C=CC(=O)O2)C=C1</t>
  </si>
  <si>
    <t xml:space="preserve">JMNQTHQLNRILMH-UHFFFAOYSA-N; AJULRUMEMZKBQI-UHFFFAOYSA-N; WNANPKYNOALKIV-UHFFFAOYSA-N</t>
  </si>
  <si>
    <t xml:space="preserve">Lipids and lipid-like molecules; Lipids and lipid-like molecules; Phenylpropanoids and polyketides</t>
  </si>
  <si>
    <t xml:space="preserve">Steroids and steroid derivatives; Steroids and steroid derivatives; Coumarins and derivatives</t>
  </si>
  <si>
    <t xml:space="preserve">Steroid lactones; Oxosteroids; Unclassified</t>
  </si>
  <si>
    <t xml:space="preserve">429.09632</t>
  </si>
  <si>
    <t xml:space="preserve">C20H22O8</t>
  </si>
  <si>
    <t xml:space="preserve">trans-Piceid</t>
  </si>
  <si>
    <t xml:space="preserve">35079</t>
  </si>
  <si>
    <t xml:space="preserve">HMDB0030564</t>
  </si>
  <si>
    <t xml:space="preserve">53240</t>
  </si>
  <si>
    <t xml:space="preserve">LMPK13090012</t>
  </si>
  <si>
    <t xml:space="preserve">C10275</t>
  </si>
  <si>
    <t xml:space="preserve">8198</t>
  </si>
  <si>
    <t xml:space="preserve">5281718</t>
  </si>
  <si>
    <t xml:space="preserve">27208-80-6</t>
  </si>
  <si>
    <t xml:space="preserve">C1=C(O)C=C(/C=C/C2=CC=C(O)C=C2)C=C1O[C@H]1[C@H](O)[C@@H](O)[C@H](O)[C@@H](CO)O1</t>
  </si>
  <si>
    <t xml:space="preserve">HSTZMXCBWJGKHG-CUYWLFDKSA-N</t>
  </si>
  <si>
    <t xml:space="preserve">429.23851</t>
  </si>
  <si>
    <t xml:space="preserve">C24H32N2O5</t>
  </si>
  <si>
    <t xml:space="preserve">Bedoradrine; Falipamil</t>
  </si>
  <si>
    <t xml:space="preserve">203957; 206674</t>
  </si>
  <si>
    <t xml:space="preserve">HMDB0248928; HMDB0252160</t>
  </si>
  <si>
    <t xml:space="preserve">23287809; 71222</t>
  </si>
  <si>
    <t xml:space="preserve">CN(C)C(=O)COC1=CC2=C(CCC(C2)NCC(O)C2=CC(CCO)=C(O)C=C2)C=C1; COC1=C(OC)C=C(CCN(C)CCCN2CC3=CC(OC)=C(OC)C=C3C2=O)C=C1</t>
  </si>
  <si>
    <t xml:space="preserve">OANCEOSLKSTLTA-UHFFFAOYSA-N; UUMGNNQOCVDZDG-UHFFFAOYSA-N</t>
  </si>
  <si>
    <t xml:space="preserve">Tetralins; Isoindoles and derivatives</t>
  </si>
  <si>
    <t xml:space="preserve">Unclassified; Isoindolines</t>
  </si>
  <si>
    <t xml:space="preserve">431.34916</t>
  </si>
  <si>
    <t xml:space="preserve">C28H46O3</t>
  </si>
  <si>
    <t xml:space="preserve">4alpha-Carboxy-5alpha-cholesta-8-en-3beta-ol; 4α-carboxy-5α-cholesta-8-en-3β-ol</t>
  </si>
  <si>
    <t xml:space="preserve">51879; 43560</t>
  </si>
  <si>
    <t xml:space="preserve">HMDB0012166; HMDB0062386</t>
  </si>
  <si>
    <t xml:space="preserve">; 57667</t>
  </si>
  <si>
    <t xml:space="preserve">; LMST01010228</t>
  </si>
  <si>
    <t xml:space="preserve">; 87293</t>
  </si>
  <si>
    <t xml:space="preserve">25200718; 44263318</t>
  </si>
  <si>
    <t xml:space="preserve">CC(C)CCCC(C)C1CCC2C3=C(CC[C@]12C)[C@@]1(C)CC[C@H](O)[C@H](C1CC3)C(O)=O; C12CC[C@@]3([H])[C@H](C(=O)O)[C@@H](O)CC[C@]3(C)C=1CC[C@]1(C)[C@@]([H])([C@@](C)([H])CCCC(C)C)CC[C@@]21[H]</t>
  </si>
  <si>
    <t xml:space="preserve">RODBXVVNKJCWQR-KLZNZPMLSA-N; RODBXVVNKJCWQR-GSQAGGHASA-N</t>
  </si>
  <si>
    <t xml:space="preserve">Cholestane steroids; Cholestane steroids</t>
  </si>
  <si>
    <t xml:space="preserve">437.10368</t>
  </si>
  <si>
    <t xml:space="preserve">C22H19ClN4O5</t>
  </si>
  <si>
    <t xml:space="preserve">Tivozanib</t>
  </si>
  <si>
    <t xml:space="preserve">257591</t>
  </si>
  <si>
    <t xml:space="preserve">HMDB0304847</t>
  </si>
  <si>
    <t xml:space="preserve">COC1=C(OC)C=C2C(OC3=CC(Cl)=C(C=C3)N=C(O)N=C3NOC(C)=C3)=CC=NC2=C1</t>
  </si>
  <si>
    <t xml:space="preserve">SPMVMDHWKHCIDT-UHFFFAOYSA-N</t>
  </si>
  <si>
    <t xml:space="preserve">437.30020</t>
  </si>
  <si>
    <t xml:space="preserve">C27H42O3</t>
  </si>
  <si>
    <t xml:space="preserve">Smilagenone; Setariol; ((1R,2R,5R)-2-(2,6-Dimethoxy-4-(2-methyloctan-2-yl)phenyl)-7,7-dimethyl-4-bicyclo(3.1.1)hept-3-enyl) methanol</t>
  </si>
  <si>
    <t xml:space="preserve">60598; 64662; 198704</t>
  </si>
  <si>
    <t xml:space="preserve">HMDB0036941; HMDB0041583; HMDB0242225</t>
  </si>
  <si>
    <t xml:space="preserve">91929; ; </t>
  </si>
  <si>
    <t xml:space="preserve">313275; 131753169; 20764337</t>
  </si>
  <si>
    <t xml:space="preserve">512-07-2; 142942-85-6; </t>
  </si>
  <si>
    <t xml:space="preserve">CC1C2C(CC3C4CCC5CC(=O)CCC5(C)C4CCC23C)OC11CCC(C)CO1; CC(CO)CCCC(=C)C1CCC2(O)C3=CCC4CC(O)CCC44CC34CCC12C; CCCCCCC(C)(C)C1=CC(OC)=C(C2C=C(CO)C3CC2C3(C)C)C(OC)=C1</t>
  </si>
  <si>
    <t xml:space="preserve">CIBAPVLFORANSS-UHFFFAOYSA-N; LHQZNTIWWWUEJH-UHFFFAOYSA-N; CFMRIVODIXTERW-UHFFFAOYSA-N</t>
  </si>
  <si>
    <t xml:space="preserve">Triterpenoids; Hydroxysteroids; Monoterpenoids</t>
  </si>
  <si>
    <t xml:space="preserve">441.19399</t>
  </si>
  <si>
    <t xml:space="preserve">C25H29ClN2O3</t>
  </si>
  <si>
    <t xml:space="preserve">Picumast</t>
  </si>
  <si>
    <t xml:space="preserve">210380</t>
  </si>
  <si>
    <t xml:space="preserve">HMDB0256542</t>
  </si>
  <si>
    <t xml:space="preserve">CC1=C(C)C2=C(OC1=O)C=C(OCCCN1CCN(CC3=CC=C(Cl)C=C3)CC1)C=C2</t>
  </si>
  <si>
    <t xml:space="preserve">USCSJAIWXWYTEH-UHFFFAOYSA-N</t>
  </si>
  <si>
    <t xml:space="preserve">447.20030</t>
  </si>
  <si>
    <t xml:space="preserve">C24H30O8</t>
  </si>
  <si>
    <t xml:space="preserve">Estrone glucuronide</t>
  </si>
  <si>
    <t xml:space="preserve">46630</t>
  </si>
  <si>
    <t xml:space="preserve">HMDB0004483</t>
  </si>
  <si>
    <t xml:space="preserve">7063</t>
  </si>
  <si>
    <t xml:space="preserve">LMST05010011</t>
  </si>
  <si>
    <t xml:space="preserve">C11133</t>
  </si>
  <si>
    <t xml:space="preserve">28919</t>
  </si>
  <si>
    <t xml:space="preserve">115255</t>
  </si>
  <si>
    <t xml:space="preserve">2479-90-5</t>
  </si>
  <si>
    <t xml:space="preserve">[C@@H]1([C@@H]([C@H]([C@H](O)[C@@H](C(O)=O)O1)O)O)OC1C=CC2=C(CC[C@]3([H])[C@]2([H])CC[C@]2(C)C(CC[C@@]32[H])=O)C=1</t>
  </si>
  <si>
    <t xml:space="preserve">FJAZVHYPASAQKM-JBAURARKSA-N</t>
  </si>
  <si>
    <t xml:space="preserve">448.23077</t>
  </si>
  <si>
    <t xml:space="preserve">C25H31F2NO4</t>
  </si>
  <si>
    <t xml:space="preserve">Ronacaleret</t>
  </si>
  <si>
    <t xml:space="preserve">211018</t>
  </si>
  <si>
    <t xml:space="preserve">HMDB0257300</t>
  </si>
  <si>
    <t xml:space="preserve">46184239</t>
  </si>
  <si>
    <t xml:space="preserve">CC(C)(CC1CC2=CC=CC=C2C1)NCC(O)COC1=C(F)C(F)=CC(CCC(O)=O)=C1</t>
  </si>
  <si>
    <t xml:space="preserve">FQJISUPNMFRIFZ-UHFFFAOYSA-N</t>
  </si>
  <si>
    <t xml:space="preserve">456.20980</t>
  </si>
  <si>
    <t xml:space="preserve">C18H38NO7P</t>
  </si>
  <si>
    <t xml:space="preserve">GPC(10:0)</t>
  </si>
  <si>
    <t xml:space="preserve">19824</t>
  </si>
  <si>
    <t xml:space="preserve">HMDB0003752</t>
  </si>
  <si>
    <t xml:space="preserve">40271</t>
  </si>
  <si>
    <t xml:space="preserve">LMGP01050005</t>
  </si>
  <si>
    <t xml:space="preserve">77726</t>
  </si>
  <si>
    <t xml:space="preserve">22851442</t>
  </si>
  <si>
    <t xml:space="preserve">22248-63-1</t>
  </si>
  <si>
    <t xml:space="preserve">[C@](COP(=O)([O-])OCC[N+](C)(C)C)([H])(O)COC(CCCCCCCCC)=O</t>
  </si>
  <si>
    <t xml:space="preserve">SECPDKKEUKDCPG-QGZVFWFLSA-N</t>
  </si>
  <si>
    <t xml:space="preserve">457.27064</t>
  </si>
  <si>
    <t xml:space="preserve">C26H36N2O5</t>
  </si>
  <si>
    <t xml:space="preserve">Zatebradine</t>
  </si>
  <si>
    <t xml:space="preserve">213201</t>
  </si>
  <si>
    <t xml:space="preserve">HMDB0259990</t>
  </si>
  <si>
    <t xml:space="preserve">320931</t>
  </si>
  <si>
    <t xml:space="preserve">65637</t>
  </si>
  <si>
    <t xml:space="preserve">COC1=C(OC)C=C(CCN(C)CCCN2CCC3=CC(OC)=C(OC)C=C3CC2=O)C=C1</t>
  </si>
  <si>
    <t xml:space="preserve">KEDQCFRVSHYKLR-UHFFFAOYSA-N</t>
  </si>
  <si>
    <t xml:space="preserve">459.24694</t>
  </si>
  <si>
    <t xml:space="preserve">C21H41O7P</t>
  </si>
  <si>
    <t xml:space="preserve">DHAP(18:0)</t>
  </si>
  <si>
    <t xml:space="preserve">51169</t>
  </si>
  <si>
    <t xml:space="preserve">HMDB0011133</t>
  </si>
  <si>
    <t xml:space="preserve">61995</t>
  </si>
  <si>
    <t xml:space="preserve">C03805</t>
  </si>
  <si>
    <t xml:space="preserve">36476</t>
  </si>
  <si>
    <t xml:space="preserve">440127</t>
  </si>
  <si>
    <t xml:space="preserve">CCCCCCCCCCCCCCCCCC(=O)OCC(=O)COP(O)(O)=O</t>
  </si>
  <si>
    <t xml:space="preserve">GTPATKZCXDKGQS-UHFFFAOYSA-N</t>
  </si>
  <si>
    <t xml:space="preserve">459.98810</t>
  </si>
  <si>
    <t xml:space="preserve">C18H19Cl2NO4</t>
  </si>
  <si>
    <t xml:space="preserve">Felodipine</t>
  </si>
  <si>
    <t xml:space="preserve">53264</t>
  </si>
  <si>
    <t xml:space="preserve">HMDB0015158</t>
  </si>
  <si>
    <t xml:space="preserve">2659</t>
  </si>
  <si>
    <t xml:space="preserve">C06995</t>
  </si>
  <si>
    <t xml:space="preserve">585948</t>
  </si>
  <si>
    <t xml:space="preserve">3333</t>
  </si>
  <si>
    <t xml:space="preserve">72509-76-3</t>
  </si>
  <si>
    <t xml:space="preserve">CCOC(=O)C1=C(C)NC(C)=C(C1C1=C(Cl)C(Cl)=CC=C1)C(=O)OC</t>
  </si>
  <si>
    <t xml:space="preserve">RZTAMFZIAATZDJ-UHFFFAOYSA-N</t>
  </si>
  <si>
    <t xml:space="preserve">465.33398</t>
  </si>
  <si>
    <t xml:space="preserve">C26H50O4</t>
  </si>
  <si>
    <t xml:space="preserve">Dioctyl sebacate</t>
  </si>
  <si>
    <t xml:space="preserve">205767</t>
  </si>
  <si>
    <t xml:space="preserve">HMDB0251115</t>
  </si>
  <si>
    <t xml:space="preserve">75516</t>
  </si>
  <si>
    <t xml:space="preserve">CCCCCCCCOC(=O)CCCCCCCCC(=O)OCCCCCCCC</t>
  </si>
  <si>
    <t xml:space="preserve">MIMDHDXOBDPUQW-UHFFFAOYSA-N</t>
  </si>
  <si>
    <t xml:space="preserve">467.24873</t>
  </si>
  <si>
    <t xml:space="preserve">C21H43O6P</t>
  </si>
  <si>
    <t xml:space="preserve">DHAP(O-18:0)</t>
  </si>
  <si>
    <t xml:space="preserve">51171</t>
  </si>
  <si>
    <t xml:space="preserve">HMDB0011142</t>
  </si>
  <si>
    <t xml:space="preserve">78163</t>
  </si>
  <si>
    <t xml:space="preserve">49791756</t>
  </si>
  <si>
    <t xml:space="preserve">CCCCCCCCCCCCCCCCCCOCC(=O)COP(O)(O)=O</t>
  </si>
  <si>
    <t xml:space="preserve">DSLZSTBYLRGPIK-UHFFFAOYSA-N</t>
  </si>
  <si>
    <t xml:space="preserve">470.12882</t>
  </si>
  <si>
    <t xml:space="preserve">C23H21N5O3S</t>
  </si>
  <si>
    <t xml:space="preserve">Amuvatinib</t>
  </si>
  <si>
    <t xml:space="preserve">203476</t>
  </si>
  <si>
    <t xml:space="preserve">HMDB0248369</t>
  </si>
  <si>
    <t xml:space="preserve">11282283</t>
  </si>
  <si>
    <t xml:space="preserve">S=C(NCC1=CC=C2OCOC2=C1)N1CCN(CC1)C1=NC=NC2=C1OC1=C2C=CC=C1</t>
  </si>
  <si>
    <t xml:space="preserve">FOFDIMHVKGYHRU-UHFFFAOYSA-N</t>
  </si>
  <si>
    <t xml:space="preserve">470.30182</t>
  </si>
  <si>
    <t xml:space="preserve">C27H45NO3</t>
  </si>
  <si>
    <t xml:space="preserve">Solanocardinol; Peimine; N-Stearoyl phenylalanine</t>
  </si>
  <si>
    <t xml:space="preserve">62183; 210082; 8670</t>
  </si>
  <si>
    <t xml:space="preserve">HMDB0038836; HMDB0256205; HMDB0062342</t>
  </si>
  <si>
    <t xml:space="preserve">93471; ; 75475</t>
  </si>
  <si>
    <t xml:space="preserve">; ; LMFA08020093</t>
  </si>
  <si>
    <t xml:space="preserve">73802037; 3727034; 6710071</t>
  </si>
  <si>
    <t xml:space="preserve">138665-46-0; ; </t>
  </si>
  <si>
    <t xml:space="preserve">CC1CNC2C(C)C3C(CC4C5CCC6CC(O)CCC6(C)C5CCC34C)OC2(O)C1; CC1CCC2N(C1)CC1C3CC4C(CC(O)C5CC(O)CCC45C)C3CCC1C2(C)O; C1(C=CC=CC=1)C[C@]([H])(NC(CCCCCCCCCCCCCCCCC)=O)C(=O)O</t>
  </si>
  <si>
    <t xml:space="preserve">ZHFCFFSSVSIEIR-UHFFFAOYSA-N; IUKLSMSEHKDIIP-UHFFFAOYSA-N; PHZQULSGYVCYNC-VWLOTQADSA-N</t>
  </si>
  <si>
    <t xml:space="preserve">Lipids and lipid-like molecules; Lipids and lipid-like molecules; Organic acids and derivatives</t>
  </si>
  <si>
    <t xml:space="preserve">Steroids and steroid derivatives; Steroids and steroid derivatives; Carboxylic acids and derivatives</t>
  </si>
  <si>
    <t xml:space="preserve">Steroidal alkaloids; Steroidal alkaloids; Amino acids, peptides, and analogues</t>
  </si>
  <si>
    <t xml:space="preserve">470.79953</t>
  </si>
  <si>
    <t xml:space="preserve">C9H6I2O4</t>
  </si>
  <si>
    <t xml:space="preserve">3-(3,5-Diiodo-4-hydroxyphenyl)pyruvate</t>
  </si>
  <si>
    <t xml:space="preserve">81731</t>
  </si>
  <si>
    <t xml:space="preserve">HMDB0059637</t>
  </si>
  <si>
    <t xml:space="preserve">65571</t>
  </si>
  <si>
    <t xml:space="preserve">C01244</t>
  </si>
  <si>
    <t xml:space="preserve">17131</t>
  </si>
  <si>
    <t xml:space="preserve">192726</t>
  </si>
  <si>
    <t xml:space="preserve">OC(=O)C(=O)CC1=CC(I)=C(O)C(I)=C1</t>
  </si>
  <si>
    <t xml:space="preserve">TZPLBTUUWSVGCY-UHFFFAOYSA-N</t>
  </si>
  <si>
    <t xml:space="preserve">470.99634</t>
  </si>
  <si>
    <t xml:space="preserve">C19H11F5N2O2</t>
  </si>
  <si>
    <t xml:space="preserve">Diflufenican</t>
  </si>
  <si>
    <t xml:space="preserve">205905</t>
  </si>
  <si>
    <t xml:space="preserve">HMDB0251262</t>
  </si>
  <si>
    <t xml:space="preserve">72354</t>
  </si>
  <si>
    <t xml:space="preserve">C18549</t>
  </si>
  <si>
    <t xml:space="preserve">81824</t>
  </si>
  <si>
    <t xml:space="preserve">91735</t>
  </si>
  <si>
    <t xml:space="preserve">83164-33-4</t>
  </si>
  <si>
    <t xml:space="preserve">FC1=CC(F)=C(NC(=O)C2=C(OC3=CC=CC(=C3)C(F)(F)F)N=CC=C2)C=C1</t>
  </si>
  <si>
    <t xml:space="preserve">WYEHFWKAOXOVJD-UHFFFAOYSA-N</t>
  </si>
  <si>
    <t xml:space="preserve">471.23022</t>
  </si>
  <si>
    <t xml:space="preserve">C20H36N2O9</t>
  </si>
  <si>
    <t xml:space="preserve">3-Hydroxy-3-methylglutarylcarnitine</t>
  </si>
  <si>
    <t xml:space="preserve">201266</t>
  </si>
  <si>
    <t xml:space="preserve">HMDB0245885</t>
  </si>
  <si>
    <t xml:space="preserve">129692232</t>
  </si>
  <si>
    <t xml:space="preserve">CC(O)(CC(=O)C(C(O)C[N+](C)(C)C)C([O-])=O)CC(=O)C(C(O)C[N+](C)(C)C)C([O-])=O</t>
  </si>
  <si>
    <t xml:space="preserve">UIGGVTYQXJVTAE-UHFFFAOYSA-N</t>
  </si>
  <si>
    <t xml:space="preserve">471.29573</t>
  </si>
  <si>
    <t xml:space="preserve">C26H38N4O4</t>
  </si>
  <si>
    <t xml:space="preserve">Ceanothine C</t>
  </si>
  <si>
    <t xml:space="preserve">54309</t>
  </si>
  <si>
    <t xml:space="preserve">HMDB0029340</t>
  </si>
  <si>
    <t xml:space="preserve">171986</t>
  </si>
  <si>
    <t xml:space="preserve">131750853</t>
  </si>
  <si>
    <t xml:space="preserve">18658-42-9</t>
  </si>
  <si>
    <t xml:space="preserve">CC(C)CC1NC(=O)C(NC(=O)C2CCCN2C)C(OC2=CC=C(C=C2)\C=C/NC1=O)C(C)C</t>
  </si>
  <si>
    <t xml:space="preserve">VAPUILOXKWGXSJ-SEYXRHQNSA-N</t>
  </si>
  <si>
    <t xml:space="preserve">473.09350</t>
  </si>
  <si>
    <t xml:space="preserve">C20H26O10S2</t>
  </si>
  <si>
    <t xml:space="preserve">Lignosulfonic acid</t>
  </si>
  <si>
    <t xml:space="preserve">202702</t>
  </si>
  <si>
    <t xml:space="preserve">HMDB0247479</t>
  </si>
  <si>
    <t xml:space="preserve">24712</t>
  </si>
  <si>
    <t xml:space="preserve">COC1=CC=CC(CC(CS(O)(=O)=O)OC2=C(OC)C=C(CCCS(O)(=O)=O)C=C2)=C1O</t>
  </si>
  <si>
    <t xml:space="preserve">FOGYNLXERPKEGN-UHFFFAOYSA-N</t>
  </si>
  <si>
    <t xml:space="preserve">474.22950</t>
  </si>
  <si>
    <t xml:space="preserve">C25H27N7O3</t>
  </si>
  <si>
    <t xml:space="preserve">CD 1790</t>
  </si>
  <si>
    <t xml:space="preserve">82668</t>
  </si>
  <si>
    <t xml:space="preserve">HMDB0060809</t>
  </si>
  <si>
    <t xml:space="preserve">91971625</t>
  </si>
  <si>
    <t xml:space="preserve">CC#CCN1C(=NC2=C1C(=O)N(CC1=NC3=CC=CC=C3C(C)=N1)C(=O)N2C)N1CCCC(O)C1</t>
  </si>
  <si>
    <t xml:space="preserve">QAHWUJQHJPWQGS-UHFFFAOYSA-N</t>
  </si>
  <si>
    <t xml:space="preserve">476.01326</t>
  </si>
  <si>
    <t xml:space="preserve">C10H16N5O11P3</t>
  </si>
  <si>
    <t xml:space="preserve">2',3'-Dideoxyadenosine-5-triphosphate</t>
  </si>
  <si>
    <t xml:space="preserve">82592</t>
  </si>
  <si>
    <t xml:space="preserve">HMDB0060728</t>
  </si>
  <si>
    <t xml:space="preserve">458609</t>
  </si>
  <si>
    <t xml:space="preserve">65304</t>
  </si>
  <si>
    <t xml:space="preserve">24027-80-3</t>
  </si>
  <si>
    <t xml:space="preserve">NC1=NC=NC2=C1N=CN2[C@H]1CC[C@@H](COP(O)(=O)OP(O)(=O)OP(O)(O)=O)O1</t>
  </si>
  <si>
    <t xml:space="preserve">OAKPWEUQDVLTCN-NKWVEPMBSA-N</t>
  </si>
  <si>
    <t xml:space="preserve">478.29184</t>
  </si>
  <si>
    <t xml:space="preserve">C25H45NO5</t>
  </si>
  <si>
    <t xml:space="preserve">3-Hydroxylinoleoylcarnitine; (9Z,12Z)-6-Hydroxyoctadeca-9,12-dienoylcarnitine; (11E,13Z)-10-Hydroxyoctadeca-11,13-dienoylcarnitine</t>
  </si>
  <si>
    <t xml:space="preserve">8324; 198084; 198085</t>
  </si>
  <si>
    <t xml:space="preserve">HMDB0240768; HMDB0241543; HMDB0241544</t>
  </si>
  <si>
    <t xml:space="preserve">LMFA07070042; ; </t>
  </si>
  <si>
    <t xml:space="preserve">73075; ; </t>
  </si>
  <si>
    <t xml:space="preserve">71464556; ; </t>
  </si>
  <si>
    <t xml:space="preserve">C(C([O-])=O)C(OC(CC(O)CCCCC/C=C\C/C=C\CCCCC)=O)C[N+](C)(C)C; CCCCCC=CCC=CCCC(O)CCCCC(=O)OC(CC([O-])=O)C[N+](C)(C)C; CCCCC=CC=CC(O)CCCCCCCCC(=O)OC(CC([O-])=O)C[N+](C)(C)C</t>
  </si>
  <si>
    <t xml:space="preserve">WQYXCASYXUFNSI-UTJQPWESSA-N; CLELUHOHSFDURZ-UHFFFAOYSA-N; PGOWXCBADQKSCL-UHFFFAOYSA-N</t>
  </si>
  <si>
    <t xml:space="preserve">478.33034</t>
  </si>
  <si>
    <t xml:space="preserve">C24H50NO7P</t>
  </si>
  <si>
    <t xml:space="preserve">GPC(16:0)</t>
  </si>
  <si>
    <t xml:space="preserve">19830</t>
  </si>
  <si>
    <t xml:space="preserve">HMDB0010382</t>
  </si>
  <si>
    <t xml:space="preserve">40284</t>
  </si>
  <si>
    <t xml:space="preserve">LMGP01050018</t>
  </si>
  <si>
    <t xml:space="preserve">C04230</t>
  </si>
  <si>
    <t xml:space="preserve">72998</t>
  </si>
  <si>
    <t xml:space="preserve">460602</t>
  </si>
  <si>
    <t xml:space="preserve">17364-16-8</t>
  </si>
  <si>
    <t xml:space="preserve">[C@](COP(=O)([O-])OCC[N+](C)(C)C)([H])(O)COC(CCCCCCCCCCCCCCC)=O</t>
  </si>
  <si>
    <t xml:space="preserve">ASWBNKHCZGQVJV-HSZRJFAPSA-N</t>
  </si>
  <si>
    <t xml:space="preserve">478.77591</t>
  </si>
  <si>
    <t xml:space="preserve">C2H4Cl3O4P</t>
  </si>
  <si>
    <t xml:space="preserve">2M+Na</t>
  </si>
  <si>
    <t xml:space="preserve">triclofos</t>
  </si>
  <si>
    <t xml:space="preserve">212587</t>
  </si>
  <si>
    <t xml:space="preserve">HMDB0259185</t>
  </si>
  <si>
    <t xml:space="preserve">66600</t>
  </si>
  <si>
    <t xml:space="preserve">C07165</t>
  </si>
  <si>
    <t xml:space="preserve">5563</t>
  </si>
  <si>
    <t xml:space="preserve">306-52-5</t>
  </si>
  <si>
    <t xml:space="preserve">OP(O)(=O)OCC(Cl)(Cl)Cl</t>
  </si>
  <si>
    <t xml:space="preserve">YYQRGCZGSFRBAM-UHFFFAOYSA-N</t>
  </si>
  <si>
    <t xml:space="preserve">479.33073</t>
  </si>
  <si>
    <t xml:space="preserve">C30H48O2</t>
  </si>
  <si>
    <t xml:space="preserve">Soyasapogenol C</t>
  </si>
  <si>
    <t xml:space="preserve">58506</t>
  </si>
  <si>
    <t xml:space="preserve">HMDB0034506</t>
  </si>
  <si>
    <t xml:space="preserve">C17422</t>
  </si>
  <si>
    <t xml:space="preserve">12442855</t>
  </si>
  <si>
    <t xml:space="preserve">595-14-2</t>
  </si>
  <si>
    <t xml:space="preserve">CC1(C)CC2C3=CCC4C5(C)CCC(O)C(C)(CO)C5CCC4(C)C3(C)CCC2(C)C=C1</t>
  </si>
  <si>
    <t xml:space="preserve">VNGUCOGHCJHFID-UHFFFAOYSA-N</t>
  </si>
  <si>
    <t xml:space="preserve">481.04840</t>
  </si>
  <si>
    <t xml:space="preserve">C22H18O10</t>
  </si>
  <si>
    <t xml:space="preserve">(-)-Epicatechin 3-O-gallate; (-)-Catechin 3-O-gallate; Epicatechin-3-gallate</t>
  </si>
  <si>
    <t xml:space="preserve">28910; 28911; 28912</t>
  </si>
  <si>
    <t xml:space="preserve">HMDB0037944; HMDB0029255; HMDB0240514</t>
  </si>
  <si>
    <t xml:space="preserve">43599; 47307; 47308</t>
  </si>
  <si>
    <t xml:space="preserve">LMPK12020090; LMPK12020091; LMPK12020092</t>
  </si>
  <si>
    <t xml:space="preserve">70255; 76131; 76126</t>
  </si>
  <si>
    <t xml:space="preserve">107905; 6419835; 65056</t>
  </si>
  <si>
    <t xml:space="preserve">1257-08-5; 130405-40-2; </t>
  </si>
  <si>
    <t xml:space="preserve">C1(O)C=C2O[C@H](C3C=C(O)C(O)=CC=3)[C@H](OC(C3C=C(O)C(O)=C(O)C=3)=O)CC2=C(O)C=1; C1(O)C=C2O[C@@H](C3C=C(O)C(O)=CC=3)[C@H](OC(C3C=C(O)C(O)=C(O)C=3)=O)CC2=C(O)C=1; C1(O)C=C2O[C@@H](C3C=C(O)C(O)=CC=3)[C@@H](OC(C3C=C(O)C(O)=C(O)C=3)=O)CC2=C(O)C=1</t>
  </si>
  <si>
    <t xml:space="preserve">LSHVYAFMTMFKBA-TZIWHRDSSA-N; LSHVYAFMTMFKBA-CTNGQTDRSA-N; LSHVYAFMTMFKBA-FPOVZHCZSA-N</t>
  </si>
  <si>
    <t xml:space="preserve">481.24021</t>
  </si>
  <si>
    <t xml:space="preserve">C25H36O9</t>
  </si>
  <si>
    <t xml:space="preserve">11-Deacetylvaltrate 11-(3-hydroxy-3-methylbutanoate); 4-Propanoyl-HT2 toxin</t>
  </si>
  <si>
    <t xml:space="preserve">57864; 59951</t>
  </si>
  <si>
    <t xml:space="preserve">HMDB0033654; HMDB0036161</t>
  </si>
  <si>
    <t xml:space="preserve">89453; 91312</t>
  </si>
  <si>
    <t xml:space="preserve">175765; </t>
  </si>
  <si>
    <t xml:space="preserve">131751475; 131751921</t>
  </si>
  <si>
    <t xml:space="preserve">96681-66-2; 104903-80-2</t>
  </si>
  <si>
    <t xml:space="preserve">CC(C)CC(=O)OC1C=C2C(C(OC(=O)CC(C)C)OC=C2COC(=O)CC(C)(C)O)C11CO1; CCC(=O)OC1C(O)C2OC3C=C(C)C(CC3(COC(C)=O)C1(C)C21CO1)OC(=O)CC(C)C</t>
  </si>
  <si>
    <t xml:space="preserve">QHYRSOLVOPZTHU-UHFFFAOYSA-N; HHSVPRXLNYVHLR-UHFFFAOYSA-N</t>
  </si>
  <si>
    <t xml:space="preserve">Monoterpenoids; Sesquiterpenoids</t>
  </si>
  <si>
    <t xml:space="preserve">482.00167</t>
  </si>
  <si>
    <t xml:space="preserve">C12H15N5O9S2</t>
  </si>
  <si>
    <t xml:space="preserve">tigemonam</t>
  </si>
  <si>
    <t xml:space="preserve">212505</t>
  </si>
  <si>
    <t xml:space="preserve">HMDB0259088</t>
  </si>
  <si>
    <t xml:space="preserve">CC1(C)C(NC(=O)C(=NOCC(O)=O)C2=CSC(N)=N2)C(=O)N1OS(O)(=O)=O</t>
  </si>
  <si>
    <t xml:space="preserve">VAMSVIZLXJOLHZ-UHFFFAOYSA-N</t>
  </si>
  <si>
    <t xml:space="preserve">483.07928</t>
  </si>
  <si>
    <t xml:space="preserve">C21H22BrFN4O2</t>
  </si>
  <si>
    <t xml:space="preserve">N-Desmethyl vandetanib</t>
  </si>
  <si>
    <t xml:space="preserve">82693</t>
  </si>
  <si>
    <t xml:space="preserve">HMDB0060835</t>
  </si>
  <si>
    <t xml:space="preserve">5329048</t>
  </si>
  <si>
    <t xml:space="preserve">COC1=C(OCC2CCNCC2)C=C2N=CN=C(NC3=C(F)C=C(Br)C=C3)C2=C1</t>
  </si>
  <si>
    <t xml:space="preserve">HTCPERSEGREUFC-UHFFFAOYSA-N</t>
  </si>
  <si>
    <t xml:space="preserve">483.26290</t>
  </si>
  <si>
    <t xml:space="preserve">C27H32N8O2</t>
  </si>
  <si>
    <t xml:space="preserve">Adavosertib</t>
  </si>
  <si>
    <t xml:space="preserve">208855</t>
  </si>
  <si>
    <t xml:space="preserve">HMDB0254782</t>
  </si>
  <si>
    <t xml:space="preserve">24856436</t>
  </si>
  <si>
    <t xml:space="preserve">CN1CCN(CC1)C1=CC=C(NC2=NC=C3C(=O)N(CC=C)N(C3=N2)C2=NC(=CC=C2)C(C)(C)O)C=C1</t>
  </si>
  <si>
    <t xml:space="preserve">BKWJAKQVGHWELA-UHFFFAOYSA-N</t>
  </si>
  <si>
    <t xml:space="preserve">484.07995</t>
  </si>
  <si>
    <t xml:space="preserve">C22H21Cl2N3O4</t>
  </si>
  <si>
    <t xml:space="preserve">2,5-Dioxopyrrolidin-1-yl 4-(bis(4-chlorophenyl)methyl)piperazine-1-carboxylate</t>
  </si>
  <si>
    <t xml:space="preserve">208845</t>
  </si>
  <si>
    <t xml:space="preserve">HMDB0254772</t>
  </si>
  <si>
    <t xml:space="preserve">ClC1=CC=C(C=C1)C(N1CCN(CC1)C(=O)ON1C(=O)CCC1=O)C1=CC=C(Cl)C=C1</t>
  </si>
  <si>
    <t xml:space="preserve">BEADRWVIFHOSGN-UHFFFAOYSA-N</t>
  </si>
  <si>
    <t xml:space="preserve">485.07501</t>
  </si>
  <si>
    <t xml:space="preserve">C21H19ClN2O8</t>
  </si>
  <si>
    <t xml:space="preserve">Oxazepam glucuronide</t>
  </si>
  <si>
    <t xml:space="preserve">64972</t>
  </si>
  <si>
    <t xml:space="preserve">HMDB0041969</t>
  </si>
  <si>
    <t xml:space="preserve">898</t>
  </si>
  <si>
    <t xml:space="preserve">168654</t>
  </si>
  <si>
    <t xml:space="preserve">160870</t>
  </si>
  <si>
    <t xml:space="preserve">6801-81-6</t>
  </si>
  <si>
    <t xml:space="preserve">O[C@@H]1[C@@H](O)[C@H](OC2N=C(C3=CC=CC=C3)C3=C(C=CC(Cl)=C3)N=C2O)O[C@@H]([C@H]1O)C(O)=O</t>
  </si>
  <si>
    <t xml:space="preserve">FIKQKGFUBZQEBL-IFBJMGMISA-N</t>
  </si>
  <si>
    <t xml:space="preserve">485.29360</t>
  </si>
  <si>
    <t xml:space="preserve">C15H18N2O</t>
  </si>
  <si>
    <t xml:space="preserve">(-)-Huperzine A (HupA)</t>
  </si>
  <si>
    <t xml:space="preserve">198694</t>
  </si>
  <si>
    <t xml:space="preserve">HMDB0242212</t>
  </si>
  <si>
    <t xml:space="preserve">1253</t>
  </si>
  <si>
    <t xml:space="preserve">CC=C1C2CC3=C(C=CC(=O)N3)C1(N)CC(C)=C2</t>
  </si>
  <si>
    <t xml:space="preserve">ZRJBHWIHUMBLCN-UHFFFAOYSA-N</t>
  </si>
  <si>
    <t xml:space="preserve">Quinolones and derivatives</t>
  </si>
  <si>
    <t xml:space="preserve">488.12584</t>
  </si>
  <si>
    <t xml:space="preserve">C26H25Cl2N3O</t>
  </si>
  <si>
    <t xml:space="preserve">Tebuquine</t>
  </si>
  <si>
    <t xml:space="preserve">212222</t>
  </si>
  <si>
    <t xml:space="preserve">HMDB0258767</t>
  </si>
  <si>
    <t xml:space="preserve">CC(C)(C)NCC1=C(O)C(=CC(NC2=C3C=CC(Cl)=CC3=NC=C2)=C1)C1=CC=C(Cl)C=C1</t>
  </si>
  <si>
    <t xml:space="preserve">BCHMRNALCJISMZ-UHFFFAOYSA-N</t>
  </si>
  <si>
    <t xml:space="preserve">488.25605</t>
  </si>
  <si>
    <t xml:space="preserve">C24H45NO4</t>
  </si>
  <si>
    <t xml:space="preserve">(10Z)-Heptadec-10-enoylcarnitine; (9E)-Heptadec-9-enoylcarnitine</t>
  </si>
  <si>
    <t xml:space="preserve">198060; 198059</t>
  </si>
  <si>
    <t xml:space="preserve">HMDB0241517; HMDB0241516</t>
  </si>
  <si>
    <t xml:space="preserve">CCCCCCC=CCCCCCCCCC(=O)OC(CC([O-])=O)C[N+](C)(C)C; CCCCCCCC=CCCCCCCCC(=O)OC(CC([O-])=O)C[N+](C)(C)C</t>
  </si>
  <si>
    <t xml:space="preserve">SKPHYNUKADBZMQ-UHFFFAOYSA-N; HZMKCRJXXVHZKT-UHFFFAOYSA-N</t>
  </si>
  <si>
    <t xml:space="preserve">Fatty acid esters; Fatty acid esters</t>
  </si>
  <si>
    <t xml:space="preserve">490.27452</t>
  </si>
  <si>
    <t xml:space="preserve">C29H41NO3</t>
  </si>
  <si>
    <t xml:space="preserve">N-Arachidonoyl Phenylalanine</t>
  </si>
  <si>
    <t xml:space="preserve">198507</t>
  </si>
  <si>
    <t xml:space="preserve">HMDB0242001</t>
  </si>
  <si>
    <t xml:space="preserve">CCCCCC=CCC=CCC=CCC=CCCCC(=O)NC(CC1=CC=CC=C1)C(O)=O</t>
  </si>
  <si>
    <t xml:space="preserve">YHLNAFGXMQKMQX-UHFFFAOYSA-N</t>
  </si>
  <si>
    <t xml:space="preserve">491.26628</t>
  </si>
  <si>
    <t xml:space="preserve">C27H38O8</t>
  </si>
  <si>
    <t xml:space="preserve">Involucrin; Lucidenic acid J</t>
  </si>
  <si>
    <t xml:space="preserve">207833; 59553</t>
  </si>
  <si>
    <t xml:space="preserve">HMDB0253506; HMDB0035700</t>
  </si>
  <si>
    <t xml:space="preserve">; 90960</t>
  </si>
  <si>
    <t xml:space="preserve">104982; 286498</t>
  </si>
  <si>
    <t xml:space="preserve">COC1=CC(=CC(OC)=C1OC)C(=O)OC1C2OC2(C)CCC=C(C)CC(OC(C)=O)C1C(C)C; CC(CCC(O)=O)C1CC(=O)C2(C)C3=C(C(=O)C(O)C12C)C1(C)CCC(O)C(C)(CO)C1CC3=O</t>
  </si>
  <si>
    <t xml:space="preserve">FSBLXTAIINGBJY-UHFFFAOYSA-N; HAVMVUFJSIMVDG-UHFFFAOYSA-N</t>
  </si>
  <si>
    <t xml:space="preserve">Sesquiterpenoids; Triterpenoids</t>
  </si>
  <si>
    <t xml:space="preserve">492.25298</t>
  </si>
  <si>
    <t xml:space="preserve">C28H39NO4</t>
  </si>
  <si>
    <t xml:space="preserve">Sambutoxin</t>
  </si>
  <si>
    <t xml:space="preserve">64193</t>
  </si>
  <si>
    <t xml:space="preserve">HMDB0041085</t>
  </si>
  <si>
    <t xml:space="preserve">129008908</t>
  </si>
  <si>
    <t xml:space="preserve">160047-56-3</t>
  </si>
  <si>
    <t xml:space="preserve">CCC(C)CC(C)\C=C(/C)C1OC(CCC1C)C1=C(O)C(=CN(C)C1=O)C1=CC=C(O)C=C1</t>
  </si>
  <si>
    <t xml:space="preserve">FVYDVAOTXPELMH-HMMYKYKNSA-N</t>
  </si>
  <si>
    <t xml:space="preserve">493.00835</t>
  </si>
  <si>
    <t xml:space="preserve">C24H16O7</t>
  </si>
  <si>
    <t xml:space="preserve">Fluorescein diacetate</t>
  </si>
  <si>
    <t xml:space="preserve">206851</t>
  </si>
  <si>
    <t xml:space="preserve">HMDB0252358</t>
  </si>
  <si>
    <t xml:space="preserve">339031</t>
  </si>
  <si>
    <t xml:space="preserve">65047</t>
  </si>
  <si>
    <t xml:space="preserve">CC(=O)OC1=CC2=C(C=C1)C1(OC(=O)C3=CC=CC=C13)C1=C(O2)C=C(OC(C)=O)C=C1</t>
  </si>
  <si>
    <t xml:space="preserve">CHADEQDQBURGHL-UHFFFAOYSA-N</t>
  </si>
  <si>
    <t xml:space="preserve">495.27679</t>
  </si>
  <si>
    <t xml:space="preserve">C30H40O7</t>
  </si>
  <si>
    <t xml:space="preserve">3,7,11,15,23-Pentaoxolanost-8-en-26-oic acid; Ganoderenic acid D; Ganosporelactone A</t>
  </si>
  <si>
    <t xml:space="preserve">59789; 59863; 60165</t>
  </si>
  <si>
    <t xml:space="preserve">HMDB0035980; HMDB0036059; HMDB0036406</t>
  </si>
  <si>
    <t xml:space="preserve">91166; ; 91548</t>
  </si>
  <si>
    <t xml:space="preserve">74028537; 131751909; 78384957</t>
  </si>
  <si>
    <t xml:space="preserve">98665-14-6; 100665-43-8; 138008-04-5</t>
  </si>
  <si>
    <t xml:space="preserve">CC(CC(=O)CC(C)C(O)=O)C1CC(=O)C2(C)C3=C(C(=O)CC12C)C1(C)CCC(=O)C(C)(C)C1CC3=O; CC(CC(=O)\C=C(\C)C1CC(=O)C2(C)C3=C(C(=O)CC12C)C1(C)CCC(=O)C(C)(C)C1CC3O)C(O)=O; CC1CC2(CC(C)C(=O)O2)C2C1C1(C)C(O)C(=O)C3=C(C(O)CC4C(C)(C)C(=O)CCC34C)C1(C)C2=O</t>
  </si>
  <si>
    <t xml:space="preserve">VBGDQDJVTLQGNO-UHFFFAOYSA-N; JGWQYLZHPPFHEH-GDNBJRDFSA-N; BINIQAMAYCKIRZ-UHFFFAOYSA-N</t>
  </si>
  <si>
    <t xml:space="preserve">Triterpenoids; Triterpenoids; Steroid lactones</t>
  </si>
  <si>
    <t xml:space="preserve">496.06638</t>
  </si>
  <si>
    <t xml:space="preserve">C25H15NO9</t>
  </si>
  <si>
    <t xml:space="preserve">(2,5-Dihydroxypyrrol-1-yl) 3',6'-dihydroxy-1-oxospiro[2-benzofuran-3,9'-xanthene]-5-carboxylate; 6-Carboxyfluorescein N-succinimidyl ester; (2,5-Dihydroxypyrrol-1-yl) 3',6'-dihydroxy-3-oxospiro[2-benzofuran-1,9'-xanthene]-4-carboxylate</t>
  </si>
  <si>
    <t xml:space="preserve">198929; 202864; 198930</t>
  </si>
  <si>
    <t xml:space="preserve">HMDB0242488; HMDB0247661; HMDB0242489</t>
  </si>
  <si>
    <t xml:space="preserve">; 451817; </t>
  </si>
  <si>
    <t xml:space="preserve">; 132203; </t>
  </si>
  <si>
    <t xml:space="preserve">54363199; 2762614; 53658517</t>
  </si>
  <si>
    <t xml:space="preserve">OC1=CC=C(O)N1OC(=O)C1=CC2=C(C=C1)C(=O)OC21C2=C(OC3=C1C=CC(O)=C3)C=C(O)C=C2; OC1=CC2=C(C=C1)C1(OC(=O)C3=C1C=C(C=C3)C(=O)ON1C(=O)CCC1=O)C1=C(O2)C=C(O)C=C1; OC1=CC=C(O)N1OC(=O)C1=C2C(=O)OC3(C2=CC=C1)C1=C(OC2=C3C=CC(O)=C2)C=C(O)C=C1</t>
  </si>
  <si>
    <t xml:space="preserve">UNYDXPRSNNDRDK-UHFFFAOYSA-N; VDABVNMGKGUPEY-UHFFFAOYSA-N; AROXVHWEMBAKAH-UHFFFAOYSA-N</t>
  </si>
  <si>
    <t xml:space="preserve">Benzopyrans; Benzopyrans; Benzopyrans</t>
  </si>
  <si>
    <t xml:space="preserve">1-benzopyrans; 1-benzopyrans; 1-benzopyrans</t>
  </si>
  <si>
    <t xml:space="preserve">496.25616</t>
  </si>
  <si>
    <t xml:space="preserve">C26H35N5O6</t>
  </si>
  <si>
    <t xml:space="preserve">2-Amino-N-[1-[[2-[[1-(2-hydroxyethylamino)-1-oxo-3-phenylpropan-2-yl]-methylamino]-2-oxoethyl]amino]-1-oxopropan-2-yl]-3-(4-hydroxyphenyl)propanamide</t>
  </si>
  <si>
    <t xml:space="preserve">203041</t>
  </si>
  <si>
    <t xml:space="preserve">HMDB0247859</t>
  </si>
  <si>
    <t xml:space="preserve">4488326</t>
  </si>
  <si>
    <t xml:space="preserve">CC(NC(=O)C(N)CC1=CC=C(O)C=C1)C(=O)NCC(=O)N(C)C(CC1=CC=CC=C1)C(=O)NCCO</t>
  </si>
  <si>
    <t xml:space="preserve">HPZJMUBDEAMBFI-UHFFFAOYSA-N</t>
  </si>
  <si>
    <t xml:space="preserve">496.33837</t>
  </si>
  <si>
    <t xml:space="preserve">C29H47NO4</t>
  </si>
  <si>
    <t xml:space="preserve">Clupanodonyl carnitine; Docosa-4,7,10,13,16-pentaenoyl carnitine; 23-Acetoxysoladulcidine</t>
  </si>
  <si>
    <t xml:space="preserve">8340; 8343; 55976</t>
  </si>
  <si>
    <t xml:space="preserve">HMDB0006496; HMDB0006321; HMDB0031402</t>
  </si>
  <si>
    <t xml:space="preserve">58428; 58392; </t>
  </si>
  <si>
    <t xml:space="preserve">LMFA07070058; LMFA07070061; </t>
  </si>
  <si>
    <t xml:space="preserve">134424; 134423; </t>
  </si>
  <si>
    <t xml:space="preserve">53477839; 53477825; 131751167</t>
  </si>
  <si>
    <t xml:space="preserve">; ; 152128-85-3</t>
  </si>
  <si>
    <t xml:space="preserve">C(=O)([O-])CC(OC(=O)CC/C=C/CC/C=C/CC/C=C/C/C=C/CC/C=C/CC)C[N+](C)(C)C; O(C(=O)CC/C=C/C/C=C/C/C=C/C/C=C/C/C=C/CCCCC)C(C[N+](C)(C)C)CC(=O)[O-]; CC1C2C(CC3C4CCC5CC(O)CCC5(C)C4CCC23C)OC11NCC(C)CC1OC(C)=O</t>
  </si>
  <si>
    <t xml:space="preserve">AOSDFVDGMYPTHD-NQXOOMTHSA-N; KRXOUZZWQXTUIB-IDERWEGCSA-N; HQJSCXYJQVACQR-UHFFFAOYSA-N</t>
  </si>
  <si>
    <t xml:space="preserve">Fatty Acyls; Fatty Acyls; Steroids and steroid derivatives</t>
  </si>
  <si>
    <t xml:space="preserve">Fatty acid esters; Fatty acid esters; Steroidal alkaloids</t>
  </si>
  <si>
    <t xml:space="preserve">496.79785</t>
  </si>
  <si>
    <t xml:space="preserve">C4H8S6</t>
  </si>
  <si>
    <t xml:space="preserve">Methylallyl hexasulfide</t>
  </si>
  <si>
    <t xml:space="preserve">255174</t>
  </si>
  <si>
    <t xml:space="preserve">HMDB0302195</t>
  </si>
  <si>
    <t xml:space="preserve">10308071</t>
  </si>
  <si>
    <t xml:space="preserve">CSSSSSSCC=C</t>
  </si>
  <si>
    <t xml:space="preserve">YMBHHVFKVLAMOS-UHFFFAOYSA-N</t>
  </si>
  <si>
    <t xml:space="preserve">Allyl sulfur compounds</t>
  </si>
  <si>
    <t xml:space="preserve">497.04865</t>
  </si>
  <si>
    <t xml:space="preserve">C22H18O11</t>
  </si>
  <si>
    <t xml:space="preserve">Epigallocatechin gallate</t>
  </si>
  <si>
    <t xml:space="preserve">29116</t>
  </si>
  <si>
    <t xml:space="preserve">HMDB0003153</t>
  </si>
  <si>
    <t xml:space="preserve">3550</t>
  </si>
  <si>
    <t xml:space="preserve">LMPK12030005</t>
  </si>
  <si>
    <t xml:space="preserve">C09731</t>
  </si>
  <si>
    <t xml:space="preserve">4806</t>
  </si>
  <si>
    <t xml:space="preserve">65064</t>
  </si>
  <si>
    <t xml:space="preserve">989-51-5</t>
  </si>
  <si>
    <t xml:space="preserve">C12C=C(O)C=C(O)C=1C[C@@H](OC(=O)C1C=C(O)C(O)=C(O)C=1)[C@@H](C1C=C(O)C(O)=C(O)C=1)O2</t>
  </si>
  <si>
    <t xml:space="preserve">WMBWREPUVVBILR-WIYYLYMNSA-N</t>
  </si>
  <si>
    <t xml:space="preserve">497.15076</t>
  </si>
  <si>
    <t xml:space="preserve">C17H30O15</t>
  </si>
  <si>
    <t xml:space="preserve">alpha-D-Xylopyranosyl-(1-&gt;6)-beta-D-glucopyranosyl-(1-&gt;4)-D-glucose; D-Galactopyranosyl-(1-&gt;3)-D-galactopyranosyl-(1-&gt;3)-L-arabinose; a-L-Arabinofuranosyl-(1-&gt;2)-[a-D-mannopyranosyl-(1-&gt;6)]-D-mannose</t>
  </si>
  <si>
    <t xml:space="preserve">62962; 62206; 63066</t>
  </si>
  <si>
    <t xml:space="preserve">HMDB0039705; HMDB0038862; HMDB0039818</t>
  </si>
  <si>
    <t xml:space="preserve">94260; 93491; 94366</t>
  </si>
  <si>
    <t xml:space="preserve">74428025; 131752481; 76376878</t>
  </si>
  <si>
    <t xml:space="preserve">69637-98-5; 79043-15-5; </t>
  </si>
  <si>
    <t xml:space="preserve">OCC1OC(O)C(O)C(O)C1OC1OC(COC2OCC(O)C(O)C2O)C(O)C(O)C1O; OCC1OC(OC2C(O)C(CO)OC(OC3C(O)COC(O)C3O)C2O)C(O)C(O)C1O; OCC1OC(OC2C(O)OC(COC3OC(CO)C(O)C(O)C3O)C(O)C2O)C(O)C1O</t>
  </si>
  <si>
    <t xml:space="preserve">BSCUNSVAACYEAI-UHFFFAOYSA-N; USDVNAMKKXRXGK-UHFFFAOYSA-N; KXPJZDSXKZWJBT-UHFFFAOYSA-N</t>
  </si>
  <si>
    <t xml:space="preserve">497.25414</t>
  </si>
  <si>
    <t xml:space="preserve">C31H36N2O</t>
  </si>
  <si>
    <t xml:space="preserve">1-Cycloheptyl-1-(9H-fluoren-2-ylmethyl)-3-(2,4,6-trimethylphenyl)urea</t>
  </si>
  <si>
    <t xml:space="preserve">213166</t>
  </si>
  <si>
    <t xml:space="preserve">HMDB0259952</t>
  </si>
  <si>
    <t xml:space="preserve">CC1=CC(C)=C(NC(=O)N(CC2=CC3=C(C=C2)C2=CC=CC=C2C3)C2CCCCCC2)C(C)=C1</t>
  </si>
  <si>
    <t xml:space="preserve">FMLJREWZCZHGGW-UHFFFAOYSA-N</t>
  </si>
  <si>
    <t xml:space="preserve">498.14127</t>
  </si>
  <si>
    <t xml:space="preserve">C27H26FN3OS</t>
  </si>
  <si>
    <t xml:space="preserve">Diacylglycerol kinase inhibitor i</t>
  </si>
  <si>
    <t xml:space="preserve">205775</t>
  </si>
  <si>
    <t xml:space="preserve">HMDB0251123</t>
  </si>
  <si>
    <t xml:space="preserve">4174</t>
  </si>
  <si>
    <t xml:space="preserve">3012</t>
  </si>
  <si>
    <t xml:space="preserve">93076-89-2</t>
  </si>
  <si>
    <t xml:space="preserve">CC1=C(CCN2CCC(CC2)=C(C2=CC=CC=C2)C2=CC=C(F)C=C2)C(=O)N2C=CSC2=N1</t>
  </si>
  <si>
    <t xml:space="preserve">MFVJXLPANKSLLD-UHFFFAOYSA-N</t>
  </si>
  <si>
    <t xml:space="preserve">498.28650</t>
  </si>
  <si>
    <t xml:space="preserve">C29H41NO7</t>
  </si>
  <si>
    <t xml:space="preserve">Candoxatril</t>
  </si>
  <si>
    <t xml:space="preserve">52940</t>
  </si>
  <si>
    <t xml:space="preserve">HMDB0014754</t>
  </si>
  <si>
    <t xml:space="preserve">3353</t>
  </si>
  <si>
    <t xml:space="preserve">118785-03-8</t>
  </si>
  <si>
    <t xml:space="preserve">COCCOC[C@H](CC1(CCCC1)C(=O)N[C@H]1CC[C@H](CC1)C(O)=O)C(=O)OC1=CC2=C(CCC2)C=C1</t>
  </si>
  <si>
    <t xml:space="preserve">ZTWZVMIYIIVABD-OEMFJLHTSA-N</t>
  </si>
  <si>
    <t xml:space="preserve">Indanes</t>
  </si>
  <si>
    <t xml:space="preserve">498.45353</t>
  </si>
  <si>
    <t xml:space="preserve">C30H59NO4</t>
  </si>
  <si>
    <t xml:space="preserve">12-Methyldocosanoylcarnitine; 19-Methyldocosanoylcarnitine; 21-Methyldocosanoylcarnitine</t>
  </si>
  <si>
    <t xml:space="preserve">197504; 197505; 197506</t>
  </si>
  <si>
    <t xml:space="preserve">HMDB0240948; HMDB0240949; HMDB0240950</t>
  </si>
  <si>
    <t xml:space="preserve">CCCCCCCCCCC(C)CCCCCCCCCCC(=O)OC(CC([O-])=O)C[N+](C)(C)C; CCCC(C)CCCCCCCCCCCCCCCCCC(=O)OC(CC([O-])=O)C[N+](C)(C)C; CC(C)CCCCCCCCCCCCCCCCCCCC(=O)OC(CC([O-])=O)C[N+](C)(C)C</t>
  </si>
  <si>
    <t xml:space="preserve">SGQXIHQBPPOXCR-UHFFFAOYSA-N; PNLRIJVUFCQGGT-UHFFFAOYSA-N; PWNJHEMPMIBWIN-UHFFFAOYSA-N</t>
  </si>
  <si>
    <t xml:space="preserve">498.86065</t>
  </si>
  <si>
    <t xml:space="preserve">C8H5Cl3O2</t>
  </si>
  <si>
    <t xml:space="preserve">2,4,5-Trichlorophenyl acetate</t>
  </si>
  <si>
    <t xml:space="preserve">200905</t>
  </si>
  <si>
    <t xml:space="preserve">HMDB0245476</t>
  </si>
  <si>
    <t xml:space="preserve">79367</t>
  </si>
  <si>
    <t xml:space="preserve">CC(=O)OC1=CC(Cl)=C(Cl)C=C1Cl</t>
  </si>
  <si>
    <t xml:space="preserve">IRMIPIZHLIHQST-UHFFFAOYSA-N</t>
  </si>
  <si>
    <t xml:space="preserve">499.05327</t>
  </si>
  <si>
    <t xml:space="preserve">C17H20Cl2N2O11</t>
  </si>
  <si>
    <t xml:space="preserve">Chloramphenicol glucuronide</t>
  </si>
  <si>
    <t xml:space="preserve">204923</t>
  </si>
  <si>
    <t xml:space="preserve">HMDB0250086</t>
  </si>
  <si>
    <t xml:space="preserve">14402409</t>
  </si>
  <si>
    <t xml:space="preserve">OC(C(COC1OC(C(O)C(O)C1O)C(O)=O)NC(=O)C(Cl)Cl)C1=CC=C(C=C1)[N+]([O-])=O</t>
  </si>
  <si>
    <t xml:space="preserve">UARPTSDFEIFMJP-UHFFFAOYSA-N</t>
  </si>
  <si>
    <t xml:space="preserve">499.35968</t>
  </si>
  <si>
    <t xml:space="preserve">C30H52O3</t>
  </si>
  <si>
    <t xml:space="preserve">(3beta,11alpha,13beta)-3,11,13-Oleananetriol; Betulafolienetriol; Schleicherastatin 2</t>
  </si>
  <si>
    <t xml:space="preserve">58520; 59617; 59638</t>
  </si>
  <si>
    <t xml:space="preserve">HMDB0034521; HMDB0035777; HMDB0035803</t>
  </si>
  <si>
    <t xml:space="preserve">89992; 91016; </t>
  </si>
  <si>
    <t xml:space="preserve">168506; ; </t>
  </si>
  <si>
    <t xml:space="preserve">131751573; 131751864; 85089354</t>
  </si>
  <si>
    <t xml:space="preserve">85643-69-2; ; 256445-50-8</t>
  </si>
  <si>
    <t xml:space="preserve">CC1(C)CCC2(C)CCC3(C)C4(C)CCC5C(C)(C)C(O)CCC5(C)C4C(O)CC3(O)C2C1; CC(C)=CCCC(C)(O)C1CCC2(C)C1C(O)CC1C3(C)CCC(O)C(C)(C)C3CCC21C; CCC(CC(O)C(C)C1CCC2C3C(OC)C=C4CC(O)CCC4(C)C3CCC12C)C(C)C</t>
  </si>
  <si>
    <t xml:space="preserve">PVMLWBWORNCCPQ-UHFFFAOYSA-N; PYXFVCFISTUSOO-UHFFFAOYSA-N; GDNMTUAJVKFDCM-UHFFFAOYSA-N</t>
  </si>
  <si>
    <t xml:space="preserve">Triterpenoids; Triterpenoids; Stigmastanes and derivatives</t>
  </si>
  <si>
    <t xml:space="preserve">500.24940</t>
  </si>
  <si>
    <t xml:space="preserve">C20H39N5O7</t>
  </si>
  <si>
    <t xml:space="preserve">Verdamicin</t>
  </si>
  <si>
    <t xml:space="preserve">213032</t>
  </si>
  <si>
    <t xml:space="preserve">HMDB0259789</t>
  </si>
  <si>
    <t xml:space="preserve">170820</t>
  </si>
  <si>
    <t xml:space="preserve">CNC1C(O)C(OC2C(N)CC(N)C(OC3OC(=CCC3N)C(C)N)C2O)OCC1(C)O</t>
  </si>
  <si>
    <t xml:space="preserve">XUSXOPRDIDWMFO-UHFFFAOYSA-N</t>
  </si>
  <si>
    <t xml:space="preserve">500.89491</t>
  </si>
  <si>
    <t xml:space="preserve">C4H10O4S4</t>
  </si>
  <si>
    <t xml:space="preserve">Bis(methylsulfonylmethyl) disulfide</t>
  </si>
  <si>
    <t xml:space="preserve">64290</t>
  </si>
  <si>
    <t xml:space="preserve">HMDB0041188</t>
  </si>
  <si>
    <t xml:space="preserve">95610</t>
  </si>
  <si>
    <t xml:space="preserve">194638</t>
  </si>
  <si>
    <t xml:space="preserve">74963-70-5</t>
  </si>
  <si>
    <t xml:space="preserve">CS(=O)(=O)CSSCS(C)(=O)=O</t>
  </si>
  <si>
    <t xml:space="preserve">IOXAYNQOZILPBK-UHFFFAOYSA-N</t>
  </si>
  <si>
    <t xml:space="preserve">501.01236</t>
  </si>
  <si>
    <t xml:space="preserve">C21H17Cl3N4OS</t>
  </si>
  <si>
    <t xml:space="preserve">Salubrinal</t>
  </si>
  <si>
    <t xml:space="preserve">211147</t>
  </si>
  <si>
    <t xml:space="preserve">HMDB0257469</t>
  </si>
  <si>
    <t xml:space="preserve">91873</t>
  </si>
  <si>
    <t xml:space="preserve">2830510</t>
  </si>
  <si>
    <t xml:space="preserve">ClC(Cl)(Cl)C(NC(=S)NC1=CC=CC2=C1N=CC=C2)NC(=O)C=CC1=CC=CC=C1</t>
  </si>
  <si>
    <t xml:space="preserve">LCOIAYJMPKXARU-UHFFFAOYSA-N</t>
  </si>
  <si>
    <t xml:space="preserve">502.32922</t>
  </si>
  <si>
    <t xml:space="preserve">C28H49NO4</t>
  </si>
  <si>
    <t xml:space="preserve">(5Z,14Z,17Z)-Henicosa-5,14,17-trienoylcarnitine</t>
  </si>
  <si>
    <t xml:space="preserve">198136</t>
  </si>
  <si>
    <t xml:space="preserve">HMDB0241599</t>
  </si>
  <si>
    <t xml:space="preserve">CCCC=CCC=CCCCCCCCC=CCCCC(=O)OC(CC([O-])=O)C[N+](C)(C)C</t>
  </si>
  <si>
    <t xml:space="preserve">XLTQIAYAMBNGSS-UHFFFAOYSA-N</t>
  </si>
  <si>
    <t xml:space="preserve">502.99333</t>
  </si>
  <si>
    <t xml:space="preserve">C19H16F2O9</t>
  </si>
  <si>
    <t xml:space="preserve">Diflunisal glucuronide ester; Diflunisal glucuronide ether</t>
  </si>
  <si>
    <t xml:space="preserve">205906; 205907</t>
  </si>
  <si>
    <t xml:space="preserve">HMDB0251263; HMDB0251264</t>
  </si>
  <si>
    <t xml:space="preserve">78178655; 78302010</t>
  </si>
  <si>
    <t xml:space="preserve">OC1C(O)C(OC(=O)C2=C(O)C=CC(=C2)C2=C(F)C=C(F)C=C2)OC(C1O)C(O)=O; OC1C(O)C(OC2=C(C=C(C=C2)C2=C(F)C=C(F)C=C2)C(O)=O)OC(C1O)C(O)=O</t>
  </si>
  <si>
    <t xml:space="preserve">HDNSISKAKJZJPR-UHFFFAOYSA-N; RBZXVQOCMCPTHC-UHFFFAOYSA-N</t>
  </si>
  <si>
    <t xml:space="preserve">503.26510</t>
  </si>
  <si>
    <t xml:space="preserve">C28H40O9</t>
  </si>
  <si>
    <t xml:space="preserve">rac-4-Hydroxy-4-O-(beta-D-glucuronide)-all-trans-retinyl acetate; Withaperuvin D</t>
  </si>
  <si>
    <t xml:space="preserve">82124; 54950</t>
  </si>
  <si>
    <t xml:space="preserve">HMDB0060141; HMDB0030116</t>
  </si>
  <si>
    <t xml:space="preserve">131769845; 131750960</t>
  </si>
  <si>
    <t xml:space="preserve">; 87749-17-5</t>
  </si>
  <si>
    <t xml:space="preserve">CC(=O)OC\C=C(/C)\C=C\C=C(/C)\C=C\C1=C(C)[C@@H](CCC1(C)C)O[C@@H]1O[C@H]([C@@H](O)[C@@H](O)[C@H]1O)C(O)=O; CC1=C(C)C(=O)OC(C1)C(C)(O)C1(O)CCC2(O)C3CC4OC5CC(=O)C(C)(C3CCC12C)C4(O)C5O</t>
  </si>
  <si>
    <t xml:space="preserve">LFXATGINAILLFU-BSJULFBXSA-N; DMAZCUJZFYKTRY-UHFFFAOYSA-N</t>
  </si>
  <si>
    <t xml:space="preserve">Terpene glycosides; Steroid lactones</t>
  </si>
  <si>
    <t xml:space="preserve">504.01353</t>
  </si>
  <si>
    <t xml:space="preserve">C11H18N5O13P3</t>
  </si>
  <si>
    <t xml:space="preserve">6-Thioguanosine-5'- O- triphosphate</t>
  </si>
  <si>
    <t xml:space="preserve">82643</t>
  </si>
  <si>
    <t xml:space="preserve">HMDB0060781</t>
  </si>
  <si>
    <t xml:space="preserve">131769948</t>
  </si>
  <si>
    <t xml:space="preserve">NC1=NC2=C(N=CN2C2OC(COP(O)(=O)OP(O)(=O)OP(O)(O)=O)C(O)C2O)C(=C)N1</t>
  </si>
  <si>
    <t xml:space="preserve">RDAWPERAONRJLU-UHFFFAOYSA-N</t>
  </si>
  <si>
    <t xml:space="preserve">504.34440</t>
  </si>
  <si>
    <t xml:space="preserve">C28H51NO4</t>
  </si>
  <si>
    <t xml:space="preserve">(11Z,14Z)-Henicosa-11,14-dienoylcarnitine; (8Z,11Z)-Henicosa-8,11-dienoylcarnitine</t>
  </si>
  <si>
    <t xml:space="preserve">198135; 198134</t>
  </si>
  <si>
    <t xml:space="preserve">HMDB0241598; HMDB0241597</t>
  </si>
  <si>
    <t xml:space="preserve">CCCCCCC=CCC=CCCCCCCCCCC(=O)OC(CC([O-])=O)C[N+](C)(C)C; CCCCCCCCCC=CCC=CCCCCCCC(=O)OC(CC([O-])=O)C[N+](C)(C)C</t>
  </si>
  <si>
    <t xml:space="preserve">BSMGLDUXGGPTQC-UHFFFAOYSA-N; MRAJMQMHDBJHBV-UHFFFAOYSA-N</t>
  </si>
  <si>
    <t xml:space="preserve">505.28314</t>
  </si>
  <si>
    <t xml:space="preserve">C29H36N4O4</t>
  </si>
  <si>
    <t xml:space="preserve">Ceanothine B</t>
  </si>
  <si>
    <t xml:space="preserve">54308</t>
  </si>
  <si>
    <t xml:space="preserve">HMDB0029339</t>
  </si>
  <si>
    <t xml:space="preserve">5855405</t>
  </si>
  <si>
    <t xml:space="preserve">19471-43-3</t>
  </si>
  <si>
    <t xml:space="preserve">CC(C)C1OC2=CC=C(C=C2)\C=C/NC(=O)C(CC2=CC=CC=C2)NC(=O)C1NC(=O)C1CCCN1C</t>
  </si>
  <si>
    <t xml:space="preserve">IDZLSIWTJUALRQ-NXVVXOECSA-N</t>
  </si>
  <si>
    <t xml:space="preserve">506.23836</t>
  </si>
  <si>
    <t xml:space="preserve">C27H31N5O5</t>
  </si>
  <si>
    <t xml:space="preserve">Triletide</t>
  </si>
  <si>
    <t xml:space="preserve">212627</t>
  </si>
  <si>
    <t xml:space="preserve">HMDB0259226</t>
  </si>
  <si>
    <t xml:space="preserve">53461776</t>
  </si>
  <si>
    <t xml:space="preserve">COC(=O)C(CC1=CN=CN1)NC(=O)C(CC1=CC=CC=C1)NC(=O)C(CC1=CC=CC=C1)NC(C)=O</t>
  </si>
  <si>
    <t xml:space="preserve">ZHAGGRWTJXROKV-UHFFFAOYSA-N</t>
  </si>
  <si>
    <t xml:space="preserve">506.28444</t>
  </si>
  <si>
    <t xml:space="preserve">C28H33F2N7</t>
  </si>
  <si>
    <t xml:space="preserve">6-(4-(2,2-Di(4-Fluorophenyl)ethylamino)-1-piperidinyl)-N,N'-di-2-propenyl-1,3,5-triazine-2,4-diamine</t>
  </si>
  <si>
    <t xml:space="preserve">211086</t>
  </si>
  <si>
    <t xml:space="preserve">HMDB0257391</t>
  </si>
  <si>
    <t xml:space="preserve">426144</t>
  </si>
  <si>
    <t xml:space="preserve">107903</t>
  </si>
  <si>
    <t xml:space="preserve">FC1=CC=C(C=C1)C(CNC1CCN(CC1)C1=NC(NCC=C)=NC(NCC=C)=N1)C1=CC=C(F)C=C1</t>
  </si>
  <si>
    <t xml:space="preserve">GERNFWKTMKWULM-UHFFFAOYSA-N</t>
  </si>
  <si>
    <t xml:space="preserve">506.78154</t>
  </si>
  <si>
    <t xml:space="preserve">C6HCl3O4</t>
  </si>
  <si>
    <t xml:space="preserve">2,3,5-Trichlorodienelactone</t>
  </si>
  <si>
    <t xml:space="preserve">82270</t>
  </si>
  <si>
    <t xml:space="preserve">HMDB0060360</t>
  </si>
  <si>
    <t xml:space="preserve">72088</t>
  </si>
  <si>
    <t xml:space="preserve">C18242</t>
  </si>
  <si>
    <t xml:space="preserve">14951695</t>
  </si>
  <si>
    <t xml:space="preserve">OC(=O)C(\Cl)=C1/OC(=O)C(Cl)=C1Cl</t>
  </si>
  <si>
    <t xml:space="preserve">DDHLNXMDAUDTBS-ONEGZZNKSA-N</t>
  </si>
  <si>
    <t xml:space="preserve">507.03332</t>
  </si>
  <si>
    <t xml:space="preserve">C23H16O11</t>
  </si>
  <si>
    <t xml:space="preserve">Cromoglicic acid</t>
  </si>
  <si>
    <t xml:space="preserve">53246</t>
  </si>
  <si>
    <t xml:space="preserve">HMDB0015138</t>
  </si>
  <si>
    <t xml:space="preserve">C06928</t>
  </si>
  <si>
    <t xml:space="preserve">59773</t>
  </si>
  <si>
    <t xml:space="preserve">2882</t>
  </si>
  <si>
    <t xml:space="preserve">16110-51-3</t>
  </si>
  <si>
    <t xml:space="preserve">OC(COC1=CC=CC2=C1C(=O)C=C(O2)C(O)=O)COC1=CC=CC2=C1C(=O)C=C(O2)C(O)=O</t>
  </si>
  <si>
    <t xml:space="preserve">IMZMKUWMOSJXDT-UHFFFAOYSA-N</t>
  </si>
  <si>
    <t xml:space="preserve">507.07844</t>
  </si>
  <si>
    <t xml:space="preserve">C22H18O14</t>
  </si>
  <si>
    <t xml:space="preserve">Dimethylellagic acid glucuronide</t>
  </si>
  <si>
    <t xml:space="preserve">206024</t>
  </si>
  <si>
    <t xml:space="preserve">HMDB0251398</t>
  </si>
  <si>
    <t xml:space="preserve">118033042</t>
  </si>
  <si>
    <t xml:space="preserve">COC1=C(O)C=C2C(=O)OC3=C4C(=CC(OC5OC(C(O)C(O)C5O)C(O)=O)=C3OC)C(=O)OC1=C24</t>
  </si>
  <si>
    <t xml:space="preserve">KHTUHWMIAVJRJS-UHFFFAOYSA-N</t>
  </si>
  <si>
    <t xml:space="preserve">507.25514</t>
  </si>
  <si>
    <t xml:space="preserve">C27H36N6O3S</t>
  </si>
  <si>
    <t xml:space="preserve">Fedratinib</t>
  </si>
  <si>
    <t xml:space="preserve">202871</t>
  </si>
  <si>
    <t xml:space="preserve">HMDB0247668</t>
  </si>
  <si>
    <t xml:space="preserve">16722836</t>
  </si>
  <si>
    <t xml:space="preserve">CC1=CN=C(NC2=CC=C(OCCN3CCCC3)C=C2)NC1=NC1=CC(=CC=C1)S(=O)(=O)NC(C)(C)C</t>
  </si>
  <si>
    <t xml:space="preserve">JOOXLOJCABQBSG-UHFFFAOYSA-N</t>
  </si>
  <si>
    <t xml:space="preserve">507.45854</t>
  </si>
  <si>
    <t xml:space="preserve">C36H60O2</t>
  </si>
  <si>
    <t xml:space="preserve">11-cis-Retinyl palmitate; Retinyl palmitate</t>
  </si>
  <si>
    <t xml:space="preserve">37418; 37379</t>
  </si>
  <si>
    <t xml:space="preserve">HMDB0060338; HMDB0003648</t>
  </si>
  <si>
    <t xml:space="preserve">53832; 6970</t>
  </si>
  <si>
    <t xml:space="preserve">LMPR01090052; LMPR01090013</t>
  </si>
  <si>
    <t xml:space="preserve">C03455; C02588</t>
  </si>
  <si>
    <t xml:space="preserve">16254; 17616</t>
  </si>
  <si>
    <t xml:space="preserve">5459829; 5280531</t>
  </si>
  <si>
    <t xml:space="preserve">51249-33-3; 79-81-2</t>
  </si>
  <si>
    <t xml:space="preserve">C1(C(C)(C)CCCC=1C)/C=C/C(/C)=C/C=C\C(\C)=C\COC(=O)CCCCCCCCCCCCCCC; C1C(C)(C)C(/C=C/C(=C/C=C/C(=C/COC(CCCCCCCCCCCCCCC)=O)/C)/C)=C(C)CC1</t>
  </si>
  <si>
    <t xml:space="preserve">VYGQUTWHTHXGQB-SXFSSFKVSA-N; VYGQUTWHTHXGQB-FFHKNEKCSA-N</t>
  </si>
  <si>
    <t xml:space="preserve">510.27037</t>
  </si>
  <si>
    <t xml:space="preserve">C28H39N3O3</t>
  </si>
  <si>
    <t xml:space="preserve">N-Docosahexaenoyl Histidine</t>
  </si>
  <si>
    <t xml:space="preserve">198521</t>
  </si>
  <si>
    <t xml:space="preserve">HMDB0242015</t>
  </si>
  <si>
    <t xml:space="preserve">CCC=CCC=CCC=CCC=CCC=CCC=CCCC(=O)NC(CC1=CN=CN1)C(O)=O</t>
  </si>
  <si>
    <t xml:space="preserve">CSYKKUPVQHFOBC-UHFFFAOYSA-N</t>
  </si>
  <si>
    <t xml:space="preserve">510.78684</t>
  </si>
  <si>
    <t xml:space="preserve">C5N4S4</t>
  </si>
  <si>
    <t xml:space="preserve">isothiocyanate carbon</t>
  </si>
  <si>
    <t xml:space="preserve">208003</t>
  </si>
  <si>
    <t xml:space="preserve">HMDB0253698</t>
  </si>
  <si>
    <t xml:space="preserve">129730350</t>
  </si>
  <si>
    <t xml:space="preserve">S=C=NC(N=C=S)(N=C=S)N=C=S</t>
  </si>
  <si>
    <t xml:space="preserve">NYLSQSTVIYQIET-UHFFFAOYSA-N</t>
  </si>
  <si>
    <t xml:space="preserve">Ortho amides</t>
  </si>
  <si>
    <t xml:space="preserve">510.86010</t>
  </si>
  <si>
    <t xml:space="preserve">C7H4Cl3NO3</t>
  </si>
  <si>
    <t xml:space="preserve">TRICLOPYR</t>
  </si>
  <si>
    <t xml:space="preserve">212588</t>
  </si>
  <si>
    <t xml:space="preserve">HMDB0259186</t>
  </si>
  <si>
    <t xml:space="preserve">68787</t>
  </si>
  <si>
    <t xml:space="preserve">C11032</t>
  </si>
  <si>
    <t xml:space="preserve">9682</t>
  </si>
  <si>
    <t xml:space="preserve">41428</t>
  </si>
  <si>
    <t xml:space="preserve">55335-06-3</t>
  </si>
  <si>
    <t xml:space="preserve">OC(=O)COC1=NC(Cl)=C(Cl)C=C1Cl</t>
  </si>
  <si>
    <t xml:space="preserve">REEQLXCGVXDJSQ-UHFFFAOYSA-N</t>
  </si>
  <si>
    <t xml:space="preserve">511.05793</t>
  </si>
  <si>
    <t xml:space="preserve">C18H19IN6O4</t>
  </si>
  <si>
    <t xml:space="preserve">IB-Meca</t>
  </si>
  <si>
    <t xml:space="preserve">207675</t>
  </si>
  <si>
    <t xml:space="preserve">HMDB0253321</t>
  </si>
  <si>
    <t xml:space="preserve">91576</t>
  </si>
  <si>
    <t xml:space="preserve">3668</t>
  </si>
  <si>
    <t xml:space="preserve">CNC(=O)C1OC(C(O)C1O)N1C=NC2=C1N=CN=C2NCC1=CC(I)=CC=C1</t>
  </si>
  <si>
    <t xml:space="preserve">HUJXGQILHAUCCV-UHFFFAOYSA-N</t>
  </si>
  <si>
    <t xml:space="preserve">511.16444</t>
  </si>
  <si>
    <t xml:space="preserve">C10H16N2O3S</t>
  </si>
  <si>
    <t xml:space="preserve">Biotin</t>
  </si>
  <si>
    <t xml:space="preserve">46835</t>
  </si>
  <si>
    <t xml:space="preserve">HMDB0000030</t>
  </si>
  <si>
    <t xml:space="preserve">243</t>
  </si>
  <si>
    <t xml:space="preserve">C00120</t>
  </si>
  <si>
    <t xml:space="preserve">15956</t>
  </si>
  <si>
    <t xml:space="preserve">171548</t>
  </si>
  <si>
    <t xml:space="preserve">58-85-5</t>
  </si>
  <si>
    <t xml:space="preserve">[H][C@]12CS[C@@H](CCCCC(O)=O)[C@@]1([H])NC(=O)N2</t>
  </si>
  <si>
    <t xml:space="preserve">YBJHBAHKTGYVGT-ZKWXMUAHSA-N</t>
  </si>
  <si>
    <t xml:space="preserve">Biotin and derivatives</t>
  </si>
  <si>
    <t xml:space="preserve">511.26177</t>
  </si>
  <si>
    <t xml:space="preserve">C24H38N4O6S</t>
  </si>
  <si>
    <t xml:space="preserve">Butanediamide, N4-(5-(acetylamino)-1-((methylamino)carbonyl)pentyl)-N1-hydroxy-2-(((4-hydroxyphenyl)thio)methyl)-3-(2-methylpropyl)-, (2S-(N4(R*),2R*,3S*))-</t>
  </si>
  <si>
    <t xml:space="preserve">203930</t>
  </si>
  <si>
    <t xml:space="preserve">HMDB0248900</t>
  </si>
  <si>
    <t xml:space="preserve">78392379</t>
  </si>
  <si>
    <t xml:space="preserve">CNC(=O)C(CCCCNC(C)=O)NC(=O)C(CC(C)C)C(CSC1=CC=C(O)C=C1)C(=O)NO</t>
  </si>
  <si>
    <t xml:space="preserve">JXPAEGFEJLMUOM-UHFFFAOYSA-N</t>
  </si>
  <si>
    <t xml:space="preserve">512.15444</t>
  </si>
  <si>
    <t xml:space="preserve">C22H27N5O6S</t>
  </si>
  <si>
    <t xml:space="preserve">(2S)-3-[3-[(4-Carbamimidoylbenzoyl)amino]propanoylamino]-2-[(4-ethylphenyl)sulfonylamino]propanoic acid</t>
  </si>
  <si>
    <t xml:space="preserve">211882</t>
  </si>
  <si>
    <t xml:space="preserve">HMDB0258340</t>
  </si>
  <si>
    <t xml:space="preserve">CCC1=CC=C(C=C1)S(=O)(=O)NC(CNC(=O)CCNC(=O)C1=CC=C(C=C1)C(N)=N)C(O)=O</t>
  </si>
  <si>
    <t xml:space="preserve">YHPJWEBFMVJNND-UHFFFAOYSA-N</t>
  </si>
  <si>
    <t xml:space="preserve">512.28972</t>
  </si>
  <si>
    <t xml:space="preserve">C28H41N3O3</t>
  </si>
  <si>
    <t xml:space="preserve">Oxethazaine</t>
  </si>
  <si>
    <t xml:space="preserve">209883</t>
  </si>
  <si>
    <t xml:space="preserve">HMDB0255980</t>
  </si>
  <si>
    <t xml:space="preserve">44658</t>
  </si>
  <si>
    <t xml:space="preserve">C12552</t>
  </si>
  <si>
    <t xml:space="preserve">4621</t>
  </si>
  <si>
    <t xml:space="preserve">126-27-2</t>
  </si>
  <si>
    <t xml:space="preserve">CN(C(=O)CN(CCO)CC(=O)N(C)C(C)(C)CC1=CC=CC=C1)C(C)(C)CC1=CC=CC=C1</t>
  </si>
  <si>
    <t xml:space="preserve">FTLDJPRFCGDUFH-UHFFFAOYSA-N</t>
  </si>
  <si>
    <t xml:space="preserve">Phenethylamines</t>
  </si>
  <si>
    <t xml:space="preserve">514.07879</t>
  </si>
  <si>
    <t xml:space="preserve">C21H23N7O2S</t>
  </si>
  <si>
    <t xml:space="preserve">Pazopanib</t>
  </si>
  <si>
    <t xml:space="preserve">210025</t>
  </si>
  <si>
    <t xml:space="preserve">HMDB0256144</t>
  </si>
  <si>
    <t xml:space="preserve">321971</t>
  </si>
  <si>
    <t xml:space="preserve">71219</t>
  </si>
  <si>
    <t xml:space="preserve">10113978</t>
  </si>
  <si>
    <t xml:space="preserve">CN(C1=CC2=NN(C)C(C)=C2C=C1)C1=CC=NC(NC2=CC=C(C)C(=C2)S(N)(=O)=O)=N1</t>
  </si>
  <si>
    <t xml:space="preserve">CUIHSIWYWATEQL-UHFFFAOYSA-N</t>
  </si>
  <si>
    <t xml:space="preserve">514.27240</t>
  </si>
  <si>
    <t xml:space="preserve">C31H41NO3</t>
  </si>
  <si>
    <t xml:space="preserve">N-Docosahexaenoyl phenylalanine</t>
  </si>
  <si>
    <t xml:space="preserve">8671</t>
  </si>
  <si>
    <t xml:space="preserve">HMDB0062333</t>
  </si>
  <si>
    <t xml:space="preserve">75476</t>
  </si>
  <si>
    <t xml:space="preserve">LMFA08020094</t>
  </si>
  <si>
    <t xml:space="preserve">52922060</t>
  </si>
  <si>
    <t xml:space="preserve">C1(C=CC=CC=1)C[C@]([H])(NC(CC/C=C\C/C=C\C/C=C\C/C=C\C/C=C\C/C=C\CC)=O)C(=O)O</t>
  </si>
  <si>
    <t xml:space="preserve">FUOZUQXXOVQAMJ-ZANAJQNJSA-N</t>
  </si>
  <si>
    <t xml:space="preserve">515.04081</t>
  </si>
  <si>
    <t xml:space="preserve">C10H10N2O3S</t>
  </si>
  <si>
    <t xml:space="preserve">6-(2-amino-2-carboxyethyl)-4-hydroxybenzothiazole</t>
  </si>
  <si>
    <t xml:space="preserve">83789</t>
  </si>
  <si>
    <t xml:space="preserve">HMDB0062793</t>
  </si>
  <si>
    <t xml:space="preserve">84343</t>
  </si>
  <si>
    <t xml:space="preserve">12621609</t>
  </si>
  <si>
    <t xml:space="preserve">NC(CC1=CC(O)=C2N=CSC2=C1)C(O)=O</t>
  </si>
  <si>
    <t xml:space="preserve">UMUZRISCJNWXTN-UHFFFAOYSA-N</t>
  </si>
  <si>
    <t xml:space="preserve">516.25403</t>
  </si>
  <si>
    <t xml:space="preserve">C25H34F3N5O2</t>
  </si>
  <si>
    <t xml:space="preserve">4-[[2-Methyl-2-[4-[5-(trifluoromethyl)pyridin-2-yl]piperazin-1-yl]propanoyl]amino]adamantane-1-carboxamide</t>
  </si>
  <si>
    <t xml:space="preserve">202954</t>
  </si>
  <si>
    <t xml:space="preserve">HMDB0247762</t>
  </si>
  <si>
    <t xml:space="preserve">11670435</t>
  </si>
  <si>
    <t xml:space="preserve">CC(C)(N1CCN(CC1)C1=NC=C(C=C1)C(F)(F)F)C(=O)NC1C2CC3CC1CC(C3)(C2)C(N)=O</t>
  </si>
  <si>
    <t xml:space="preserve">CLHMYBJIOZXCEX-UHFFFAOYSA-N</t>
  </si>
  <si>
    <t xml:space="preserve">517.26382</t>
  </si>
  <si>
    <t xml:space="preserve">C56H78N2O16</t>
  </si>
  <si>
    <t xml:space="preserve">Doxacurium chloride</t>
  </si>
  <si>
    <t xml:space="preserve">53356</t>
  </si>
  <si>
    <t xml:space="preserve">HMDB0015266</t>
  </si>
  <si>
    <t xml:space="preserve">85471</t>
  </si>
  <si>
    <t xml:space="preserve">C07549</t>
  </si>
  <si>
    <t xml:space="preserve">4707</t>
  </si>
  <si>
    <t xml:space="preserve">60169</t>
  </si>
  <si>
    <t xml:space="preserve">106819-53-8</t>
  </si>
  <si>
    <t xml:space="preserve">COC1=CC(CC2C3=C(CC[N+]2(C)CCCOC(=O)CCC(=O)OCCC[N+]2(C)CCC4=C(C2CC2=CC(OC)=C(OC)C(OC)=C2)C(OC)=C(OC)C(OC)=C4)C=C(OC)C(OC)=C3OC)=CC(OC)=C1OC</t>
  </si>
  <si>
    <t xml:space="preserve">GBLRQXKSCRCLBZ-UHFFFAOYSA-N</t>
  </si>
  <si>
    <t xml:space="preserve">Isoquinolines and derivatives</t>
  </si>
  <si>
    <t xml:space="preserve">Benzylisoquinolines</t>
  </si>
  <si>
    <t xml:space="preserve">518.26538</t>
  </si>
  <si>
    <t xml:space="preserve">C23H46NO7P</t>
  </si>
  <si>
    <t xml:space="preserve">LPE(18:1)</t>
  </si>
  <si>
    <t xml:space="preserve">21200</t>
  </si>
  <si>
    <t xml:space="preserve">HMDB0011475</t>
  </si>
  <si>
    <t xml:space="preserve">62263</t>
  </si>
  <si>
    <t xml:space="preserve">LMGP02050039</t>
  </si>
  <si>
    <t xml:space="preserve">53480924</t>
  </si>
  <si>
    <t xml:space="preserve">C(OP(OCCN)(O)=O)[C@]([H])(OC(=O)CCCCCCCCC/C=C\CCCCCC)CO</t>
  </si>
  <si>
    <t xml:space="preserve">CZYOFWNORPEFDG-KOIKXXGWSA-N</t>
  </si>
  <si>
    <t xml:space="preserve">519.04554</t>
  </si>
  <si>
    <t xml:space="preserve">C21H16ClF3N4O4</t>
  </si>
  <si>
    <t xml:space="preserve">Sorafenib N-oxide</t>
  </si>
  <si>
    <t xml:space="preserve">82730</t>
  </si>
  <si>
    <t xml:space="preserve">HMDB0060873</t>
  </si>
  <si>
    <t xml:space="preserve">9826472</t>
  </si>
  <si>
    <t xml:space="preserve">CNC(=O)C1=[N+]([O-])C=CC(OC2=CC=C(NC(=O)NC3=CC=C(Cl)C(=C3)C(F)(F)F)C=C2)=C1</t>
  </si>
  <si>
    <t xml:space="preserve">BQAZCCVUZDIZDC-UHFFFAOYSA-N</t>
  </si>
  <si>
    <t xml:space="preserve">519.55174</t>
  </si>
  <si>
    <t xml:space="preserve">C36H70O</t>
  </si>
  <si>
    <t xml:space="preserve">1-Octadec-9-enoxyoctadec-9-ene</t>
  </si>
  <si>
    <t xml:space="preserve">209336</t>
  </si>
  <si>
    <t xml:space="preserve">HMDB0255338</t>
  </si>
  <si>
    <t xml:space="preserve">53796455</t>
  </si>
  <si>
    <t xml:space="preserve">CCCCCCCCC=CCCCCCCCCOCCCCCCCCC=CCCCCCCCC</t>
  </si>
  <si>
    <t xml:space="preserve">FFJCNSLCJOQHKM-UHFFFAOYSA-N</t>
  </si>
  <si>
    <t xml:space="preserve">521.28208</t>
  </si>
  <si>
    <t xml:space="preserve">C11H20N2O5</t>
  </si>
  <si>
    <t xml:space="preserve">gamma-Glutamylisoleucine; Glutamylisoleucine; gamma-Glutamylleucine</t>
  </si>
  <si>
    <t xml:space="preserve">51188; 53856; 51189</t>
  </si>
  <si>
    <t xml:space="preserve">HMDB0011170; HMDB0028822; HMDB0011171</t>
  </si>
  <si>
    <t xml:space="preserve">62019; ; 23750</t>
  </si>
  <si>
    <t xml:space="preserve">68434; 141436; 68433</t>
  </si>
  <si>
    <t xml:space="preserve">22885096; 9813855; 151023</t>
  </si>
  <si>
    <t xml:space="preserve">23632-83-9; 5879-22-1; 2566-39-4</t>
  </si>
  <si>
    <t xml:space="preserve">CC[C@H](C)[C@H](NC(=O)CC[C@H](N)C(O)=O)C(O)=O; CC[C@H](C)[C@H](NC(=O)[C@@H](N)CCC(O)=O)C(O)=O; CC(C)C[C@H](NC(=O)CC[C@H](N)C(O)=O)C(O)=O</t>
  </si>
  <si>
    <t xml:space="preserve">SNCKGJWJABDZHI-ZKWXMUAHSA-N; SNFUTDLOCQQRQD-ZKWXMUAHSA-N; MYFMARDICOWMQP-YUMQZZPRSA-N</t>
  </si>
  <si>
    <t xml:space="preserve">521.53180</t>
  </si>
  <si>
    <t xml:space="preserve">C35H70O3</t>
  </si>
  <si>
    <t xml:space="preserve">9-Hydroxytridecyl docosanoate</t>
  </si>
  <si>
    <t xml:space="preserve">64188</t>
  </si>
  <si>
    <t xml:space="preserve">HMDB0041080</t>
  </si>
  <si>
    <t xml:space="preserve">95513</t>
  </si>
  <si>
    <t xml:space="preserve">171736</t>
  </si>
  <si>
    <t xml:space="preserve">129824367</t>
  </si>
  <si>
    <t xml:space="preserve">155758-78-4</t>
  </si>
  <si>
    <t xml:space="preserve">CCCCCCCCCCCCCCCCCCCCCC(=O)OCCCCCCCCC(O)CCCC</t>
  </si>
  <si>
    <t xml:space="preserve">SOELRCQALJYJGU-UHFFFAOYSA-N</t>
  </si>
  <si>
    <t xml:space="preserve">522.35267</t>
  </si>
  <si>
    <t xml:space="preserve">C26H52NO7P</t>
  </si>
  <si>
    <t xml:space="preserve">LPC(18:1)</t>
  </si>
  <si>
    <t xml:space="preserve">19837</t>
  </si>
  <si>
    <t xml:space="preserve">HMDB0002815</t>
  </si>
  <si>
    <t xml:space="preserve">40298</t>
  </si>
  <si>
    <t xml:space="preserve">LMGP01050032</t>
  </si>
  <si>
    <t xml:space="preserve">28610</t>
  </si>
  <si>
    <t xml:space="preserve">16081932</t>
  </si>
  <si>
    <t xml:space="preserve">19420-56-5</t>
  </si>
  <si>
    <t xml:space="preserve">[C@](COP(=O)([O-])OCC[N+](C)(C)C)([H])(O)COC(CCCCCCC/C=C\CCCCCCCC)=O</t>
  </si>
  <si>
    <t xml:space="preserve">YAMUFBLWGFFICM-PTGWMXDISA-N</t>
  </si>
  <si>
    <t xml:space="preserve">523.32018</t>
  </si>
  <si>
    <t xml:space="preserve">C31H48O4</t>
  </si>
  <si>
    <t xml:space="preserve">26-Methyl nigranoate; 3b,18b-3-Methoxy-11-oxo-12-oleanen-30-oic acid; Methyl 3b,24-dihydroxy-11,13(18)-oleanadien-30-oate</t>
  </si>
  <si>
    <t xml:space="preserve">57646; 58516; 59141</t>
  </si>
  <si>
    <t xml:space="preserve">HMDB0033409; HMDB0034516; HMDB0035257</t>
  </si>
  <si>
    <t xml:space="preserve">89249; 89988; 90565</t>
  </si>
  <si>
    <t xml:space="preserve">; 175775; 168651</t>
  </si>
  <si>
    <t xml:space="preserve">131751418; 629042; 131751692</t>
  </si>
  <si>
    <t xml:space="preserve">212830-20-1; 1477-44-7; 98063-17-3</t>
  </si>
  <si>
    <t xml:space="preserve">COC(=O)C(\C)=C/CCC(C)C1CCC2(C)C3CCC(C(C)=C)C4(CCC(O)=O)CC34CCC12C; COC(=O)C1(C)CCC2(C)CCC3(C)C(=CC(=O)C4C5(C)CCC(O)C(C)(C)C5CCC34C)C2C1; COC(=O)C1(C)CCC2(C)CCC3(C)C(C=CC4C5(C)CCC(O)C(C)(CO)C5CCC34C)=C2C1</t>
  </si>
  <si>
    <t xml:space="preserve">IVXMRCQSVUIHRC-YVNNLAQVSA-N; RMIVRCBSQPCSCQ-UHFFFAOYSA-N; YAXQAGGRDUKRGH-UHFFFAOYSA-N</t>
  </si>
  <si>
    <t xml:space="preserve">524.28077</t>
  </si>
  <si>
    <t xml:space="preserve">C29H43NO4S</t>
  </si>
  <si>
    <t xml:space="preserve">Avasimibe</t>
  </si>
  <si>
    <t xml:space="preserve">203780</t>
  </si>
  <si>
    <t xml:space="preserve">HMDB0248736</t>
  </si>
  <si>
    <t xml:space="preserve">438408</t>
  </si>
  <si>
    <t xml:space="preserve">166558</t>
  </si>
  <si>
    <t xml:space="preserve">CC(C)C1=CC(C(C)C)=C(CC(=O)NS(=O)(=O)OC2=C(C=CC=C2C(C)C)C(C)C)C(=C1)C(C)C</t>
  </si>
  <si>
    <t xml:space="preserve">PTQXTEKSNBVPQJ-UHFFFAOYSA-N</t>
  </si>
  <si>
    <t xml:space="preserve">525.06896</t>
  </si>
  <si>
    <t xml:space="preserve">C22H22O14S</t>
  </si>
  <si>
    <t xml:space="preserve">4'-Methylisoscutellarein 8-(2''-sulfoglucoside)</t>
  </si>
  <si>
    <t xml:space="preserve">62133</t>
  </si>
  <si>
    <t xml:space="preserve">HMDB0038779</t>
  </si>
  <si>
    <t xml:space="preserve">93422</t>
  </si>
  <si>
    <t xml:space="preserve">74977917</t>
  </si>
  <si>
    <t xml:space="preserve">136516-95-5</t>
  </si>
  <si>
    <t xml:space="preserve">COC1=CC=C(C=C1)C1=CC(=O)C2=C(O1)C(OC1OC(CO)C(O)C(O)C1OS(O)(=O)=O)=C(O)C=C2O</t>
  </si>
  <si>
    <t xml:space="preserve">ICXGFKZMXFCHLZ-UHFFFAOYSA-N</t>
  </si>
  <si>
    <t xml:space="preserve">525.16602</t>
  </si>
  <si>
    <t xml:space="preserve">C26H26N6O4</t>
  </si>
  <si>
    <t xml:space="preserve">N-(4-Cyanophenyl)-2-[4-(2,6-dioxo-1,3-dipropyl-7H-purin-8-yl)phenoxy]acetamide</t>
  </si>
  <si>
    <t xml:space="preserve">208980</t>
  </si>
  <si>
    <t xml:space="preserve">HMDB0254927</t>
  </si>
  <si>
    <t xml:space="preserve">6603931</t>
  </si>
  <si>
    <t xml:space="preserve">CCCN1C2=C(NC(=N2)C2=CC=C(OCC(=O)NC3=CC=C(C=C3)C#N)C=C2)C(=O)N(CCC)C1=O</t>
  </si>
  <si>
    <t xml:space="preserve">AJBBEYXFRYFVNM-UHFFFAOYSA-N</t>
  </si>
  <si>
    <t xml:space="preserve">525.27052</t>
  </si>
  <si>
    <t xml:space="preserve">C28H36N4O6</t>
  </si>
  <si>
    <t xml:space="preserve">L-Proline, 1-(N2-(1-carboxy-3-phenylpropyl)-N6-((4-hydroxyphenyl)iminomethyl)-L-lysyl)-, (S)-</t>
  </si>
  <si>
    <t xml:space="preserve">205205</t>
  </si>
  <si>
    <t xml:space="preserve">HMDB0250421</t>
  </si>
  <si>
    <t xml:space="preserve">10052522</t>
  </si>
  <si>
    <t xml:space="preserve">OC(=O)C(CCC1=CC=CC=C1)NC(CCCCN=CNC1=CC=C(O)C=C1)C(=O)N1CCCC1C(O)=O</t>
  </si>
  <si>
    <t xml:space="preserve">IQNWLCXGCZTZFI-UHFFFAOYSA-N</t>
  </si>
  <si>
    <t xml:space="preserve">527.24973</t>
  </si>
  <si>
    <t xml:space="preserve">C26H40O12</t>
  </si>
  <si>
    <t xml:space="preserve">Cinncassiol A 19-glucoside</t>
  </si>
  <si>
    <t xml:space="preserve">59061</t>
  </si>
  <si>
    <t xml:space="preserve">HMDB0035165</t>
  </si>
  <si>
    <t xml:space="preserve">90493</t>
  </si>
  <si>
    <t xml:space="preserve">12880074</t>
  </si>
  <si>
    <t xml:space="preserve">73599-12-9</t>
  </si>
  <si>
    <t xml:space="preserve">CC(COC1OC(CO)C(O)C(O)C1O)C1=C(C)C2(O)C(O)(C1)C1(C)CC(=O)OC22C(O)C(C)CCC12O</t>
  </si>
  <si>
    <t xml:space="preserve">CFJQVFNNHAUXCF-UHFFFAOYSA-N</t>
  </si>
  <si>
    <t xml:space="preserve">527.29397</t>
  </si>
  <si>
    <t xml:space="preserve">C33H44O3</t>
  </si>
  <si>
    <t xml:space="preserve">7',8'-Dihydro-8'-hydroxycitraniaxanthin</t>
  </si>
  <si>
    <t xml:space="preserve">60553</t>
  </si>
  <si>
    <t xml:space="preserve">HMDB0036884</t>
  </si>
  <si>
    <t xml:space="preserve">91884</t>
  </si>
  <si>
    <t xml:space="preserve">175795</t>
  </si>
  <si>
    <t xml:space="preserve">131752079</t>
  </si>
  <si>
    <t xml:space="preserve">15446-86-3</t>
  </si>
  <si>
    <t xml:space="preserve">CC(=O)C1OC1(O)C(\C)=C\C=C\C(\C)=C/C=C/C=C(\C)/C=C/C=C(/C)\C=C\C1=C(C)CCCC1(C)C</t>
  </si>
  <si>
    <t xml:space="preserve">YDOUJCMZGQTKDH-WDNAESAISA-N</t>
  </si>
  <si>
    <t xml:space="preserve">528.25629</t>
  </si>
  <si>
    <t xml:space="preserve">C28H35N5O4</t>
  </si>
  <si>
    <t xml:space="preserve">Capromorelin</t>
  </si>
  <si>
    <t xml:space="preserve">204515</t>
  </si>
  <si>
    <t xml:space="preserve">HMDB0249597</t>
  </si>
  <si>
    <t xml:space="preserve">18000481</t>
  </si>
  <si>
    <t xml:space="preserve">CN1N=C2CCN(CC2(CC2=CC=CC=C2)C1=O)C(=O)C(COCC1=CC=CC=C1)NC(=O)C(C)(C)N</t>
  </si>
  <si>
    <t xml:space="preserve">KVLLHLWBPNCVNR-UHFFFAOYSA-N</t>
  </si>
  <si>
    <t xml:space="preserve">529.07814</t>
  </si>
  <si>
    <t xml:space="preserve">C23H22O12</t>
  </si>
  <si>
    <t xml:space="preserve">Kaempferol 3-O-acetyl-glucoside; Quercetin 3-O-acetyl-rhamnoside; Kaempferol 3-(6-acetylgalactoside)</t>
  </si>
  <si>
    <t xml:space="preserve">31872; 32342; 59335</t>
  </si>
  <si>
    <t xml:space="preserve">HMDB0301694; HMDB0301688; HMDB0035466</t>
  </si>
  <si>
    <t xml:space="preserve">; ; 90751</t>
  </si>
  <si>
    <t xml:space="preserve">LMPK12111783; LMPK12112257; </t>
  </si>
  <si>
    <t xml:space="preserve">10435673; 6324952; 74978029</t>
  </si>
  <si>
    <t xml:space="preserve">C1(O)=CC2OC(C3C=CC(O)=CC=3)=C(O[C@H]3[C@H](O)[C@@H](O)[C@H](O)[C@@H](COC(C)=O)O3)C(=O)C=2C(O)=C1; C1C=C(O)C(O)=CC=1C1=C(O[C@H]2[C@H](OC(=O)C)[C@H](O)[C@@H](O)[C@H](C)O2)C(=O)C2C(O)=CC(O)=CC=2O1; CC(=O)OCC1OC(OC2=C(OC3=CC(O)=CC(O)=C3C2=O)C2=CC=C(O)C=C2)C(O)C(O)C1O</t>
  </si>
  <si>
    <t xml:space="preserve">AKENCGNASJPQNR-LNNZMUSMSA-N; QYSPPPJDISHVRH-ZKLNTULWSA-N; AKENCGNASJPQNR-UHFFFAOYSA-N</t>
  </si>
  <si>
    <t xml:space="preserve">531.04815</t>
  </si>
  <si>
    <t xml:space="preserve">C8H6N4O6</t>
  </si>
  <si>
    <t xml:space="preserve">2-[(2,4-Dinitrophenyl)diazenyl]acetic acid</t>
  </si>
  <si>
    <t xml:space="preserve">209362</t>
  </si>
  <si>
    <t xml:space="preserve">HMDB0255364</t>
  </si>
  <si>
    <t xml:space="preserve">53942679</t>
  </si>
  <si>
    <t xml:space="preserve">OC(=O)CN=NC1=C(C=C(C=C1)[N+]([O-])=O)[N+]([O-])=O</t>
  </si>
  <si>
    <t xml:space="preserve">IYXVEQWERRSQCR-UHFFFAOYSA-N</t>
  </si>
  <si>
    <t xml:space="preserve">531.12024</t>
  </si>
  <si>
    <t xml:space="preserve">C24H24N2O13</t>
  </si>
  <si>
    <t xml:space="preserve">Neobetanin</t>
  </si>
  <si>
    <t xml:space="preserve">54363</t>
  </si>
  <si>
    <t xml:space="preserve">HMDB0029405</t>
  </si>
  <si>
    <t xml:space="preserve">153274920</t>
  </si>
  <si>
    <t xml:space="preserve">71199-29-6</t>
  </si>
  <si>
    <t xml:space="preserve">OCC1OC(OC2=C(O)C=C3N(C=CC4=CC(=NC(=C4)C(O)=O)C(O)=O)C(CC3=C2)C(O)=O)C(O)C(O)C1O</t>
  </si>
  <si>
    <t xml:space="preserve">JGRJFJIJVQCUMW-UHFFFAOYSA-N</t>
  </si>
  <si>
    <t xml:space="preserve">534.19609</t>
  </si>
  <si>
    <t xml:space="preserve">C25H32F3N3O4</t>
  </si>
  <si>
    <t xml:space="preserve">Silodosin</t>
  </si>
  <si>
    <t xml:space="preserve">211843</t>
  </si>
  <si>
    <t xml:space="preserve">HMDB0258291</t>
  </si>
  <si>
    <t xml:space="preserve">9891967</t>
  </si>
  <si>
    <t xml:space="preserve">CC(CC1=CC2=C(N(CCCO)CC2)C(=C1)C(N)=O)NCCOC1=CC=CC=C1OCC(F)(F)F</t>
  </si>
  <si>
    <t xml:space="preserve">PNCPYILNMDWPEY-UHFFFAOYSA-N</t>
  </si>
  <si>
    <t xml:space="preserve">535.29053</t>
  </si>
  <si>
    <t xml:space="preserve">C29H42O9</t>
  </si>
  <si>
    <t xml:space="preserve">Corchoroside A</t>
  </si>
  <si>
    <t xml:space="preserve">58014</t>
  </si>
  <si>
    <t xml:space="preserve">HMDB0033846</t>
  </si>
  <si>
    <t xml:space="preserve">89568</t>
  </si>
  <si>
    <t xml:space="preserve">5091219</t>
  </si>
  <si>
    <t xml:space="preserve">508-76-9</t>
  </si>
  <si>
    <t xml:space="preserve">CC1OC(CC(O)C1O)OC1CCC2(C=O)C3CCC4(C)C(CCC4(O)C3CCC2(O)C1)C1=CC(=O)OC1</t>
  </si>
  <si>
    <t xml:space="preserve">QBILRDAMJUPXCX-UHFFFAOYSA-N</t>
  </si>
  <si>
    <t xml:space="preserve">535.58713</t>
  </si>
  <si>
    <t xml:space="preserve">C18H37N</t>
  </si>
  <si>
    <t xml:space="preserve">9-Octadecen-1-amine</t>
  </si>
  <si>
    <t xml:space="preserve">199895</t>
  </si>
  <si>
    <t xml:space="preserve">HMDB0244390</t>
  </si>
  <si>
    <t xml:space="preserve">8219</t>
  </si>
  <si>
    <t xml:space="preserve">CCCCCCCCC=CCCCCCCCCN</t>
  </si>
  <si>
    <t xml:space="preserve">QGLWBTPVKHMVHM-UHFFFAOYSA-N</t>
  </si>
  <si>
    <t xml:space="preserve">536.28309</t>
  </si>
  <si>
    <t xml:space="preserve">C29H37N5O5</t>
  </si>
  <si>
    <t xml:space="preserve">valeryl 4-hydroxy valsartan; Ergoloid</t>
  </si>
  <si>
    <t xml:space="preserve">212994; 197030</t>
  </si>
  <si>
    <t xml:space="preserve">HMDB0259747; HMDB0240271</t>
  </si>
  <si>
    <t xml:space="preserve">; 57059722</t>
  </si>
  <si>
    <t xml:space="preserve">CCCCC(=O)N(CC1=CC=C(C=C1)C1=CC=CC=C1C1=NNN=N1)C(C(C)CO)(C(O)=O)C(=O)CCCC; [H][C@@]12CCCN1C(=O)[C@H](C)N1C(=O)[C@](NC(=O)[C@H]3CN(C)[C@]4([H])CC5=CNC6=CC=CC(=C56)[C@@]4([H])C3)(O[C@@]21O)C(C)C</t>
  </si>
  <si>
    <t xml:space="preserve">JXPAKNRYZWHNII-UHFFFAOYSA-N; MCGIZFOPUJLDEN-ZUQOLAOUSA-N</t>
  </si>
  <si>
    <t xml:space="preserve">Organic acids and derivatives; Alkaloids and derivatives</t>
  </si>
  <si>
    <t xml:space="preserve">Carboxylic acids and derivatives; Ergoline and derivatives</t>
  </si>
  <si>
    <t xml:space="preserve">Amino acids, peptides, and analogues; Lysergic acids and derivatives</t>
  </si>
  <si>
    <t xml:space="preserve">536.33723</t>
  </si>
  <si>
    <t xml:space="preserve">C29H49NO5</t>
  </si>
  <si>
    <t xml:space="preserve">(7E,10E,13E,16E)-3-Hydroxydocosa-7,10,13,16-tetraenoylcarnitine; (10E)-11-(3,4-Dimethyl-5-pentylfuran-2-yl)undec-10-enoylcarnitine; 11-{3,4-Dimethyl-5-[(1E)-pent-1-en-1-yl]furan-2-yl}undecanoylcarnitine</t>
  </si>
  <si>
    <t xml:space="preserve">198144; 198351; 198355</t>
  </si>
  <si>
    <t xml:space="preserve">HMDB0241607; HMDB0241829; HMDB0241833</t>
  </si>
  <si>
    <t xml:space="preserve">CCCCCC=CCC=CCC=CCC=CCCCC(O)CC(=O)OC(CC([O-])=O)C[N+](C)(C)C; CCCCCC1=C(C)C(C)=C(O1)C=CCCCCCCCCC(=O)OC(CC([O-])=O)C[N+](C)(C)C; CCCC=CC1=C(C)C(C)=C(CCCCCCCCCCC(=O)OC(CC([O-])=O)C[N+](C)(C)C)O1</t>
  </si>
  <si>
    <t xml:space="preserve">VNDDHCLZKGIEPZ-UHFFFAOYSA-N; SOOWSWAUNDRVKV-UHFFFAOYSA-N; ZOKGJZKYKVENGW-UHFFFAOYSA-N</t>
  </si>
  <si>
    <t xml:space="preserve">537.03419</t>
  </si>
  <si>
    <t xml:space="preserve">C18H22O12P2</t>
  </si>
  <si>
    <t xml:space="preserve">[3-Methoxy-2-phosphonooxy-6-[(E)-2-(3,4,5-trimethoxyphenyl)ethenyl]phenyl] dihydrogen phosphate</t>
  </si>
  <si>
    <t xml:space="preserve">209885</t>
  </si>
  <si>
    <t xml:space="preserve">HMDB0255982</t>
  </si>
  <si>
    <t xml:space="preserve">72623551</t>
  </si>
  <si>
    <t xml:space="preserve">COC1=CC(C=CC2=C(OP(O)(O)=O)C(OP(O)(O)=O)=C(OC)C=C2)=CC(OC)=C1OC</t>
  </si>
  <si>
    <t xml:space="preserve">GSOXMQLWUDQTNT-UHFFFAOYSA-N</t>
  </si>
  <si>
    <t xml:space="preserve">539.26200</t>
  </si>
  <si>
    <t xml:space="preserve">C26H44O9</t>
  </si>
  <si>
    <t xml:space="preserve">Mupirocin, calcium salt (2:1)</t>
  </si>
  <si>
    <t xml:space="preserve">52771</t>
  </si>
  <si>
    <t xml:space="preserve">HMDB0014554</t>
  </si>
  <si>
    <t xml:space="preserve">43266</t>
  </si>
  <si>
    <t xml:space="preserve">C11758</t>
  </si>
  <si>
    <t xml:space="preserve">7025</t>
  </si>
  <si>
    <t xml:space="preserve">446596</t>
  </si>
  <si>
    <t xml:space="preserve">12650-69-0</t>
  </si>
  <si>
    <t xml:space="preserve">C[C@H](O)[C@H](C)[C@@H]1O[C@H]1C[C@H]1CO[C@@H](C\C(C)=C\C(=O)OCCCCCCCCC(O)=O)[C@H](O)[C@@H]1O</t>
  </si>
  <si>
    <t xml:space="preserve">MINDHVHHQZYEEK-HBBNESRFSA-N</t>
  </si>
  <si>
    <t xml:space="preserve">540.34795</t>
  </si>
  <si>
    <t xml:space="preserve">C31H51NO4</t>
  </si>
  <si>
    <t xml:space="preserve">(9Z,12Z,15Z,18Z,21Z)-Tetracosa-9,12,15,18,21-pentaenoylcarnitine</t>
  </si>
  <si>
    <t xml:space="preserve">198171</t>
  </si>
  <si>
    <t xml:space="preserve">HMDB0241635</t>
  </si>
  <si>
    <t xml:space="preserve">CCC=CCC=CCC=CCC=CCC=CCCCCCCCC(=O)OC(CC([O-])=O)C[N+](C)(C)C</t>
  </si>
  <si>
    <t xml:space="preserve">AQYQJMYFFSCGBI-UHFFFAOYSA-N</t>
  </si>
  <si>
    <t xml:space="preserve">540.53561</t>
  </si>
  <si>
    <t xml:space="preserve">C34H69NO3</t>
  </si>
  <si>
    <t xml:space="preserve">Cer(d34:0)</t>
  </si>
  <si>
    <t xml:space="preserve">39241</t>
  </si>
  <si>
    <t xml:space="preserve">HMDB0011760</t>
  </si>
  <si>
    <t xml:space="preserve">41565</t>
  </si>
  <si>
    <t xml:space="preserve">LMSP02020001</t>
  </si>
  <si>
    <t xml:space="preserve">67042</t>
  </si>
  <si>
    <t xml:space="preserve">5283572</t>
  </si>
  <si>
    <t xml:space="preserve">5966-29-0</t>
  </si>
  <si>
    <t xml:space="preserve">[C@](CO)([H])(NC(CCCCCCCCCCCCCCC)=O)[C@]([H])(O)CCCCCCCCCCCCCCC</t>
  </si>
  <si>
    <t xml:space="preserve">GCGTXOVNNFGTPQ-JHOUSYSJSA-N</t>
  </si>
  <si>
    <t xml:space="preserve">Ceramides</t>
  </si>
  <si>
    <t xml:space="preserve">541.05648</t>
  </si>
  <si>
    <t xml:space="preserve">C9H10N4O2S2</t>
  </si>
  <si>
    <t xml:space="preserve">Sulfamethizole</t>
  </si>
  <si>
    <t xml:space="preserve">52907</t>
  </si>
  <si>
    <t xml:space="preserve">HMDB0014715</t>
  </si>
  <si>
    <t xml:space="preserve">43336</t>
  </si>
  <si>
    <t xml:space="preserve">C08050</t>
  </si>
  <si>
    <t xml:space="preserve">9331</t>
  </si>
  <si>
    <t xml:space="preserve">5328</t>
  </si>
  <si>
    <t xml:space="preserve">144-82-1</t>
  </si>
  <si>
    <t xml:space="preserve">CC1=NN=C(NS(=O)(=O)C2=CC=C(N)C=C2)S1</t>
  </si>
  <si>
    <t xml:space="preserve">VACCAVUAMIDAGB-UHFFFAOYSA-N</t>
  </si>
  <si>
    <t xml:space="preserve">541.28482</t>
  </si>
  <si>
    <t xml:space="preserve">C31H42O9</t>
  </si>
  <si>
    <t xml:space="preserve">Glycinoeclepin B</t>
  </si>
  <si>
    <t xml:space="preserve">60684</t>
  </si>
  <si>
    <t xml:space="preserve">HMDB0037035</t>
  </si>
  <si>
    <t xml:space="preserve">131752130</t>
  </si>
  <si>
    <t xml:space="preserve">103847-17-2</t>
  </si>
  <si>
    <t xml:space="preserve">O[C@@H](C[C@@H](C)[C@]1(C)CC=C2C(C(=O)O)=C(C[C@@H](OC(=O)C)[C@@]12C)C[C@]12CC[C@H](O1)C(C)(C)C2=O)\C=C(/C)C(O)=O</t>
  </si>
  <si>
    <t xml:space="preserve">RMMQUGYNWLQNHP-YELRAYEVSA-N</t>
  </si>
  <si>
    <t xml:space="preserve">542.30652</t>
  </si>
  <si>
    <t xml:space="preserve">C29H45NO7</t>
  </si>
  <si>
    <t xml:space="preserve">(4Z,7R,8E,10Z,12E,14E,17S,19Z)-7,16,17-Trihydroxydocosa-4,8,10,12,14,19-hexaenoylcarnitine</t>
  </si>
  <si>
    <t xml:space="preserve">198150</t>
  </si>
  <si>
    <t xml:space="preserve">HMDB0241614</t>
  </si>
  <si>
    <t xml:space="preserve">CCC=CCC(O)C(O)C=CC=CC=CC=CC(O)CC=CCCC(=O)OC(CC([O-])=O)C[N+](C)(C)C</t>
  </si>
  <si>
    <t xml:space="preserve">WFNNVNHJKZFVBH-UHFFFAOYSA-N</t>
  </si>
  <si>
    <t xml:space="preserve">544.86995</t>
  </si>
  <si>
    <t xml:space="preserve">C19H11Cl3N2O4S</t>
  </si>
  <si>
    <t xml:space="preserve">2-[3-(4-Chlorophenyl)-2-[(2,4-dichlorobenzoyl)imino]-4-oxo-5-thiazolidinylidene]-acetic acid, methyl ester</t>
  </si>
  <si>
    <t xml:space="preserve">206965</t>
  </si>
  <si>
    <t xml:space="preserve">HMDB0252482</t>
  </si>
  <si>
    <t xml:space="preserve">54299595</t>
  </si>
  <si>
    <t xml:space="preserve">COC(=O)C=C1SC(=NC(=O)C2=C(Cl)C=C(Cl)C=C2)N(C1=O)C1=CC=C(Cl)C=C1</t>
  </si>
  <si>
    <t xml:space="preserve">SDGLYCKTPKZBGI-UHFFFAOYSA-N</t>
  </si>
  <si>
    <t xml:space="preserve">545.06106</t>
  </si>
  <si>
    <t xml:space="preserve">C30H18O8</t>
  </si>
  <si>
    <t xml:space="preserve">Protohypericin</t>
  </si>
  <si>
    <t xml:space="preserve">58254</t>
  </si>
  <si>
    <t xml:space="preserve">HMDB0034180</t>
  </si>
  <si>
    <t xml:space="preserve">89759</t>
  </si>
  <si>
    <t xml:space="preserve">5489488</t>
  </si>
  <si>
    <t xml:space="preserve">548-03-8</t>
  </si>
  <si>
    <t xml:space="preserve">CC1=CC2=C(C(O)=C1)C(=O)C1=C(O)C=C(O)C3=C4C(O)=CC(O)=C5C(=O)C6=C(C=C(C)C=C6O)C(C2=C13)=C45</t>
  </si>
  <si>
    <t xml:space="preserve">YLILOANQCQKPOD-UHFFFAOYSA-N</t>
  </si>
  <si>
    <t xml:space="preserve">Perylenequinones</t>
  </si>
  <si>
    <t xml:space="preserve">547.08403</t>
  </si>
  <si>
    <t xml:space="preserve">C13H10O6</t>
  </si>
  <si>
    <t xml:space="preserve">Maclurin</t>
  </si>
  <si>
    <t xml:space="preserve">56928</t>
  </si>
  <si>
    <t xml:space="preserve">HMDB0032644</t>
  </si>
  <si>
    <t xml:space="preserve">68038</t>
  </si>
  <si>
    <t xml:space="preserve">C09951</t>
  </si>
  <si>
    <t xml:space="preserve">68213</t>
  </si>
  <si>
    <t xml:space="preserve">519-34-6</t>
  </si>
  <si>
    <t xml:space="preserve">OC1=CC(O)=C(C(=O)C2=CC(O)=C(O)C=C2)C(O)=C1</t>
  </si>
  <si>
    <t xml:space="preserve">XNWPXDGRBWJIES-UHFFFAOYSA-N</t>
  </si>
  <si>
    <t xml:space="preserve">547.29079</t>
  </si>
  <si>
    <t xml:space="preserve">C31H40N4O6</t>
  </si>
  <si>
    <t xml:space="preserve">(S)-N-((R)-1-(Benzo[d][1,3]dioxol-5-yl)butyl)-3,3-diethyl-2-(4-(4-methylpiperazine-1-carbonyl)phenoxy)-4-oxoazetidine-1-carboxamide</t>
  </si>
  <si>
    <t xml:space="preserve">206158</t>
  </si>
  <si>
    <t xml:space="preserve">HMDB0251542</t>
  </si>
  <si>
    <t xml:space="preserve">18767415</t>
  </si>
  <si>
    <t xml:space="preserve">CCCC(NC(=O)N1C(OC2=CC=C(C=C2)C(=O)N2CCN(C)CC2)C(CC)(CC)C1=O)C1=CC2=C(OCO2)C=C1</t>
  </si>
  <si>
    <t xml:space="preserve">ZSDCIRYNTCVTMF-UHFFFAOYSA-N</t>
  </si>
  <si>
    <t xml:space="preserve">547.53719</t>
  </si>
  <si>
    <t xml:space="preserve">C35H72O2</t>
  </si>
  <si>
    <t xml:space="preserve">erythro-8,10-Pentatriacontanediol; erythro-6,8-Pentatriacontanediol</t>
  </si>
  <si>
    <t xml:space="preserve">55861; 64182</t>
  </si>
  <si>
    <t xml:space="preserve">HMDB0031275; HMDB0041074</t>
  </si>
  <si>
    <t xml:space="preserve">87545; 95507</t>
  </si>
  <si>
    <t xml:space="preserve">85739786; 73087500</t>
  </si>
  <si>
    <t xml:space="preserve">193419-80-6; 155800-92-3</t>
  </si>
  <si>
    <t xml:space="preserve">CCCCCCCCCCCCCCCCCCCCCCCCCC(O)CC(O)CCCCCCC; CCCCCCCCCCCCCCCCCCCCCCCCCCCC(O)CC(O)CCCCC</t>
  </si>
  <si>
    <t xml:space="preserve">MFPJMDCXGYIZMF-UHFFFAOYSA-N; ALIQGMLANZVJJZ-UHFFFAOYSA-N</t>
  </si>
  <si>
    <t xml:space="preserve">Fatty alcohols; Fatty alcohols</t>
  </si>
  <si>
    <t xml:space="preserve">548.04503</t>
  </si>
  <si>
    <t xml:space="preserve">C24H21BrFN5O2</t>
  </si>
  <si>
    <t xml:space="preserve">Ripretinib</t>
  </si>
  <si>
    <t xml:space="preserve">257608</t>
  </si>
  <si>
    <t xml:space="preserve">HMDB0304864</t>
  </si>
  <si>
    <t xml:space="preserve">CCN1C(=O)C(=CC2=C1C=C(NC)N=C2)C1=C(Br)C=C(F)C(NC(=O)NC2=CC=CC=C2)=C1</t>
  </si>
  <si>
    <t xml:space="preserve">CEFJVGZHQAGLHS-UHFFFAOYSA-N</t>
  </si>
  <si>
    <t xml:space="preserve">548.80516</t>
  </si>
  <si>
    <t xml:space="preserve">C16H9Cl5O6</t>
  </si>
  <si>
    <t xml:space="preserve">2-(2,4-Dichlorophenoxy)-3-(2,4,5-trichlorophenoxy)butanedioic acid</t>
  </si>
  <si>
    <t xml:space="preserve">209354</t>
  </si>
  <si>
    <t xml:space="preserve">HMDB0255356</t>
  </si>
  <si>
    <t xml:space="preserve">57316938</t>
  </si>
  <si>
    <t xml:space="preserve">OC(=O)C(OC1=CC(Cl)=C(Cl)C=C1Cl)C(OC1=C(Cl)C=C(Cl)C=C1)C(O)=O</t>
  </si>
  <si>
    <t xml:space="preserve">ROQOKGDVKCKXEQ-UHFFFAOYSA-N</t>
  </si>
  <si>
    <t xml:space="preserve">549.28787</t>
  </si>
  <si>
    <t xml:space="preserve">C34H38N4O4</t>
  </si>
  <si>
    <t xml:space="preserve">Mesoporphyrin IX</t>
  </si>
  <si>
    <t xml:space="preserve">47928</t>
  </si>
  <si>
    <t xml:space="preserve">HMDB0002379</t>
  </si>
  <si>
    <t xml:space="preserve">6655</t>
  </si>
  <si>
    <t xml:space="preserve">493-90-3</t>
  </si>
  <si>
    <t xml:space="preserve">CCC1=C(C)/C2=C/C3=C(CC)C(C)=C(N3)\C=C3/N=C(/C=C4\N=C(\C=C\1/N\2)C(C)=C4CCC(O)=O)C(CCC(O)=O)=C3C</t>
  </si>
  <si>
    <t xml:space="preserve">NCAJWYASAWUEBY-UJJXFSCMSA-N</t>
  </si>
  <si>
    <t xml:space="preserve">550.80953</t>
  </si>
  <si>
    <t xml:space="preserve">C4H8Cl3O4P</t>
  </si>
  <si>
    <t xml:space="preserve">Trichlorfon</t>
  </si>
  <si>
    <t xml:space="preserve">208770</t>
  </si>
  <si>
    <t xml:space="preserve">HMDB0254686</t>
  </si>
  <si>
    <t xml:space="preserve">2920</t>
  </si>
  <si>
    <t xml:space="preserve">C07971</t>
  </si>
  <si>
    <t xml:space="preserve">6908</t>
  </si>
  <si>
    <t xml:space="preserve">5853</t>
  </si>
  <si>
    <t xml:space="preserve">52-68-6</t>
  </si>
  <si>
    <t xml:space="preserve">COP(=O)(OC)C(O)C(Cl)(Cl)Cl</t>
  </si>
  <si>
    <t xml:space="preserve">NFACJZMKEDPNKN-UHFFFAOYSA-N</t>
  </si>
  <si>
    <t xml:space="preserve">Phosphonic acid diesters</t>
  </si>
  <si>
    <t xml:space="preserve">553.47122</t>
  </si>
  <si>
    <t xml:space="preserve">C32H56N8</t>
  </si>
  <si>
    <t xml:space="preserve">2,11,20,29,37,38,39,40-Octazanonacyclo[28.6.1.13,10.112,19.121,28.04,9.013,18.022,27.031,36]tetracontane</t>
  </si>
  <si>
    <t xml:space="preserve">213229</t>
  </si>
  <si>
    <t xml:space="preserve">HMDB0260022</t>
  </si>
  <si>
    <t xml:space="preserve">5252015</t>
  </si>
  <si>
    <t xml:space="preserve">C1CCC2C(C1)C1NC2NC2NC(NC3NC(NC4NC(N1)C1CCCCC41)C1CCCCC31)C1CCCCC21</t>
  </si>
  <si>
    <t xml:space="preserve">OFKJDZJDAGILNG-UHFFFAOYSA-N</t>
  </si>
  <si>
    <t xml:space="preserve">554.27981</t>
  </si>
  <si>
    <t xml:space="preserve">C35H37N3O2</t>
  </si>
  <si>
    <t xml:space="preserve">(2S)-2-Cyclopentyl-2-[4-[(2,4-dimethylpyrido[2,3-b]indol-9-yl)methyl]phenyl]-N-[(1S)-2-hydroxy-1-phenylethyl]acetamide; Implitapide</t>
  </si>
  <si>
    <t xml:space="preserve">211635; 212924</t>
  </si>
  <si>
    <t xml:space="preserve">HMDB0258043; HMDB0259646</t>
  </si>
  <si>
    <t xml:space="preserve">11526623; </t>
  </si>
  <si>
    <t xml:space="preserve">CC1=NC2=C(C3=CC=CC=C3N2CC2=CC=C(C=C2)C(C2CCCC2)C(=O)NC(CO)C2=CC=CC=C2)C(C)=C1; CC1=NC2=C(C3=CC=CC=C3N2CC2=CC(=CC=C2)C(C2CCCC2)C(=O)NC(CO)C2=CC=CC=C2)C(C)=C1</t>
  </si>
  <si>
    <t xml:space="preserve">KIMRCJZMVARVSU-UHFFFAOYSA-N; AMNXBQPRODZJQR-UHFFFAOYSA-N</t>
  </si>
  <si>
    <t xml:space="preserve">Indoles and derivatives; Indoles and derivatives</t>
  </si>
  <si>
    <t xml:space="preserve">Pyridoindoles; Pyridoindoles</t>
  </si>
  <si>
    <t xml:space="preserve">555.04795</t>
  </si>
  <si>
    <t xml:space="preserve">C18H18N8O7S3</t>
  </si>
  <si>
    <t xml:space="preserve">Ceftriaxone</t>
  </si>
  <si>
    <t xml:space="preserve">53425</t>
  </si>
  <si>
    <t xml:space="preserve">HMDB0015343</t>
  </si>
  <si>
    <t xml:space="preserve">C06683</t>
  </si>
  <si>
    <t xml:space="preserve">29007</t>
  </si>
  <si>
    <t xml:space="preserve">5479530</t>
  </si>
  <si>
    <t xml:space="preserve">73384-59-5</t>
  </si>
  <si>
    <t xml:space="preserve">[H][C@]12SCC(CSC3=NC(=O)C(=O)NN3C)=C(N1C(=O)[C@H]2NC(=O)C(=N/OC)\C1=CSC(N)=N1)C(O)=O</t>
  </si>
  <si>
    <t xml:space="preserve">VAAUVRVFOQPIGI-SPQHTLEESA-N</t>
  </si>
  <si>
    <t xml:space="preserve">556.16236</t>
  </si>
  <si>
    <t xml:space="preserve">C28H29N7O</t>
  </si>
  <si>
    <t xml:space="preserve">N-desmethylimatinib</t>
  </si>
  <si>
    <t xml:space="preserve">52484</t>
  </si>
  <si>
    <t xml:space="preserve">HMDB0013862</t>
  </si>
  <si>
    <t xml:space="preserve">85286</t>
  </si>
  <si>
    <t xml:space="preserve">9869737</t>
  </si>
  <si>
    <t xml:space="preserve">CC1=C(NC2=NC=CC(=N2)C2=CN=CC=C2)C=C(NC(=O)C2=CC=C(CN3CCNCC3)C=C2)C=C1</t>
  </si>
  <si>
    <t xml:space="preserve">BQQYXPHRXIZMDM-UHFFFAOYSA-N</t>
  </si>
  <si>
    <t xml:space="preserve">557.09624</t>
  </si>
  <si>
    <t xml:space="preserve">C26H23ClN6OS2</t>
  </si>
  <si>
    <t xml:space="preserve">Rocepafant</t>
  </si>
  <si>
    <t xml:space="preserve">211006</t>
  </si>
  <si>
    <t xml:space="preserve">HMDB0257286</t>
  </si>
  <si>
    <t xml:space="preserve">3033963</t>
  </si>
  <si>
    <t xml:space="preserve">COC1=CC=C(NC(=S)N2CCC3=C(C2)SC2=C3C(=NCC3=NN=C(C)N23)C2=CC=CC=C2Cl)C=C1</t>
  </si>
  <si>
    <t xml:space="preserve">WBGAFGNZNGJVNW-UHFFFAOYSA-N</t>
  </si>
  <si>
    <t xml:space="preserve">558.29114</t>
  </si>
  <si>
    <t xml:space="preserve">C26H50NO7P</t>
  </si>
  <si>
    <t xml:space="preserve">GPC(18:2)</t>
  </si>
  <si>
    <t xml:space="preserve">19839</t>
  </si>
  <si>
    <t xml:space="preserve">HMDB0010386</t>
  </si>
  <si>
    <t xml:space="preserve">40301</t>
  </si>
  <si>
    <t xml:space="preserve">LMGP01050035</t>
  </si>
  <si>
    <t xml:space="preserve">28733</t>
  </si>
  <si>
    <t xml:space="preserve">11005824</t>
  </si>
  <si>
    <t xml:space="preserve">22252-07-9</t>
  </si>
  <si>
    <t xml:space="preserve">[C@](COP(=O)([O-])OCC[N+](C)(C)C)([H])(O)COC(CCCCCCC/C=C\C/C=C\CCCCC)=O</t>
  </si>
  <si>
    <t xml:space="preserve">SPJFYYJXNPEZDW-FTJOPAKQSA-N</t>
  </si>
  <si>
    <t xml:space="preserve">559.28529</t>
  </si>
  <si>
    <t xml:space="preserve">C29H44O9</t>
  </si>
  <si>
    <t xml:space="preserve">Actodigin; Corchorosol A</t>
  </si>
  <si>
    <t xml:space="preserve">203155; 64243</t>
  </si>
  <si>
    <t xml:space="preserve">HMDB0247988; HMDB0041137</t>
  </si>
  <si>
    <t xml:space="preserve">; 95566</t>
  </si>
  <si>
    <t xml:space="preserve">37595; 4254782</t>
  </si>
  <si>
    <t xml:space="preserve">; 23838-13-3</t>
  </si>
  <si>
    <t xml:space="preserve">CC12CCC3C(CCC4CC(CCC34C)OC3OC(CO)C(O)C(O)C3O)C1(O)CCC2C1=CCOC1=O; CC1OC(CC(O)C1O)OC1CCC2(CO)C3CCC4(C)C(CCC4(O)C3CCC2(O)C1)C1=CC(=O)OC1</t>
  </si>
  <si>
    <t xml:space="preserve">ACLJAFRNPZVVIW-UHFFFAOYSA-N; KISYRRMFQYIIFQ-UHFFFAOYSA-N</t>
  </si>
  <si>
    <t xml:space="preserve">Steroidal glycosides; Steroid lactones</t>
  </si>
  <si>
    <t xml:space="preserve">562.31833</t>
  </si>
  <si>
    <t xml:space="preserve">C29H49NO6S</t>
  </si>
  <si>
    <t xml:space="preserve">Cholylmethionine</t>
  </si>
  <si>
    <t xml:space="preserve">198835</t>
  </si>
  <si>
    <t xml:space="preserve">HMDB0242382</t>
  </si>
  <si>
    <t xml:space="preserve">145997943</t>
  </si>
  <si>
    <t xml:space="preserve">CSCCC(NC(=O)CCC(C)C1CCC2C3C(O)CC4CC(O)CCC4(C)C3CC(O)C12C)C(O)=O</t>
  </si>
  <si>
    <t xml:space="preserve">VNBNDOGLQFEJKP-UHFFFAOYSA-N</t>
  </si>
  <si>
    <t xml:space="preserve">563.04798</t>
  </si>
  <si>
    <t xml:space="preserve">C19H21IN6O5</t>
  </si>
  <si>
    <t xml:space="preserve">N-[[(2S,3S,4R,5R)-3,4-Dihydroxy-5-[6-[(3-iodophenyl)methylamino]purin-9-yl]oxolan-2-yl]-hydroxymethyl]-N-methylformamide</t>
  </si>
  <si>
    <t xml:space="preserve">211643</t>
  </si>
  <si>
    <t xml:space="preserve">HMDB0258052</t>
  </si>
  <si>
    <t xml:space="preserve">CN(C=O)C(O)C1OC(C(O)C1O)N1C=NC2=C1N=CN=C2NCC1=CC(I)=CC=C1</t>
  </si>
  <si>
    <t xml:space="preserve">ONWPJMYHOKFEMP-UHFFFAOYSA-N</t>
  </si>
  <si>
    <t xml:space="preserve">564.06810</t>
  </si>
  <si>
    <t xml:space="preserve">C18H23N9O4S3</t>
  </si>
  <si>
    <t xml:space="preserve">Cefotiam</t>
  </si>
  <si>
    <t xml:space="preserve">52627</t>
  </si>
  <si>
    <t xml:space="preserve">HMDB0014374</t>
  </si>
  <si>
    <t xml:space="preserve">3955</t>
  </si>
  <si>
    <t xml:space="preserve">355510</t>
  </si>
  <si>
    <t xml:space="preserve">43708</t>
  </si>
  <si>
    <t xml:space="preserve">61622-34-2</t>
  </si>
  <si>
    <t xml:space="preserve">[H][C@]12SCC(CSC3=NN=NN3CCN(C)C)=C(N1C(=O)[C@H]2NC(=O)CC1=CSC(N)=N1)C(O)=O</t>
  </si>
  <si>
    <t xml:space="preserve">QYQDKDWGWDOFFU-IUODEOHRSA-N</t>
  </si>
  <si>
    <t xml:space="preserve">566.54798</t>
  </si>
  <si>
    <t xml:space="preserve">C36H71NO3</t>
  </si>
  <si>
    <t xml:space="preserve">Cer(d36:1)</t>
  </si>
  <si>
    <t xml:space="preserve">39029</t>
  </si>
  <si>
    <t xml:space="preserve">HMDB0004950</t>
  </si>
  <si>
    <t xml:space="preserve">433</t>
  </si>
  <si>
    <t xml:space="preserve">LMSP02010006</t>
  </si>
  <si>
    <t xml:space="preserve">C00195</t>
  </si>
  <si>
    <t xml:space="preserve">72961</t>
  </si>
  <si>
    <t xml:space="preserve">5283565</t>
  </si>
  <si>
    <t xml:space="preserve">2304-81-6</t>
  </si>
  <si>
    <t xml:space="preserve">[C@](CO)([H])(NC(CCCCCCCCCCCCCCCCC)=O)[C@]([H])(O)/C=C/CCCCCCCCCCCCC</t>
  </si>
  <si>
    <t xml:space="preserve">VODZWWMEJITOND-NXCSZAMKSA-N</t>
  </si>
  <si>
    <t xml:space="preserve">568.09373</t>
  </si>
  <si>
    <t xml:space="preserve">C31H20ClN5OS</t>
  </si>
  <si>
    <t xml:space="preserve">5-(3-(4-(2-Chlorophenyl)-9-methyl-6H-thieno(3,2-f)(1,2,4)triazolo(4,3-a)(1,4)diazepin-2-yl)-2-propynyl)phenanthridin-6(5H)-one</t>
  </si>
  <si>
    <t xml:space="preserve">210993</t>
  </si>
  <si>
    <t xml:space="preserve">HMDB0257273</t>
  </si>
  <si>
    <t xml:space="preserve">413253</t>
  </si>
  <si>
    <t xml:space="preserve">60775</t>
  </si>
  <si>
    <t xml:space="preserve">CC1=NN=C2CN=C(C3=C(SC(=C3)C#CCN3C(=O)C4=CC=CC=C4C4=CC=CC=C34)N12)C1=CC=CC=C1Cl</t>
  </si>
  <si>
    <t xml:space="preserve">MPMZSZMDCRPSRF-UHFFFAOYSA-N</t>
  </si>
  <si>
    <t xml:space="preserve">568.30637</t>
  </si>
  <si>
    <t xml:space="preserve">C36H43NO6</t>
  </si>
  <si>
    <t xml:space="preserve">5-(N-Hexadecanoyl)aminofluorescin; 5-Hexadecanoylaminofluorescein</t>
  </si>
  <si>
    <t xml:space="preserve">202058; 203199</t>
  </si>
  <si>
    <t xml:space="preserve">HMDB0246734; HMDB0248041</t>
  </si>
  <si>
    <t xml:space="preserve">52745; </t>
  </si>
  <si>
    <t xml:space="preserve">44140606; 126322</t>
  </si>
  <si>
    <t xml:space="preserve">CCCCCCCCCCCCCCCC(=O)NC1=CC(C(O)=O)=C(C=C1)C1=C2C=CC(=O)C=C2OC2=C1C=CC(O)=C2; CCCCCCCCCCCCCCCC(=O)NC1=CC2=C(C=C1)C1(OC2=O)C2=C(OC3=C1C=CC(O)=C3)C=C(O)C=C2</t>
  </si>
  <si>
    <t xml:space="preserve">NIOAQWNBYGPMHJ-UHFFFAOYSA-N; QWSRVJGBAIRGMP-UHFFFAOYSA-N</t>
  </si>
  <si>
    <t xml:space="preserve">569.06789</t>
  </si>
  <si>
    <t xml:space="preserve">C15H8O6</t>
  </si>
  <si>
    <t xml:space="preserve">Rhein</t>
  </si>
  <si>
    <t xml:space="preserve">34968</t>
  </si>
  <si>
    <t xml:space="preserve">HMDB0032876</t>
  </si>
  <si>
    <t xml:space="preserve">2411</t>
  </si>
  <si>
    <t xml:space="preserve">LMPK13040015</t>
  </si>
  <si>
    <t xml:space="preserve">C10401</t>
  </si>
  <si>
    <t xml:space="preserve">10168</t>
  </si>
  <si>
    <t xml:space="preserve">478-43-3</t>
  </si>
  <si>
    <t xml:space="preserve">C12C(O)=CC(C(=O)O)=CC=1C(=O)C1=C(C(O)=CC=C1)C2=O</t>
  </si>
  <si>
    <t xml:space="preserve">FCDLCPWAQCPTKC-UHFFFAOYSA-N</t>
  </si>
  <si>
    <t xml:space="preserve">569.43170</t>
  </si>
  <si>
    <t xml:space="preserve">C38H58O2</t>
  </si>
  <si>
    <t xml:space="preserve">2-((2E,6E,10E,14E,18E)-3,7,11,15,19,23-Hexamethyltetracosa-2,6,10,14,18,22-hexaenyl)-1,4-dimethoxybenzene</t>
  </si>
  <si>
    <t xml:space="preserve">208781</t>
  </si>
  <si>
    <t xml:space="preserve">HMDB0254699</t>
  </si>
  <si>
    <t xml:space="preserve">COC1=CC(CC=C(C)CCC=C(C)CCC=C(C)CCC=C(C)CCC=C(C)CCC=C(C)C)=C(OC)C=C1</t>
  </si>
  <si>
    <t xml:space="preserve">HFVOIVVMPINLKA-UHFFFAOYSA-N</t>
  </si>
  <si>
    <t xml:space="preserve">576.13759</t>
  </si>
  <si>
    <t xml:space="preserve">C23H29N7O6</t>
  </si>
  <si>
    <t xml:space="preserve">Evodenoson; 2-(4-(2-Carboxyethyl)phenethylamino)-5'-N-ethylcarboxamidoadenosine</t>
  </si>
  <si>
    <t xml:space="preserve">206653; 204742</t>
  </si>
  <si>
    <t xml:space="preserve">HMDB0252137; HMDB0249866</t>
  </si>
  <si>
    <t xml:space="preserve">; 91896</t>
  </si>
  <si>
    <t xml:space="preserve">59716279; 2691</t>
  </si>
  <si>
    <t xml:space="preserve">COC(=O)N1CCC(CC#CC2=NC3=C(N=CN3C3OC(C(O)C3O)C(=O)NC3CC3)C(N)=N2)CC1; CCNC(=O)C1OC(C(O)C1O)N1C=NC2=C1N=C(NCCC1=CC=C(CCC(O)=O)C=C1)N=C2N</t>
  </si>
  <si>
    <t xml:space="preserve">SQJXTUJMBYVDBB-UHFFFAOYSA-N; PAOANWZGLPPROA-UHFFFAOYSA-N</t>
  </si>
  <si>
    <t xml:space="preserve">Purine nucleosides; Purine nucleosides</t>
  </si>
  <si>
    <t xml:space="preserve">579.53905</t>
  </si>
  <si>
    <t xml:space="preserve">C37H72O5</t>
  </si>
  <si>
    <t xml:space="preserve">DG(34:0)</t>
  </si>
  <si>
    <t xml:space="preserve">10901</t>
  </si>
  <si>
    <t xml:space="preserve">HMDB0007020</t>
  </si>
  <si>
    <t xml:space="preserve">58655</t>
  </si>
  <si>
    <t xml:space="preserve">LMGL02010388</t>
  </si>
  <si>
    <t xml:space="preserve">53477955</t>
  </si>
  <si>
    <t xml:space="preserve">OC[C@]([H])(OC(CCCCCCCCCCCCCCCCCCC)=O)COC(CCCCCCCCCCCCC)=O</t>
  </si>
  <si>
    <t xml:space="preserve">WHDVKISBZHRCLW-DHUJRADRSA-N</t>
  </si>
  <si>
    <t xml:space="preserve">581.07754</t>
  </si>
  <si>
    <t xml:space="preserve">C25H27IN4O2</t>
  </si>
  <si>
    <t xml:space="preserve">p-MPPI</t>
  </si>
  <si>
    <t xml:space="preserve">209947</t>
  </si>
  <si>
    <t xml:space="preserve">HMDB0256051</t>
  </si>
  <si>
    <t xml:space="preserve">434222</t>
  </si>
  <si>
    <t xml:space="preserve">4658</t>
  </si>
  <si>
    <t xml:space="preserve">COC1=CC=CC=C1N1CCN(CCN(C(=O)C2=CC=C(I)C=C2)C2=CC=CC=N2)CC1</t>
  </si>
  <si>
    <t xml:space="preserve">DHMLNZRDVQLQBB-UHFFFAOYSA-N</t>
  </si>
  <si>
    <t xml:space="preserve">586.32448</t>
  </si>
  <si>
    <t xml:space="preserve">C28H54NO7P</t>
  </si>
  <si>
    <t xml:space="preserve">GPC(20:2)</t>
  </si>
  <si>
    <t xml:space="preserve">19882</t>
  </si>
  <si>
    <t xml:space="preserve">HMDB0010392</t>
  </si>
  <si>
    <t xml:space="preserve">LMGP01050132</t>
  </si>
  <si>
    <t xml:space="preserve">83055</t>
  </si>
  <si>
    <t xml:space="preserve">52924053</t>
  </si>
  <si>
    <t xml:space="preserve">[C@](COP(=O)([O-])OCC[N+](C)(C)C)([H])(O)COC(CCCCCCCCC/C=C\C/C=C\CCCCC)=O</t>
  </si>
  <si>
    <t xml:space="preserve">YYQVCMMXPIJVHY-ZOIJLGJPSA-N</t>
  </si>
  <si>
    <t xml:space="preserve">589.42566</t>
  </si>
  <si>
    <t xml:space="preserve">C39H56O4</t>
  </si>
  <si>
    <t xml:space="preserve">Caffeoylcycloartenol</t>
  </si>
  <si>
    <t xml:space="preserve">63938</t>
  </si>
  <si>
    <t xml:space="preserve">HMDB0040807</t>
  </si>
  <si>
    <t xml:space="preserve">95271</t>
  </si>
  <si>
    <t xml:space="preserve">14156424</t>
  </si>
  <si>
    <t xml:space="preserve">75884-34-3</t>
  </si>
  <si>
    <t xml:space="preserve">CC(CCC=C(C)C)C1CCC2(C)C3CCC4C5(CC35CCC12C)CCC(OC(=O)\C=C\C1=CC(O)=C(O)C=C1)C4(C)C</t>
  </si>
  <si>
    <t xml:space="preserve">QKNCKSQAXGWPIK-FOWTUZBSSA-N</t>
  </si>
  <si>
    <t xml:space="preserve">591.04424</t>
  </si>
  <si>
    <t xml:space="preserve">C9H12N2O6S</t>
  </si>
  <si>
    <t xml:space="preserve">2-beta-d-Ribofuranosyl thiazole-4-carboxamide</t>
  </si>
  <si>
    <t xml:space="preserve">200486</t>
  </si>
  <si>
    <t xml:space="preserve">HMDB0245037</t>
  </si>
  <si>
    <t xml:space="preserve">OCC1OC(O)C(O)(NC(=O)C2=CSC=N2)C1O</t>
  </si>
  <si>
    <t xml:space="preserve">KFYKWWBLGIHSJK-UHFFFAOYSA-N</t>
  </si>
  <si>
    <t xml:space="preserve">591.08825</t>
  </si>
  <si>
    <t xml:space="preserve">C28H24O12</t>
  </si>
  <si>
    <t xml:space="preserve">Schizotenuin F</t>
  </si>
  <si>
    <t xml:space="preserve">58580</t>
  </si>
  <si>
    <t xml:space="preserve">HMDB0034585</t>
  </si>
  <si>
    <t xml:space="preserve">90048</t>
  </si>
  <si>
    <t xml:space="preserve">169046</t>
  </si>
  <si>
    <t xml:space="preserve">10347565</t>
  </si>
  <si>
    <t xml:space="preserve">127498-36-6</t>
  </si>
  <si>
    <t xml:space="preserve">COC(=O)C(\OC1=C(O)C=C(\C=C\C(=O)OC(CC2=CC(O)=C(O)C=C2)C(O)=O)C=C1)=C\C1=CC(O)=C(O)C=C1</t>
  </si>
  <si>
    <t xml:space="preserve">JRSJLGASDWZQGF-ILWOKKNDSA-N</t>
  </si>
  <si>
    <t xml:space="preserve">593.16946</t>
  </si>
  <si>
    <t xml:space="preserve">C24H26N8O9</t>
  </si>
  <si>
    <t xml:space="preserve">Monoglutamyl folate; Monoglutamyl folic acid; Diopterin</t>
  </si>
  <si>
    <t xml:space="preserve">208920; 208921; 206054</t>
  </si>
  <si>
    <t xml:space="preserve">HMDB0254856; HMDB0254857; HMDB0251432</t>
  </si>
  <si>
    <t xml:space="preserve">; ; 115384</t>
  </si>
  <si>
    <t xml:space="preserve">NC(CCC(O)=O)C(=O)OC(=O)CCC(NC(=O)C1=CC=C(NCC2=CN=C3N=C(N)NC(=O)C3=N2)C=C1)C(O)=O; NC(CCC(O)=O)C(=O)C(CC(NC(=O)C1=CC=C(NCC2=CN=C3N=C(N)NC(=O)C3=N2)C=C1)C(O)=O)C(O)=O; NC1=NC2=NC=C(CNC3=CC=C(C=C3)C(=O)NC(CCC(O)=O)C(=O)NC(CCC(O)=O)C(O)=O)N=C2C(=O)N1</t>
  </si>
  <si>
    <t xml:space="preserve">FJUSJWBIWLXZEN-UHFFFAOYSA-N; BHGFSXDBVBWAGV-UHFFFAOYSA-N; JOXCYXFULIKANJ-UHFFFAOYSA-N</t>
  </si>
  <si>
    <t xml:space="preserve">Carboxylic acids and derivatives; Pteridines and derivatives; Carboxylic acids and derivatives</t>
  </si>
  <si>
    <t xml:space="preserve">Amino acids, peptides, and analogues; Pterins and derivatives; Amino acids, peptides, and analogues</t>
  </si>
  <si>
    <t xml:space="preserve">593.35477</t>
  </si>
  <si>
    <t xml:space="preserve">C25H48N6O10</t>
  </si>
  <si>
    <t xml:space="preserve">Plazomicin</t>
  </si>
  <si>
    <t xml:space="preserve">210464</t>
  </si>
  <si>
    <t xml:space="preserve">HMDB0256636</t>
  </si>
  <si>
    <t xml:space="preserve">74821141</t>
  </si>
  <si>
    <t xml:space="preserve">CNC1C(O)C(OC2C(CC(N)C(OC3OC(CNCCO)=CCC3N)C2O)NC(=O)C(O)CCN)OCC1(C)O</t>
  </si>
  <si>
    <t xml:space="preserve">IYDYFVUFSPQPPV-UHFFFAOYSA-N</t>
  </si>
  <si>
    <t xml:space="preserve">594.23334</t>
  </si>
  <si>
    <t xml:space="preserve">C21H41N5O12</t>
  </si>
  <si>
    <t xml:space="preserve">Butirosina</t>
  </si>
  <si>
    <t xml:space="preserve">203392</t>
  </si>
  <si>
    <t xml:space="preserve">HMDB0248282</t>
  </si>
  <si>
    <t xml:space="preserve">2485</t>
  </si>
  <si>
    <t xml:space="preserve">NCCC(O)C(=O)NC1CC(N)C(OC2OC(CN)C(O)C(O)C2N)C(OC2OC(CO)C(O)C2O)C1O</t>
  </si>
  <si>
    <t xml:space="preserve">XEQLFNPSYWZPOW-UHFFFAOYSA-N</t>
  </si>
  <si>
    <t xml:space="preserve">599.31362</t>
  </si>
  <si>
    <t xml:space="preserve">C30H50O9</t>
  </si>
  <si>
    <t xml:space="preserve">Notoginsenoside R10</t>
  </si>
  <si>
    <t xml:space="preserve">62363</t>
  </si>
  <si>
    <t xml:space="preserve">HMDB0039051</t>
  </si>
  <si>
    <t xml:space="preserve">93657</t>
  </si>
  <si>
    <t xml:space="preserve">131752529</t>
  </si>
  <si>
    <t xml:space="preserve">335157-20-5</t>
  </si>
  <si>
    <t xml:space="preserve">CC(=O)C1CCC2(C)C1C(O)CC1C3(C)CCC(O)C(C)(C)C3C(CC21C)OC1OC(CO)C(O)C(O)C1O</t>
  </si>
  <si>
    <t xml:space="preserve">MFXYPCMYAZAZDX-UHFFFAOYSA-N</t>
  </si>
  <si>
    <t xml:space="preserve">601.06312</t>
  </si>
  <si>
    <t xml:space="preserve">C11H16NO2PS2</t>
  </si>
  <si>
    <t xml:space="preserve">(4-Methoxyphenyl)-morpholin-4-yl-sulfanyl-sulfanylidene-$l^{5}-phosphane</t>
  </si>
  <si>
    <t xml:space="preserve">207406</t>
  </si>
  <si>
    <t xml:space="preserve">HMDB0253003</t>
  </si>
  <si>
    <t xml:space="preserve">46937262</t>
  </si>
  <si>
    <t xml:space="preserve">COC1=CC=C(C=C1)P(S)(=S)N1CCOCC1</t>
  </si>
  <si>
    <t xml:space="preserve">QDSAKNAFJWRQIV-UHFFFAOYSA-N</t>
  </si>
  <si>
    <t xml:space="preserve">601.11542</t>
  </si>
  <si>
    <t xml:space="preserve">C26H26O15</t>
  </si>
  <si>
    <t xml:space="preserve">Cicerin 7-(6-malonylglucoside)</t>
  </si>
  <si>
    <t xml:space="preserve">63747</t>
  </si>
  <si>
    <t xml:space="preserve">HMDB0040604</t>
  </si>
  <si>
    <t xml:space="preserve">95084</t>
  </si>
  <si>
    <t xml:space="preserve">74413691</t>
  </si>
  <si>
    <t xml:space="preserve">146367-93-3</t>
  </si>
  <si>
    <t xml:space="preserve">COC1=CC2=C(OCO2)C=C1C1COC2=CC(OC3OC(COC(=O)CC(O)=O)C(O)C(O)C3O)=CC(O)=C2C1=O</t>
  </si>
  <si>
    <t xml:space="preserve">LTKZEZHCMRVAQG-UHFFFAOYSA-N</t>
  </si>
  <si>
    <t xml:space="preserve">601.30817</t>
  </si>
  <si>
    <t xml:space="preserve">C36H44N2O4S</t>
  </si>
  <si>
    <t xml:space="preserve">Benzoic acid, 4-(4-((2R,5R)-5-((bis(phenylmethyl)amino)carbonyl)-2-heptyl-4-oxo-3-thiazolidinyl)butyl)-, rel-</t>
  </si>
  <si>
    <t xml:space="preserve">201514</t>
  </si>
  <si>
    <t xml:space="preserve">HMDB0246150</t>
  </si>
  <si>
    <t xml:space="preserve">85066768</t>
  </si>
  <si>
    <t xml:space="preserve">CCCCCCCC1SC(C(=O)N(CC2=CC=CC=C2)CC2=CC=CC=C2)C(=O)N1CCCCC1=CC=C(C=C1)C(O)=O</t>
  </si>
  <si>
    <t xml:space="preserve">SVIBTUGLPUCOKI-UHFFFAOYSA-N</t>
  </si>
  <si>
    <t xml:space="preserve">Phenylbutylamines</t>
  </si>
  <si>
    <t xml:space="preserve">601.42286</t>
  </si>
  <si>
    <t xml:space="preserve">C35H62O5</t>
  </si>
  <si>
    <t xml:space="preserve">Robustocin; DG(32:3)</t>
  </si>
  <si>
    <t xml:space="preserve">59718; 48983</t>
  </si>
  <si>
    <t xml:space="preserve">HMDB0035898; HMDB0007017</t>
  </si>
  <si>
    <t xml:space="preserve">91101; 58652</t>
  </si>
  <si>
    <t xml:space="preserve">; 88808</t>
  </si>
  <si>
    <t xml:space="preserve">131751881; 53477953</t>
  </si>
  <si>
    <t xml:space="preserve">CCCCCCCCCCCCCCC(O)C1CCC(O1)C1CCC(CCCCCCCC2=CC(C)OC2=O)O1; [H][C@](CO)(COC(=O)CCCCCCCCCCCCC)OC(=O)CCCC\C=C/C\C=C/C\C=C/CCCCC</t>
  </si>
  <si>
    <t xml:space="preserve">XINHKDZHJWEKBB-UHFFFAOYSA-N; IAIYEYSEKAMSAJ-ANQMXWCJSA-N</t>
  </si>
  <si>
    <t xml:space="preserve">Fatty alcohols; Lineolic acids and derivatives</t>
  </si>
  <si>
    <t xml:space="preserve">602.11128</t>
  </si>
  <si>
    <t xml:space="preserve">C18H24N9O10P</t>
  </si>
  <si>
    <t xml:space="preserve">Guadecitabine</t>
  </si>
  <si>
    <t xml:space="preserve">207371</t>
  </si>
  <si>
    <t xml:space="preserve">HMDB0252962</t>
  </si>
  <si>
    <t xml:space="preserve">112499969</t>
  </si>
  <si>
    <t xml:space="preserve">NC1=NC2=C(N=CN2C2CC(O)C(COP(O)(=O)OC3CC(OC3CO)N3C=NC(N)=NC3=O)O2)C(=O)N1</t>
  </si>
  <si>
    <t xml:space="preserve">GUWXKKAWLCENJA-UHFFFAOYSA-N</t>
  </si>
  <si>
    <t xml:space="preserve">603.08512</t>
  </si>
  <si>
    <t xml:space="preserve">C29H24O12</t>
  </si>
  <si>
    <t xml:space="preserve">Isotheaflavin; Theaflavin; Isoneotheaflavin</t>
  </si>
  <si>
    <t xml:space="preserve">54434; 48614; 54232</t>
  </si>
  <si>
    <t xml:space="preserve">HMDB0029483; HMDB0005788; HMDB0029256</t>
  </si>
  <si>
    <t xml:space="preserve">; ; 86131</t>
  </si>
  <si>
    <t xml:space="preserve">; 136609; </t>
  </si>
  <si>
    <t xml:space="preserve">154729469; 114777; 131750829</t>
  </si>
  <si>
    <t xml:space="preserve">31701-93-6; 4670-05-7; </t>
  </si>
  <si>
    <t xml:space="preserve">O[C@@H]1CC2=C(O)C=C(O)C=C2O[C@@H]1C1=CC(O)=C(O)C2=C(O)C(=O)C=C(C=C12)[C@H]1OC2=C(C[C@@H]1O)C(O)=CC(O)=C2; O[C@@H]1CC2=C(O)C=C(O)C=C2O[C@@H]1C1=CC(O)=C(O)C2=C(O)C(=O)C=C(C=C12)[C@H]1OC2=C(C[C@H]1O)C(O)=CC(O)=C2; O[C@H]1CC2=C(OC1C1=CC(O)=C(O)C3=C1C=C(C=C(O)C3=O)C1OC3=C(C[C@@H]1O)C(O)=CC(O)=C3)C=C(O)C=C2O</t>
  </si>
  <si>
    <t xml:space="preserve">IPMYMEWFZKHGAX-XDPYCTQPSA-N; IPMYMEWFZKHGAX-ZKSIBHASSA-N; IPMYMEWFZKHGAX-YFVLFDEISA-N</t>
  </si>
  <si>
    <t xml:space="preserve">603.43394</t>
  </si>
  <si>
    <t xml:space="preserve">C35H64O5</t>
  </si>
  <si>
    <t xml:space="preserve">DG(32:2); Annotemoyin 1; Panatellin</t>
  </si>
  <si>
    <t xml:space="preserve">10898; 55964; 56543</t>
  </si>
  <si>
    <t xml:space="preserve">HMDB0007016; HMDB0031390; HMDB0032094</t>
  </si>
  <si>
    <t xml:space="preserve">58651; 87643; 88178</t>
  </si>
  <si>
    <t xml:space="preserve">LMGL02010385; ; </t>
  </si>
  <si>
    <t xml:space="preserve">84392; 176064; 176065</t>
  </si>
  <si>
    <t xml:space="preserve">14275352; 73029717; 73107670</t>
  </si>
  <si>
    <t xml:space="preserve">; 180892-69-7; 205439-32-3</t>
  </si>
  <si>
    <t xml:space="preserve">OC[C@]([H])(OC(CCCCCCC/C=C\C/C=C\CCCCC)=O)COC(CCCCCCCCCCCCC)=O; CCCCCCCCCCC(O)C1CCC(O1)C(O)CCCCCCCCCCCCCCC1=CC(C)OC1=O; CCCCCCCCCCCCCCC(O)C1CCC(O1)C(O)CCCCCCCCCCC1=CC(C)OC1=O</t>
  </si>
  <si>
    <t xml:space="preserve">WVBVUWWRPSWGDS-JWVBYZEHSA-N; YWTXVAUUCWGHSO-UHFFFAOYSA-N; UYZAPRRSXWLQCO-UHFFFAOYSA-N</t>
  </si>
  <si>
    <t xml:space="preserve">Lineolic acids and derivatives; Fatty alcohols; Fatty alcohols</t>
  </si>
  <si>
    <t xml:space="preserve">605.30233</t>
  </si>
  <si>
    <t xml:space="preserve">C25H42N8O8</t>
  </si>
  <si>
    <t xml:space="preserve">Val-Pro-Asp-Pro-Arg</t>
  </si>
  <si>
    <t xml:space="preserve">199926</t>
  </si>
  <si>
    <t xml:space="preserve">HMDB0244421</t>
  </si>
  <si>
    <t xml:space="preserve">9959997</t>
  </si>
  <si>
    <t xml:space="preserve">CC(C)C(N)C(=O)N1CCCC1C(=O)NC(CC(O)=O)C(=O)N1CCCC1C(=O)NC(CCCN=C(N)N)C(O)=O</t>
  </si>
  <si>
    <t xml:space="preserve">KONFXBWESLMOCK-UHFFFAOYSA-N</t>
  </si>
  <si>
    <t xml:space="preserve">606.38387</t>
  </si>
  <si>
    <t xml:space="preserve">C31H53N5O8</t>
  </si>
  <si>
    <t xml:space="preserve">Hydroxyhomodestruxin B</t>
  </si>
  <si>
    <t xml:space="preserve">63133</t>
  </si>
  <si>
    <t xml:space="preserve">HMDB0039897</t>
  </si>
  <si>
    <t xml:space="preserve">94440</t>
  </si>
  <si>
    <t xml:space="preserve">85262217</t>
  </si>
  <si>
    <t xml:space="preserve">CCC(C)C1NC(=O)C2CCCN2C(=O)C(CC(C)(C)O)OC(=O)CCNC(=O)C(C)N(C)C(=O)C(C(C)CC)N(C)C1=O</t>
  </si>
  <si>
    <t xml:space="preserve">XRVWELKGJFSFHT-UHFFFAOYSA-N</t>
  </si>
  <si>
    <t xml:space="preserve">607.07611</t>
  </si>
  <si>
    <t xml:space="preserve">C10H12N4O4S</t>
  </si>
  <si>
    <t xml:space="preserve">6-Thioinosinic acid; 6-Thioinosine</t>
  </si>
  <si>
    <t xml:space="preserve">82651; 209732</t>
  </si>
  <si>
    <t xml:space="preserve">HMDB0060791; HMDB0255798</t>
  </si>
  <si>
    <t xml:space="preserve">313872; </t>
  </si>
  <si>
    <t xml:space="preserve">676166; 2861016</t>
  </si>
  <si>
    <t xml:space="preserve">OC[C@H]1O[C@H]([C@H](O)[C@@H]1O)N1C=NC2=C1N=CN=C2S; OCC1OC(C(O)C1O)N1C=NC2=C1NC=NC2=S</t>
  </si>
  <si>
    <t xml:space="preserve">NKGPJODWTZCHGF-KQYNXXCUSA-N; NKGPJODWTZCHGF-UHFFFAOYSA-N</t>
  </si>
  <si>
    <t xml:space="preserve">607.12460</t>
  </si>
  <si>
    <t xml:space="preserve">C27H28O17</t>
  </si>
  <si>
    <t xml:space="preserve">Luteolin 7-glucoside 3'-glucuronide; Quercetin 7-glucuronide 3-rhamnoside; Luteolin 4'-glucoside 7-galacturonide</t>
  </si>
  <si>
    <t xml:space="preserve">254980; 60029; 62160</t>
  </si>
  <si>
    <t xml:space="preserve">HMDB0301956; HMDB0036264; HMDB0038809</t>
  </si>
  <si>
    <t xml:space="preserve">49142; 91409; 93450</t>
  </si>
  <si>
    <t xml:space="preserve">44258136; 131751924; 14769209</t>
  </si>
  <si>
    <t xml:space="preserve">; ; 126207-52-1</t>
  </si>
  <si>
    <t xml:space="preserve">[H]C1(CO)O[C@@]([H])(OC2=CC(O)=C3C(=O)C=C(OC3=C2)C2=CC(O[C@]3([H])OC([H])(C(O)=O)[C@@]([H])(O)[C@]([H])(O)C3([H])O)=C(O)C=C2)C([H])(O)[C@@]([H])(O)[C@]1([H])O; CC1OC(OC2=C(OC3=CC(OC4OC(C(O)C(O)C4O)C(O)=O)=CC(O)=C3C2=O)C2=CC(O)=C(O)C=C2)C(O)C(O)C1O; OCC1OC(OC2=C(O)C=C(C=C2)C2=CC(=O)C3=C(O)C=C(OC4OC(C(O)C(O)C4O)C(O)=O)C=C3O2)C(O)C(O)C1O</t>
  </si>
  <si>
    <t xml:space="preserve">XSWBHFPDOTXBBV-ZXJFBCABSA-N; WKPJKGBJWOCOIM-UHFFFAOYSA-N; DUNZXXOAZWJFBE-UHFFFAOYSA-N</t>
  </si>
  <si>
    <t xml:space="preserve">608.10052</t>
  </si>
  <si>
    <t xml:space="preserve">C26H31Cl2N5O3</t>
  </si>
  <si>
    <t xml:space="preserve">Terconazole</t>
  </si>
  <si>
    <t xml:space="preserve">52649</t>
  </si>
  <si>
    <t xml:space="preserve">HMDB0014396</t>
  </si>
  <si>
    <t xml:space="preserve">66805</t>
  </si>
  <si>
    <t xml:space="preserve">C08080</t>
  </si>
  <si>
    <t xml:space="preserve">82980</t>
  </si>
  <si>
    <t xml:space="preserve">441383</t>
  </si>
  <si>
    <t xml:space="preserve">67915-31-5</t>
  </si>
  <si>
    <t xml:space="preserve">CC(C)N1CCN(CC1)C1=CC=C(OC[C@H]2CO[C@@](CN3C=NC=N3)(O2)C2=C(Cl)C=C(Cl)C=C2)C=C1</t>
  </si>
  <si>
    <t xml:space="preserve">BLSQLHNBWJLIBQ-OZXSUGGESA-N</t>
  </si>
  <si>
    <t xml:space="preserve">609.35370</t>
  </si>
  <si>
    <t xml:space="preserve">C35H54O6</t>
  </si>
  <si>
    <t xml:space="preserve">Hericenone F; Hericenone C</t>
  </si>
  <si>
    <t xml:space="preserve">62856; 62439</t>
  </si>
  <si>
    <t xml:space="preserve">HMDB0039593; HMDB0039138</t>
  </si>
  <si>
    <t xml:space="preserve">94151; 93735</t>
  </si>
  <si>
    <t xml:space="preserve">176109; 172745</t>
  </si>
  <si>
    <t xml:space="preserve">11757751; 15658905</t>
  </si>
  <si>
    <t xml:space="preserve">141996-36-3; 137592-03-1</t>
  </si>
  <si>
    <t xml:space="preserve">CCCCCCCCCCCCCCCC(=O)OCC1=CC(OC)=C2CCC(C)(CC(=O)C=C(C)C)OC2=C1C=O; CCCCCCCCCCCCCCCC(=O)OCC1=CC(OC)=C(C\C=C(/C)CC(=O)C=C(C)C)C(O)=C1C=O</t>
  </si>
  <si>
    <t xml:space="preserve">ACYSSVIUKOTZQD-UHFFFAOYSA-N; OGYBKWUOLWCQDS-VFCFBJKWSA-N</t>
  </si>
  <si>
    <t xml:space="preserve">Benzopyrans; Prenol lipids</t>
  </si>
  <si>
    <t xml:space="preserve">1-benzopyrans; Monoterpenoids</t>
  </si>
  <si>
    <t xml:space="preserve">612.24816</t>
  </si>
  <si>
    <t xml:space="preserve">C32H39NO12</t>
  </si>
  <si>
    <t xml:space="preserve">Pirarubicinol</t>
  </si>
  <si>
    <t xml:space="preserve">210417</t>
  </si>
  <si>
    <t xml:space="preserve">HMDB0256589</t>
  </si>
  <si>
    <t xml:space="preserve">COC1=CC=CC2=C1C(=O)C1=C(C(O)=C3CC(O)(CC(OC4CC(N)C(OC5CCCCO5)C(C)O4)C3=C1O)C(O)CO)C2=O</t>
  </si>
  <si>
    <t xml:space="preserve">WINDUCQUJLAQES-UHFFFAOYSA-N</t>
  </si>
  <si>
    <t xml:space="preserve">613.25779</t>
  </si>
  <si>
    <t xml:space="preserve">C27H38N6O9</t>
  </si>
  <si>
    <t xml:space="preserve">MeOSuc-Ala-Ala-Pro-Val-PNA</t>
  </si>
  <si>
    <t xml:space="preserve">202557</t>
  </si>
  <si>
    <t xml:space="preserve">HMDB0247307</t>
  </si>
  <si>
    <t xml:space="preserve">4419977</t>
  </si>
  <si>
    <t xml:space="preserve">COC(=O)CCC(=O)NC(C)C(=O)NC(C)C(=O)N1CCCC1C(=O)NC(C(C)C)C(=O)NC1=CC=C(C=C1)[N+]([O-])=O</t>
  </si>
  <si>
    <t xml:space="preserve">VLVGCNNWNUERRZ-UHFFFAOYSA-N</t>
  </si>
  <si>
    <t xml:space="preserve">615.41997</t>
  </si>
  <si>
    <t xml:space="preserve">C37H60O8</t>
  </si>
  <si>
    <t xml:space="preserve">Momordicoside G; 28-Glucopyranosyl-3-methyloleanolic acid</t>
  </si>
  <si>
    <t xml:space="preserve">59653; 60622</t>
  </si>
  <si>
    <t xml:space="preserve">HMDB0035821; HMDB0036966</t>
  </si>
  <si>
    <t xml:space="preserve">; 91954</t>
  </si>
  <si>
    <t xml:space="preserve">; 176262</t>
  </si>
  <si>
    <t xml:space="preserve">131751869; 131752118</t>
  </si>
  <si>
    <t xml:space="preserve">81371-54-2; 51996-63-5</t>
  </si>
  <si>
    <t xml:space="preserve">COC(C)(C)\C=C\CC(C)C1CCC2(C)C3C=CC45OCC3(CCC12C)C4CCC(OC1OC(CO)C(O)C(O)C1O)C5(C)C; COC1CCC2(C)C(CCC3(C)C2CC=C2C4CC(C)(C)CCC4(CCC32C)C(=O)OC2OC(CO)C(O)C(O)C2O)C1(C)C</t>
  </si>
  <si>
    <t xml:space="preserve">MQGABSJZVJOSCX-OQLLNIDSSA-N; RMYQUHMJDCWPQR-UHFFFAOYSA-N</t>
  </si>
  <si>
    <t xml:space="preserve">Steroids and steroid derivatives; Prenol lipids</t>
  </si>
  <si>
    <t xml:space="preserve">Steroidal glycosides; Terpene glycosides</t>
  </si>
  <si>
    <t xml:space="preserve">615.49583</t>
  </si>
  <si>
    <t xml:space="preserve">C37H68O5</t>
  </si>
  <si>
    <t xml:space="preserve">DG(34:2); cis-Uvariamicin IB; Reticulatain 2</t>
  </si>
  <si>
    <t xml:space="preserve">10903; 56989; 58347</t>
  </si>
  <si>
    <t xml:space="preserve">HMDB0007022; HMDB0032714; HMDB0034302</t>
  </si>
  <si>
    <t xml:space="preserve">58657; 88644; 89832</t>
  </si>
  <si>
    <t xml:space="preserve">LMGL02010390; ; </t>
  </si>
  <si>
    <t xml:space="preserve">88796; 176175; 176176</t>
  </si>
  <si>
    <t xml:space="preserve">53477957; 14759336; 131751543</t>
  </si>
  <si>
    <t xml:space="preserve">; ; 166022-36-2</t>
  </si>
  <si>
    <t xml:space="preserve">OC[C@]([H])(OC(CCCCCCCCC/C=C\C/C=C\CCCCC)=O)COC(CCCCCCCCCCCCC)=O; CCCCCCCCCCCCCCC(O)C1CCC(O1)C(O)CCCCCCCCCCCCC1=CC(C)OC1=O; CCCCCCCCCCC(O)C1CCC(COCCCCCCCCCCCCCCCCC2=CC(C)OC2=O)O1</t>
  </si>
  <si>
    <t xml:space="preserve">YGOMWJXISJKIPY-CJZWHCSYSA-N; UXILAQXAZFVOFT-UHFFFAOYSA-N; VVRFLFPCWOLOIF-UHFFFAOYSA-N</t>
  </si>
  <si>
    <t xml:space="preserve">Glycerolipids; Fatty Acyls; Fatty Acyls</t>
  </si>
  <si>
    <t xml:space="preserve">Diradylglycerols; Fatty alcohols; Fatty alcohols</t>
  </si>
  <si>
    <t xml:space="preserve">616.21095</t>
  </si>
  <si>
    <t xml:space="preserve">C23H39NO19</t>
  </si>
  <si>
    <t xml:space="preserve">6'-Sialyllactose; Neu5NAcalpha2-&gt;6lactose; 3'-Sialyllactose</t>
  </si>
  <si>
    <t xml:space="preserve">48780; 209523; 47245</t>
  </si>
  <si>
    <t xml:space="preserve">HMDB0006569; HMDB0255553; HMDB0000825</t>
  </si>
  <si>
    <t xml:space="preserve">58463; ; 5788</t>
  </si>
  <si>
    <t xml:space="preserve">643987; 4302459; 123914</t>
  </si>
  <si>
    <t xml:space="preserve">35890-39-2; ; 35890-38-1</t>
  </si>
  <si>
    <t xml:space="preserve">[H][C@]1(O[C@@](C[C@H](O)[C@H]1NC(C)=O)(OC[C@H]1O[C@@H](O[C@H]([C@H](O)CO)[C@H](O)[C@@H](O)C=O)[C@H](O)[C@@H](O)[C@H]1O)C(O)=O)[C@H](O)[C@H](O)CO; CC(O)=NC1C(O)CC(OCC2OC(OC3C(CO)OC(O)C(O)C3O)C(O)C(O)C2O)(OC1C(O)C(O)CO)C(O)=O; [H][C@]1(O[C@@](C[C@H](O)[C@H]1NC(C)=O)(O[C@H]1[C@@H](O)[C@@H](CO)O[C@@H](O[C@H]([C@H](O)CO)[C@H](O)[C@@H](O)C=O)[C@@H]1O)C(O)=O)[C@H](O)[C@H](O)CO</t>
  </si>
  <si>
    <t xml:space="preserve">VMWYCXKMRSTDSP-GIGDJUIZSA-N; TYALNJQZQRNQNQ-UHFFFAOYSA-N; OIZGSVFYNBZVIK-FHHHURIISA-N</t>
  </si>
  <si>
    <t xml:space="preserve">616.60464</t>
  </si>
  <si>
    <t xml:space="preserve">C41H79NO3</t>
  </si>
  <si>
    <t xml:space="preserve">N-(Tricosanoyl)-4E,14Z-sphingadienine</t>
  </si>
  <si>
    <t xml:space="preserve">209067</t>
  </si>
  <si>
    <t xml:space="preserve">HMDB0255029</t>
  </si>
  <si>
    <t xml:space="preserve">75963954</t>
  </si>
  <si>
    <t xml:space="preserve">CCCCCCCCCCCCCCCCCCCCCCC(=O)NC(CO)C(O)C=CCCCCCCCCC=CCCC</t>
  </si>
  <si>
    <t xml:space="preserve">ZMECGTOWDUDJOX-UHFFFAOYSA-N</t>
  </si>
  <si>
    <t xml:space="preserve">617.51179</t>
  </si>
  <si>
    <t xml:space="preserve">C37H70O5</t>
  </si>
  <si>
    <t xml:space="preserve">DG(34:1)</t>
  </si>
  <si>
    <t xml:space="preserve">10902</t>
  </si>
  <si>
    <t xml:space="preserve">HMDB0007021</t>
  </si>
  <si>
    <t xml:space="preserve">58656</t>
  </si>
  <si>
    <t xml:space="preserve">LMGL02010389</t>
  </si>
  <si>
    <t xml:space="preserve">53477956</t>
  </si>
  <si>
    <t xml:space="preserve">OC[C@]([H])(OC(CCCCCCCCC/C=C\CCCCCCCC)=O)COC(CCCCCCCCCCCCC)=O</t>
  </si>
  <si>
    <t xml:space="preserve">VQOIASKPUKUIDV-CEJFXXFTSA-N</t>
  </si>
  <si>
    <t xml:space="preserve">618.88075</t>
  </si>
  <si>
    <t xml:space="preserve">C10H10O2S4</t>
  </si>
  <si>
    <t xml:space="preserve">Bis(2-methyl-3-furanyl)tetrasulfide</t>
  </si>
  <si>
    <t xml:space="preserve">59957</t>
  </si>
  <si>
    <t xml:space="preserve">HMDB0036168</t>
  </si>
  <si>
    <t xml:space="preserve">91317</t>
  </si>
  <si>
    <t xml:space="preserve">24832089</t>
  </si>
  <si>
    <t xml:space="preserve">28588-76-3</t>
  </si>
  <si>
    <t xml:space="preserve">CC1=C(SSSSC2=C(C)OC=C2)C=CO1</t>
  </si>
  <si>
    <t xml:space="preserve">WCQMHJWTXQMUQE-UHFFFAOYSA-N</t>
  </si>
  <si>
    <t xml:space="preserve">619.10757</t>
  </si>
  <si>
    <t xml:space="preserve">C19H26N8O13P2</t>
  </si>
  <si>
    <t xml:space="preserve">CpG dinucleotides</t>
  </si>
  <si>
    <t xml:space="preserve">205282</t>
  </si>
  <si>
    <t xml:space="preserve">HMDB0250518</t>
  </si>
  <si>
    <t xml:space="preserve">482125</t>
  </si>
  <si>
    <t xml:space="preserve">NC1=NC2=C(N=CN2C2CC(O)C(COP(O)(=O)OC3CC(OC3COP(O)(O)=O)N3C=CC(N)=NC3=O)O2)C(=O)N1</t>
  </si>
  <si>
    <t xml:space="preserve">WEIKWRHPSBSLNX-UHFFFAOYSA-N</t>
  </si>
  <si>
    <t xml:space="preserve">623.56602</t>
  </si>
  <si>
    <t xml:space="preserve">C39H74O5</t>
  </si>
  <si>
    <t xml:space="preserve">DG(36:1)</t>
  </si>
  <si>
    <t xml:space="preserve">48987</t>
  </si>
  <si>
    <t xml:space="preserve">HMDB0007029</t>
  </si>
  <si>
    <t xml:space="preserve">58664</t>
  </si>
  <si>
    <t xml:space="preserve">53477964</t>
  </si>
  <si>
    <t xml:space="preserve">[H][C@](CO)(COC(=O)CCCCCCCCCCCCC)OC(=O)CCCCCCCCCCC\C=C/CCCCCCCC</t>
  </si>
  <si>
    <t xml:space="preserve">ZEALQNPZZFKGDN-DPTREUNKSA-N</t>
  </si>
  <si>
    <t xml:space="preserve">624.08650</t>
  </si>
  <si>
    <t xml:space="preserve">C23H31NO14S3</t>
  </si>
  <si>
    <t xml:space="preserve">6-Sinapoylglucoraphenin</t>
  </si>
  <si>
    <t xml:space="preserve">61792</t>
  </si>
  <si>
    <t xml:space="preserve">HMDB0038405</t>
  </si>
  <si>
    <t xml:space="preserve">131752357</t>
  </si>
  <si>
    <t xml:space="preserve">76653-80-0</t>
  </si>
  <si>
    <t xml:space="preserve">COC1=CC(\C=C\C(=O)OCC2OC(S\C(CC\C=C\S(C)=O)=N\OS(O)(=O)=O)C(O)C(O)C2O)=CC(OC)=C1O</t>
  </si>
  <si>
    <t xml:space="preserve">ZXXHJOWBIQIEDP-FKHFMQJFSA-N</t>
  </si>
  <si>
    <t xml:space="preserve">625.08989</t>
  </si>
  <si>
    <t xml:space="preserve">C28H26O14</t>
  </si>
  <si>
    <t xml:space="preserve">Prunin 6''-O-gallate</t>
  </si>
  <si>
    <t xml:space="preserve">61118</t>
  </si>
  <si>
    <t xml:space="preserve">HMDB0037582</t>
  </si>
  <si>
    <t xml:space="preserve">74819365</t>
  </si>
  <si>
    <t xml:space="preserve">54835-98-2</t>
  </si>
  <si>
    <t xml:space="preserve">OC1C(O)C(COC(=O)C2=CC(O)=C(O)C(O)=C2)OC(OC2=CC3=C(C(=O)CC(O3)C3=CC=C(O)C=C3)C(O)=C2)C1O</t>
  </si>
  <si>
    <t xml:space="preserve">UNTKZTADYPALEE-UHFFFAOYSA-N</t>
  </si>
  <si>
    <t xml:space="preserve">625.14622</t>
  </si>
  <si>
    <t xml:space="preserve">C14H17ClN2O2S</t>
  </si>
  <si>
    <t xml:space="preserve">N-(4-Aminobutyl)-5-chloronaphthalene-2-sulfonamide</t>
  </si>
  <si>
    <t xml:space="preserve">213109</t>
  </si>
  <si>
    <t xml:space="preserve">HMDB0259886</t>
  </si>
  <si>
    <t xml:space="preserve">75366</t>
  </si>
  <si>
    <t xml:space="preserve">NCCCCNS(=O)(=O)C1=CC2=C(C=C1)C(Cl)=CC=C2</t>
  </si>
  <si>
    <t xml:space="preserve">JJQKICOADUKSNS-UHFFFAOYSA-N</t>
  </si>
  <si>
    <t xml:space="preserve">629.08616</t>
  </si>
  <si>
    <t xml:space="preserve">C34H22O10</t>
  </si>
  <si>
    <t xml:space="preserve">Mulberrofuran M</t>
  </si>
  <si>
    <t xml:space="preserve">57512</t>
  </si>
  <si>
    <t xml:space="preserve">HMDB0033261</t>
  </si>
  <si>
    <t xml:space="preserve">89124</t>
  </si>
  <si>
    <t xml:space="preserve">21594897</t>
  </si>
  <si>
    <t xml:space="preserve">101365-03-1</t>
  </si>
  <si>
    <t xml:space="preserve">CC12CC(C3=C(C4=C(O3)C=C(C=C4OC(=O)C3=C(O)C=C(O)C=C3)C3=CC4=C(O3)C=C(O)C=C4)C1=O)C1=CC=C(O)C=C1O2</t>
  </si>
  <si>
    <t xml:space="preserve">UCGIUWUATGREEP-UHFFFAOYSA-N</t>
  </si>
  <si>
    <t xml:space="preserve">629.45678</t>
  </si>
  <si>
    <t xml:space="preserve">C35H67O8P</t>
  </si>
  <si>
    <t xml:space="preserve">Glycerol 1-(9Z-octadecenoate) 2-tetradecanoate 3-phosphate; PA(32:1)</t>
  </si>
  <si>
    <t xml:space="preserve">55745; 25104</t>
  </si>
  <si>
    <t xml:space="preserve">HMDB0031131; HMDB0114855</t>
  </si>
  <si>
    <t xml:space="preserve">87431; 81371</t>
  </si>
  <si>
    <t xml:space="preserve">; LMGP10010205</t>
  </si>
  <si>
    <t xml:space="preserve">170137; </t>
  </si>
  <si>
    <t xml:space="preserve">131751138; 52928798</t>
  </si>
  <si>
    <t xml:space="preserve">CCCCCCCCCCCCCC(=O)OC(COC(=O)CCCCCCC\C=C\CCCCCCCC)COP(O)(O)=O; [C@](COP(=O)(O)O)([H])(OC(CCCCCCCCCCCCCCC)=O)COC(CCCCCCC/C=C\CCCCCC)=O</t>
  </si>
  <si>
    <t xml:space="preserve">SOEWBJRWWSGRKM-WUKNDPDISA-N; RCNDQKSBSIYZCH-AVKQKRQHSA-N</t>
  </si>
  <si>
    <t xml:space="preserve">630.44921</t>
  </si>
  <si>
    <t xml:space="preserve">C34H66NO8P</t>
  </si>
  <si>
    <t xml:space="preserve">PE(29:1)</t>
  </si>
  <si>
    <t xml:space="preserve">20114</t>
  </si>
  <si>
    <t xml:space="preserve">HMDB0008856</t>
  </si>
  <si>
    <t xml:space="preserve">60300</t>
  </si>
  <si>
    <t xml:space="preserve">LMGP02010425</t>
  </si>
  <si>
    <t xml:space="preserve">52924130</t>
  </si>
  <si>
    <t xml:space="preserve">[C@](COP(=O)(O)OCCN)([H])(OC(CCCCCCCCCCCCCC)=O)COC(CCCCCCC/C=C\CCCC)=O</t>
  </si>
  <si>
    <t xml:space="preserve">SUOCBQJZTPKWHX-PGKKXZESSA-N</t>
  </si>
  <si>
    <t xml:space="preserve">631.11357</t>
  </si>
  <si>
    <t xml:space="preserve">C24H26N2O16S</t>
  </si>
  <si>
    <t xml:space="preserve">Prebetanin</t>
  </si>
  <si>
    <t xml:space="preserve">54369</t>
  </si>
  <si>
    <t xml:space="preserve">HMDB0029411</t>
  </si>
  <si>
    <t xml:space="preserve">C08567</t>
  </si>
  <si>
    <t xml:space="preserve">4481056</t>
  </si>
  <si>
    <t xml:space="preserve">13798-16-8</t>
  </si>
  <si>
    <t xml:space="preserve">OC1C(O)C(COS(O)(=O)=O)OC(OC2=C(O)C=C3C(CC(C([O-])=O)\[N+]3=C/C=C3\CC(NC(=C3)C(O)=O)C(O)=O)=C2)C1O</t>
  </si>
  <si>
    <t xml:space="preserve">OZXPZOHWSFDUDY-UHFFFAOYSA-N</t>
  </si>
  <si>
    <t xml:space="preserve">631.46943</t>
  </si>
  <si>
    <t xml:space="preserve">C38H58N6O2</t>
  </si>
  <si>
    <t xml:space="preserve">trans-1,4-Bis[[1-cyclohexyl-3-(4-dimethylamino phenyl)ureido]methyl]cyclohexane</t>
  </si>
  <si>
    <t xml:space="preserve">209744</t>
  </si>
  <si>
    <t xml:space="preserve">HMDB0255813</t>
  </si>
  <si>
    <t xml:space="preserve">9830692</t>
  </si>
  <si>
    <t xml:space="preserve">CN(C)C1=CC=C(NC(=O)N(CC2CCC(CN(C3CCCCC3)C(=O)NC3=CC=C(C=C3)N(C)C)CC2)C2CCCCC2)C=C1</t>
  </si>
  <si>
    <t xml:space="preserve">SIHFCVXQGXGQQO-UHFFFAOYSA-N</t>
  </si>
  <si>
    <t xml:space="preserve">632.11175</t>
  </si>
  <si>
    <t xml:space="preserve">C22H27N9O7S2</t>
  </si>
  <si>
    <t xml:space="preserve">cefteram pivoxil</t>
  </si>
  <si>
    <t xml:space="preserve">204670</t>
  </si>
  <si>
    <t xml:space="preserve">HMDB0249780</t>
  </si>
  <si>
    <t xml:space="preserve">2652</t>
  </si>
  <si>
    <t xml:space="preserve">CON=C(C(=O)NC1C2SCC(CN3N=NC(C)=N3)=C(N2C1=O)C(=O)OCOC(=O)C(C)(C)C)C1=CSC(N)=N1</t>
  </si>
  <si>
    <t xml:space="preserve">UIYAXIPXULMHAI-UHFFFAOYSA-N</t>
  </si>
  <si>
    <t xml:space="preserve">633.10411</t>
  </si>
  <si>
    <t xml:space="preserve">C28H26O18</t>
  </si>
  <si>
    <t xml:space="preserve">Methyl 3,4,6-tri-O-galloyl-beta-D-glucopyranoside; Methyl 2,3,6-tri-O-galloyl-beta-D-glucopyranoside</t>
  </si>
  <si>
    <t xml:space="preserve">62482; 62483</t>
  </si>
  <si>
    <t xml:space="preserve">HMDB0039183; HMDB0039184</t>
  </si>
  <si>
    <t xml:space="preserve">93776; 93777</t>
  </si>
  <si>
    <t xml:space="preserve">13270027; 78407221</t>
  </si>
  <si>
    <t xml:space="preserve">89927-26-4; </t>
  </si>
  <si>
    <t xml:space="preserve">COC1OC(COC(=O)C2=CC(O)=C(O)C(O)=C2)C(OC(=O)C2=CC(O)=C(O)C(O)=C2)C(OC(=O)C2=CC(O)=C(O)C(O)=C2)C1O; COC1OC(COC(=O)C2=CC(O)=C(O)C(O)=C2)C(O)C(OC(=O)C2=CC(O)=C(O)C(O)=C2)C1OC(=O)C1=CC(O)=C(O)C(O)=C1</t>
  </si>
  <si>
    <t xml:space="preserve">DXMITXYQZDSXOV-UHFFFAOYSA-N; ITRFLIAWJCCQTF-UHFFFAOYSA-N</t>
  </si>
  <si>
    <t xml:space="preserve">Tannins; Benzene and substituted derivatives</t>
  </si>
  <si>
    <t xml:space="preserve">635.11110</t>
  </si>
  <si>
    <t xml:space="preserve">C25H24N8O7S2</t>
  </si>
  <si>
    <t xml:space="preserve">Cefpiramide</t>
  </si>
  <si>
    <t xml:space="preserve">52788</t>
  </si>
  <si>
    <t xml:space="preserve">HMDB0014574</t>
  </si>
  <si>
    <t xml:space="preserve">3956</t>
  </si>
  <si>
    <t xml:space="preserve">C13376</t>
  </si>
  <si>
    <t xml:space="preserve">59213</t>
  </si>
  <si>
    <t xml:space="preserve">636405</t>
  </si>
  <si>
    <t xml:space="preserve">70797-11-4</t>
  </si>
  <si>
    <t xml:space="preserve">[H][C@]12SCC(CSC3=NN=NN3C)=C(N1C(=O)[C@@]2([H])NC(=O)[C@H](NC(=O)C1=C(O)C=C(C)N=C1)C1=CC=C(O)C=C1)C(O)=O</t>
  </si>
  <si>
    <t xml:space="preserve">PWAUCHMQEXVFJR-PMAPCBKXSA-N</t>
  </si>
  <si>
    <t xml:space="preserve">635.54448</t>
  </si>
  <si>
    <t xml:space="preserve">C43H70O3</t>
  </si>
  <si>
    <t xml:space="preserve">CE(5D5); CE(6F6); CE(7D3)</t>
  </si>
  <si>
    <t xml:space="preserve">132632; 132635; 132636</t>
  </si>
  <si>
    <t xml:space="preserve">HMDB0112214; HMDB0112217; HMDB0112218</t>
  </si>
  <si>
    <t xml:space="preserve">131819657; 131819660; 131819661</t>
  </si>
  <si>
    <t xml:space="preserve">CCCCCC1=C(C)C(C)=C(CCCCC(=O)OC2CCC3(C)C4CCC5(C)C(CCC5C4CC=C3C2)C(C)CCCC(C)C)O1; CCCCCCC1=CC=C(CCCCCC(=O)OC2CCC3(C)C4CCC5(C)C(CCC5C4CC=C3C2)C(C)CCCC(C)C)O1; CCCC1=C(C)C(C)=C(CCCCCCC(=O)OC2CCC3(C)C4CCC5(C)C(CCC5C4CC=C3C2)C(C)CCCC(C)C)O1</t>
  </si>
  <si>
    <t xml:space="preserve">YCJJGFRFRQSJCX-UHFFFAOYSA-N; DVCZIGGEBQPRCU-UHFFFAOYSA-N; TWGJAWLEECMYLP-UHFFFAOYSA-N</t>
  </si>
  <si>
    <t xml:space="preserve">Steroid esters; Steroid esters; Steroid esters</t>
  </si>
  <si>
    <t xml:space="preserve">640.90479</t>
  </si>
  <si>
    <t xml:space="preserve">C12H9Cl2NO2S</t>
  </si>
  <si>
    <t xml:space="preserve">Eltenac</t>
  </si>
  <si>
    <t xml:space="preserve">206347</t>
  </si>
  <si>
    <t xml:space="preserve">HMDB0251756</t>
  </si>
  <si>
    <t xml:space="preserve">OC(=O)CC1=CSC=C1NC1=C(Cl)C=CC=C1Cl</t>
  </si>
  <si>
    <t xml:space="preserve">AELILMBZWCGOSB-UHFFFAOYSA-N</t>
  </si>
  <si>
    <t xml:space="preserve">645.15875</t>
  </si>
  <si>
    <t xml:space="preserve">C29H34O14</t>
  </si>
  <si>
    <t xml:space="preserve">1,5-Bis(4'-glucopyranosyloxy-3'-hydroxyphenyl)pent-4-en-1-yne</t>
  </si>
  <si>
    <t xml:space="preserve">202728</t>
  </si>
  <si>
    <t xml:space="preserve">HMDB0247507</t>
  </si>
  <si>
    <t xml:space="preserve">78409829</t>
  </si>
  <si>
    <t xml:space="preserve">OCC1OC(OC2=CC=C(C=CCC#CC3=CC=C(OC4OC(CO)C(O)C(O)C4O)C(O)=C3)C=C2O)C(O)C(O)C1O</t>
  </si>
  <si>
    <t xml:space="preserve">NKCXUXCXXINIMN-UHFFFAOYSA-N</t>
  </si>
  <si>
    <t xml:space="preserve">645.33213</t>
  </si>
  <si>
    <t xml:space="preserve">C14H26O8</t>
  </si>
  <si>
    <t xml:space="preserve">Butyl (S)-3-hydroxybutyrate glucoside</t>
  </si>
  <si>
    <t xml:space="preserve">56175</t>
  </si>
  <si>
    <t xml:space="preserve">HMDB0031694</t>
  </si>
  <si>
    <t xml:space="preserve">87870</t>
  </si>
  <si>
    <t xml:space="preserve">167975</t>
  </si>
  <si>
    <t xml:space="preserve">76463851</t>
  </si>
  <si>
    <t xml:space="preserve">CCCCOC(=O)CC(C)OC1OC(CO)C(O)C(O)C1O</t>
  </si>
  <si>
    <t xml:space="preserve">YUPCLHHTUNDMAN-UHFFFAOYSA-N</t>
  </si>
  <si>
    <t xml:space="preserve">645.44391</t>
  </si>
  <si>
    <t xml:space="preserve">C35H65O8P</t>
  </si>
  <si>
    <t xml:space="preserve">Phosphatidate(32:2)</t>
  </si>
  <si>
    <t xml:space="preserve">25828</t>
  </si>
  <si>
    <t xml:space="preserve">HMDB0114779</t>
  </si>
  <si>
    <t xml:space="preserve">82095</t>
  </si>
  <si>
    <t xml:space="preserve">LMGP10010929</t>
  </si>
  <si>
    <t xml:space="preserve">52929518</t>
  </si>
  <si>
    <t xml:space="preserve">[C@](COP(=O)(O)O)([H])(OC(CCCCCCC/C=C\C/C=C\CCCCC)=O)COC(CCCCCCCCCCCCC)=O</t>
  </si>
  <si>
    <t xml:space="preserve">NQZHRQXNHWSYQM-PNMFJBQASA-N</t>
  </si>
  <si>
    <t xml:space="preserve">647.46171</t>
  </si>
  <si>
    <t xml:space="preserve">C37H68O6</t>
  </si>
  <si>
    <t xml:space="preserve">Muricatenol</t>
  </si>
  <si>
    <t xml:space="preserve">59720</t>
  </si>
  <si>
    <t xml:space="preserve">HMDB0035900</t>
  </si>
  <si>
    <t xml:space="preserve">91103</t>
  </si>
  <si>
    <t xml:space="preserve">176227</t>
  </si>
  <si>
    <t xml:space="preserve">131751882</t>
  </si>
  <si>
    <t xml:space="preserve">CCCCCCCCCCCCCCCC(O)C(O)CC\C=C/CCCC(O)CCCCCC(O)CC1=CC(C)OC1=O</t>
  </si>
  <si>
    <t xml:space="preserve">KQTROLJZWNACJT-VKAVYKQESA-N</t>
  </si>
  <si>
    <t xml:space="preserve">648.66594</t>
  </si>
  <si>
    <t xml:space="preserve">C43H87NO3</t>
  </si>
  <si>
    <t xml:space="preserve">Cer(d43:0)</t>
  </si>
  <si>
    <t xml:space="preserve">39285</t>
  </si>
  <si>
    <t xml:space="preserve">HMDB0011770</t>
  </si>
  <si>
    <t xml:space="preserve">62476</t>
  </si>
  <si>
    <t xml:space="preserve">LMSP02020051</t>
  </si>
  <si>
    <t xml:space="preserve">53481050</t>
  </si>
  <si>
    <t xml:space="preserve">[C@](CO)([H])(NC(CCCCCCCCCCCCCCCCCCCCCCCC)=O)[C@]([H])(O)CCCCCCCCCCCCCCC</t>
  </si>
  <si>
    <t xml:space="preserve">HCDLRJUFVJOBJP-ACEXITHZSA-N</t>
  </si>
  <si>
    <t xml:space="preserve">651.10285</t>
  </si>
  <si>
    <t xml:space="preserve">C38H22O8</t>
  </si>
  <si>
    <t xml:space="preserve">4',4''-Dihydroxyanigorootin</t>
  </si>
  <si>
    <t xml:space="preserve">63206</t>
  </si>
  <si>
    <t xml:space="preserve">HMDB0039973</t>
  </si>
  <si>
    <t xml:space="preserve">94514</t>
  </si>
  <si>
    <t xml:space="preserve">22297174</t>
  </si>
  <si>
    <t xml:space="preserve">OC1=CC=C(C=C1)C1=C2C(=O)C3(O)OC4=C5C6C3C3=C2C(C=C1)=CC=C3OC6(O)C(=O)C1=C(C=CC(C=C4)=C51)C1=CC=C(O)C=C1</t>
  </si>
  <si>
    <t xml:space="preserve">MQHLUOTXEDJGPU-UHFFFAOYSA-N</t>
  </si>
  <si>
    <t xml:space="preserve">Isoflavans</t>
  </si>
  <si>
    <t xml:space="preserve">653.44989</t>
  </si>
  <si>
    <t xml:space="preserve">C40H56N6O2</t>
  </si>
  <si>
    <t xml:space="preserve">1-Cycloheptyl-1-[[3-[[cycloheptyl-[[4-(dimethylamino)phenyl]carbamoyl]amino]methyl]phenyl]methyl]-3-[4-(dimethylamino)phenyl]urea</t>
  </si>
  <si>
    <t xml:space="preserve">213170</t>
  </si>
  <si>
    <t xml:space="preserve">HMDB0259956</t>
  </si>
  <si>
    <t xml:space="preserve">CN(C)C1=CC=C(NC(=O)N(CC2=CC(CN(C3CCCCCC3)C(=O)NC3=CC=C(C=C3)N(C)C)=CC=C2)C2CCCCCC2)C=C1</t>
  </si>
  <si>
    <t xml:space="preserve">LZQSLXDZJBXHRS-UHFFFAOYSA-N</t>
  </si>
  <si>
    <t xml:space="preserve">655.46807</t>
  </si>
  <si>
    <t xml:space="preserve">C21H32O2</t>
  </si>
  <si>
    <t xml:space="preserve">Bolasterone; Pregnenolone; 5-beta-pregnan-3,20 dione</t>
  </si>
  <si>
    <t xml:space="preserve">44900; 44983; 45016</t>
  </si>
  <si>
    <t xml:space="preserve">HMDB0006048; HMDB0000253; HMDB0304221</t>
  </si>
  <si>
    <t xml:space="preserve">41841; 24078; 57844</t>
  </si>
  <si>
    <t xml:space="preserve">LMST02020017; LMST02030088; LMST02030146</t>
  </si>
  <si>
    <t xml:space="preserve">C14475; C01953; C05479</t>
  </si>
  <si>
    <t xml:space="preserve">529021; 16581; 30154</t>
  </si>
  <si>
    <t xml:space="preserve">102146; 8955; 92745</t>
  </si>
  <si>
    <t xml:space="preserve">1605-89-6; 145-13-1; </t>
  </si>
  <si>
    <t xml:space="preserve">C1[C@]2(C)[C@@]3([H])CC[C@]4(C)[C@@](C)(O)CC[C@@]4([H])[C@]3([H])[C@H](C)CC2=CC(=O)C1; [C@]12(CC=C3C[C@@H](O)CC[C@]3(C)[C@@]1([H])CC[C@]1(C)[C@@H](C(=O)C)CC[C@@]21[H])[H]; C1C[C@]2(C)[C@@H](C(=O)C)CC[C@@]2([H])[C@]2([H])CC[C@]3([H])CC(CC[C@]3(C)[C@]21[H])=O</t>
  </si>
  <si>
    <t xml:space="preserve">IVFYLRMMHVYGJH-VLOLGRDOSA-N; ORNBQBCIOKFOEO-QGVNFLHTSA-N; XMRPGKVKISIQBV-XWOJZHJZSA-N</t>
  </si>
  <si>
    <t xml:space="preserve">Androstane steroids; Pregnane steroids; Pregnane steroids</t>
  </si>
  <si>
    <t xml:space="preserve">657.06800</t>
  </si>
  <si>
    <t xml:space="preserve">C27H22O18</t>
  </si>
  <si>
    <t xml:space="preserve">Corilagin</t>
  </si>
  <si>
    <t xml:space="preserve">56013</t>
  </si>
  <si>
    <t xml:space="preserve">HMDB0031457</t>
  </si>
  <si>
    <t xml:space="preserve">C10219</t>
  </si>
  <si>
    <t xml:space="preserve">3884</t>
  </si>
  <si>
    <t xml:space="preserve">73568</t>
  </si>
  <si>
    <t xml:space="preserve">23094-69-1</t>
  </si>
  <si>
    <t xml:space="preserve">O[C@@H]1[C@H]2COC(=O)C3=C(C(O)=C(O)C(O)=C3)C3=C(C=C(O)C(O)=C3O)C(=O)O[C@@H]1[C@@H](O)[C@H](OC(=O)C1=CC(O)=C(O)C(O)=C1)O2</t>
  </si>
  <si>
    <t xml:space="preserve">TUSDEZXZIZRFGC-XIGLUPEJSA-N</t>
  </si>
  <si>
    <t xml:space="preserve">657.48094</t>
  </si>
  <si>
    <t xml:space="preserve">C37H69O7P</t>
  </si>
  <si>
    <t xml:space="preserve">PA(34:3)</t>
  </si>
  <si>
    <t xml:space="preserve">26063</t>
  </si>
  <si>
    <t xml:space="preserve">HMDB0011155</t>
  </si>
  <si>
    <t xml:space="preserve">82328</t>
  </si>
  <si>
    <t xml:space="preserve">LMGP10030088</t>
  </si>
  <si>
    <t xml:space="preserve">C15647</t>
  </si>
  <si>
    <t xml:space="preserve">52929743</t>
  </si>
  <si>
    <t xml:space="preserve">937723-92-7</t>
  </si>
  <si>
    <t xml:space="preserve">[C@](COP(=O)(O)O)([H])(OC(CCCCCCC/C=C\C/C=C\CCCCC)=O)CO/C=C\CCCCCCCCCCCCCC</t>
  </si>
  <si>
    <t xml:space="preserve">OLCTYLMZTXKGKH-BBNWHMLASA-N</t>
  </si>
  <si>
    <t xml:space="preserve">658.10842</t>
  </si>
  <si>
    <t xml:space="preserve">C20H35N7O9S2</t>
  </si>
  <si>
    <t xml:space="preserve">Met-Gln-Cys-Asn-Ser</t>
  </si>
  <si>
    <t xml:space="preserve">208598</t>
  </si>
  <si>
    <t xml:space="preserve">HMDB0254490</t>
  </si>
  <si>
    <t xml:space="preserve">85111023</t>
  </si>
  <si>
    <t xml:space="preserve">CSCCC(N)C(=O)NC(CCC(N)=O)C(=O)NC(CS)C(=O)NC(CC(N)=O)C(=O)NC(CO)C(O)=O</t>
  </si>
  <si>
    <t xml:space="preserve">UUQPPOHFWMLIGT-UHFFFAOYSA-N</t>
  </si>
  <si>
    <t xml:space="preserve">659.49336</t>
  </si>
  <si>
    <t xml:space="preserve">C23H34</t>
  </si>
  <si>
    <t xml:space="preserve">20-Dihydrodydrogesterone</t>
  </si>
  <si>
    <t xml:space="preserve">82593</t>
  </si>
  <si>
    <t xml:space="preserve">HMDB0060729</t>
  </si>
  <si>
    <t xml:space="preserve">21563790</t>
  </si>
  <si>
    <t xml:space="preserve">CC(C)C1CCC2C3C=CC4=CC(=C)CCC4(C)C3CCC12C</t>
  </si>
  <si>
    <t xml:space="preserve">YUDUQGLCBDGGNA-UHFFFAOYSA-N</t>
  </si>
  <si>
    <t xml:space="preserve">666.12276</t>
  </si>
  <si>
    <t xml:space="preserve">C22H29N9O9S2</t>
  </si>
  <si>
    <t xml:space="preserve">Cefbuperazone</t>
  </si>
  <si>
    <t xml:space="preserve">204646</t>
  </si>
  <si>
    <t xml:space="preserve">HMDB0249754</t>
  </si>
  <si>
    <t xml:space="preserve">2619</t>
  </si>
  <si>
    <t xml:space="preserve">CCN1CCN(C(=O)NC(C(C)O)C(=O)NC2(OC)C3SCC(CSC4=NN=NN4C)=C(N3C2=O)C(O)=O)C(=O)C1=O</t>
  </si>
  <si>
    <t xml:space="preserve">SMSRCGPDNDCXFR-UHFFFAOYSA-N</t>
  </si>
  <si>
    <t xml:space="preserve">666.35282</t>
  </si>
  <si>
    <t xml:space="preserve">C30H51N7O7</t>
  </si>
  <si>
    <t xml:space="preserve">Septacidin</t>
  </si>
  <si>
    <t xml:space="preserve">211802</t>
  </si>
  <si>
    <t xml:space="preserve">HMDB0258241</t>
  </si>
  <si>
    <t xml:space="preserve">C15751</t>
  </si>
  <si>
    <t xml:space="preserve">80079</t>
  </si>
  <si>
    <t xml:space="preserve">494023</t>
  </si>
  <si>
    <t xml:space="preserve">87099-85-2</t>
  </si>
  <si>
    <t xml:space="preserve">CC(C)CCCCCCCCCCCCC(=O)NCC(=O)NC1C(O)C(O)C(NC2=C3N=CNC3=NC=N2)OC1C(O)CO</t>
  </si>
  <si>
    <t xml:space="preserve">YBZRLMLGUBIIDN-UHFFFAOYSA-N</t>
  </si>
  <si>
    <t xml:space="preserve">667.61256</t>
  </si>
  <si>
    <t xml:space="preserve">C22H39NO</t>
  </si>
  <si>
    <t xml:space="preserve">2,4,12-Octadecatrienoic acid isobutylamide; n-arachidonylethanolamine</t>
  </si>
  <si>
    <t xml:space="preserve">56491; 209107</t>
  </si>
  <si>
    <t xml:space="preserve">HMDB0032033; HMDB0255084</t>
  </si>
  <si>
    <t xml:space="preserve">88135; </t>
  </si>
  <si>
    <t xml:space="preserve">25221579; 54036647</t>
  </si>
  <si>
    <t xml:space="preserve">151391-69-4; </t>
  </si>
  <si>
    <t xml:space="preserve">CCCCC\C=C/CCCCCC\C=C\C=C\C(=O)NCC(C)C; CCCCCC=CCC=CCC=CCC=CCCCCNCCO</t>
  </si>
  <si>
    <t xml:space="preserve">PCWWIOUZYOPZHT-VBUSEHTESA-N; LJKYKFRQAQCNIN-UHFFFAOYSA-N</t>
  </si>
  <si>
    <t xml:space="preserve">Lipids and lipid-like molecules; Organic nitrogen compounds</t>
  </si>
  <si>
    <t xml:space="preserve">Fatty Acyls; Organonitrogen compounds</t>
  </si>
  <si>
    <t xml:space="preserve">Fatty amides; Amines</t>
  </si>
  <si>
    <t xml:space="preserve">671.58972</t>
  </si>
  <si>
    <t xml:space="preserve">C21H40O2</t>
  </si>
  <si>
    <t xml:space="preserve">6,8-Heneicosanedione; 4,6-Heneicosanedione</t>
  </si>
  <si>
    <t xml:space="preserve">59434; 59435</t>
  </si>
  <si>
    <t xml:space="preserve">HMDB0035570; HMDB0035571</t>
  </si>
  <si>
    <t xml:space="preserve">90850; 90851</t>
  </si>
  <si>
    <t xml:space="preserve">91701186; 131751805</t>
  </si>
  <si>
    <t xml:space="preserve">CCCCCCCCCCCCCC(=O)CC(=O)CCCCC; CCCCCCCCCCCCCCCC(=O)CC(=O)CCC</t>
  </si>
  <si>
    <t xml:space="preserve">MRBZNGRWKALXEA-UHFFFAOYSA-N; QTRYUTJOIDZDOP-UHFFFAOYSA-N</t>
  </si>
  <si>
    <t xml:space="preserve">673.13228</t>
  </si>
  <si>
    <t xml:space="preserve">C29H30O17</t>
  </si>
  <si>
    <t xml:space="preserve">6''-Malonylapiin; Apigenin 7-O-(6''-malonyl-apiosyl-glucoside); 3,4,5-Trimethoxyphenyl 2,6-digalloylglucoside</t>
  </si>
  <si>
    <t xml:space="preserve">61133; 254780; 62597</t>
  </si>
  <si>
    <t xml:space="preserve">HMDB0037601; HMDB0301683; HMDB0039312</t>
  </si>
  <si>
    <t xml:space="preserve">92444; ; 93896</t>
  </si>
  <si>
    <t xml:space="preserve">6275871; ; 131752606</t>
  </si>
  <si>
    <t xml:space="preserve">60478-75-3; ; 125288-23-5</t>
  </si>
  <si>
    <t xml:space="preserve">OCC1(O)COC(OC2C(O)C(O)C(COC(=O)CC(O)=O)OC2OC2=CC(O)=C3C(=O)C=C(OC3=C2)C2=CC=C(O)C=C2)C1O; O[C@@H]1[C@@H](COC(=O)CC(O)=O)O[C@@H](OC[C@H]2O[C@@H](OC3=CC(O)=C4C(=O)C=C(OC4=C3)C3=CC=C(O)C=C3)[C@H](O)[C@@H](O)[C@@H]2O)[C@@H]1O; COC1=CC(OC2OC(COC(=O)C3=CC(O)=C(O)C(O)=C3)C(O)C(O)C2OC(=O)C2=CC(O)=C(O)C(O)=C2)=CC(OC)=C1OC</t>
  </si>
  <si>
    <t xml:space="preserve">JNAHTYWPEQLJRT-UHFFFAOYSA-N; CWXBFJLEJGCTRB-PMUUMJNOSA-N; HGBGRHUFMIOHAP-UHFFFAOYSA-N</t>
  </si>
  <si>
    <t xml:space="preserve">Phenylpropanoids and polyketides; Phenylpropanoids and polyketides; Organic oxygen compounds</t>
  </si>
  <si>
    <t xml:space="preserve">Flavonoids; Flavonoids; Organooxygen compounds</t>
  </si>
  <si>
    <t xml:space="preserve">Flavonoid glycosides; Flavonoid glycosides; Carbohydrates and carbohydrate conjugates</t>
  </si>
  <si>
    <t xml:space="preserve">678.83884</t>
  </si>
  <si>
    <t xml:space="preserve">C10H18O21S4</t>
  </si>
  <si>
    <t xml:space="preserve">Pentosan Polysulfate</t>
  </si>
  <si>
    <t xml:space="preserve">52992</t>
  </si>
  <si>
    <t xml:space="preserve">HMDB0014824</t>
  </si>
  <si>
    <t xml:space="preserve">85414</t>
  </si>
  <si>
    <t xml:space="preserve">37720</t>
  </si>
  <si>
    <t xml:space="preserve">37300-21-3</t>
  </si>
  <si>
    <t xml:space="preserve">O[C@@H]1CO[C@@H](O[C@@H]2CO[C@@H](O)[C@H](OS(O)(=O)=O)[C@H]2OS(O)(=O)=O)[C@H](OS(O)(=O)=O)[C@H]1OS(O)(=O)=O</t>
  </si>
  <si>
    <t xml:space="preserve">FCCNSUIJIOOXEZ-SJYYZXOBSA-N</t>
  </si>
  <si>
    <t xml:space="preserve">679.45015</t>
  </si>
  <si>
    <t xml:space="preserve">C22H29NO2</t>
  </si>
  <si>
    <t xml:space="preserve">Propoxyphene</t>
  </si>
  <si>
    <t xml:space="preserve">52963</t>
  </si>
  <si>
    <t xml:space="preserve">HMDB0014785</t>
  </si>
  <si>
    <t xml:space="preserve">C07406</t>
  </si>
  <si>
    <t xml:space="preserve">8497</t>
  </si>
  <si>
    <t xml:space="preserve">25137868</t>
  </si>
  <si>
    <t xml:space="preserve">469-62-5</t>
  </si>
  <si>
    <t xml:space="preserve">CCC(=O)OC(CC1=CC=CC=C1)([C@H](C)CN(C)C)C1=CC=CC=C1</t>
  </si>
  <si>
    <t xml:space="preserve">XLMALTXPSGQGBX-ZZWBGTBQSA-N</t>
  </si>
  <si>
    <t xml:space="preserve">683.13033</t>
  </si>
  <si>
    <t xml:space="preserve">C13H18N2O4S2</t>
  </si>
  <si>
    <t xml:space="preserve">Almecillin</t>
  </si>
  <si>
    <t xml:space="preserve">203313</t>
  </si>
  <si>
    <t xml:space="preserve">HMDB0248169</t>
  </si>
  <si>
    <t xml:space="preserve">11330</t>
  </si>
  <si>
    <t xml:space="preserve">CC1(C)SC2C(NC(=O)CSCC=C)C(=O)N2C1C(O)=O</t>
  </si>
  <si>
    <t xml:space="preserve">QULKGELYPOJSLP-UHFFFAOYSA-N</t>
  </si>
  <si>
    <t xml:space="preserve">685.09802</t>
  </si>
  <si>
    <t xml:space="preserve">C27H31ClO16</t>
  </si>
  <si>
    <t xml:space="preserve">Mesocyanin</t>
  </si>
  <si>
    <t xml:space="preserve">255792</t>
  </si>
  <si>
    <t xml:space="preserve">HMDB0302891</t>
  </si>
  <si>
    <t xml:space="preserve">20055084</t>
  </si>
  <si>
    <t xml:space="preserve">Cl.[H][C@]1(CO)O[C@]([H])(OC2=C([O+]=C3C=C(O)C=C(O)C3=C2)C2=CC([O-])=C(O)C=C2)[C@]([H])(O[C@]2([H])O[C@]([H])(CO)[C@@]([H])(O)[C@]([H])(O)[C@@]2([H])O)[C@@]([H])(O)[C@]1([H])O</t>
  </si>
  <si>
    <t xml:space="preserve">SGNFWBVNFUISGD-XACLPQKHSA-N</t>
  </si>
  <si>
    <t xml:space="preserve">690.50209</t>
  </si>
  <si>
    <t xml:space="preserve">C37H72NO8P</t>
  </si>
  <si>
    <t xml:space="preserve">PC(29:1); PE(32:1)</t>
  </si>
  <si>
    <t xml:space="preserve">18641; 49927</t>
  </si>
  <si>
    <t xml:space="preserve">HMDB0007901; HMDB0008827</t>
  </si>
  <si>
    <t xml:space="preserve">59351; 60271</t>
  </si>
  <si>
    <t xml:space="preserve">LMGP01011382; </t>
  </si>
  <si>
    <t xml:space="preserve">52922246; 53479551</t>
  </si>
  <si>
    <t xml:space="preserve">[C@](COP(=O)([O-])OCC[N+](C)(C)C)([H])(OC(CCCCCCCCCCCCCC)=O)COC(CCCCCCC/C=C\CCCC)=O; [H][C@@](COC(=O)CCCCCCCCCCCCC)(COP(O)(=O)OCCN)OC(=O)CCCCCCCCC\C=C/CCCCCC</t>
  </si>
  <si>
    <t xml:space="preserve">YKVGKTUIHABLLA-JUOLSMOWSA-N; UFSJDLNEPCFOCJ-JUOLSMOWSA-N</t>
  </si>
  <si>
    <t xml:space="preserve">693.10566</t>
  </si>
  <si>
    <t xml:space="preserve">C28H30O18</t>
  </si>
  <si>
    <t xml:space="preserve">Hesperetin 5,7-O-diglucuronide; Hesperetin 3',7-O-diglucuronide; 3-Methylellagic acid 2-(4-galactosylglucoside)</t>
  </si>
  <si>
    <t xml:space="preserve">64802; 64800; 64488</t>
  </si>
  <si>
    <t xml:space="preserve">HMDB0041744; HMDB0041742; HMDB0041397</t>
  </si>
  <si>
    <t xml:space="preserve">; ; 95798</t>
  </si>
  <si>
    <t xml:space="preserve">131753195; 131753194; 131753133</t>
  </si>
  <si>
    <t xml:space="preserve">; ; 113963-57-8</t>
  </si>
  <si>
    <t xml:space="preserve">COC1=CC=C(C=C1O)C1CC(=O)C2=C(O1)C=C(O[C@@H]1O[C@@H]([C@@H](O)[C@H](O)[C@H]1O)C(O)=O)C=C2O[C@@H]1O[C@@H]([C@@H](O)[C@H](O)[C@H]1O)C(O)=O; COC1=CC=C(C=C1O[C@@H]1O[C@@H]([C@@H](O)[C@H](O)[C@H]1O)C(O)=O)C1CC(=O)C2=C(O1)C=C(O[C@@H]1O[C@@H]([C@@H](O)[C@H](O)[C@H]1O)C(O)=O)C=C2O; COC1=C(O)C=C2C(=O)OC3=C4C(=CC(OC5OC(CO)C(OC6OC(CO)C(O)C(O)C6O)C(O)C5O)=C3OC)C(=O)OC1=C24</t>
  </si>
  <si>
    <t xml:space="preserve">DDHZYRQUEFLRIC-HXPBIGRZSA-N; DRQALSJOSDMKCR-HXPBIGRZSA-N; NPSMQMOQUDNLHU-UHFFFAOYSA-N</t>
  </si>
  <si>
    <t xml:space="preserve">Flavonoids; Flavonoids; Tannins</t>
  </si>
  <si>
    <t xml:space="preserve">Flavonoid glycosides; Flavonoid glycosides; Hydrolyzable tannins</t>
  </si>
  <si>
    <t xml:space="preserve">701.03043</t>
  </si>
  <si>
    <t xml:space="preserve">C15H10O8S</t>
  </si>
  <si>
    <t xml:space="preserve">Apigenin 7-sulfate; Genistein 7-sulfate</t>
  </si>
  <si>
    <t xml:space="preserve">30524; 197177</t>
  </si>
  <si>
    <t xml:space="preserve">HMDB0037851; HMDB0240522</t>
  </si>
  <si>
    <t xml:space="preserve">48862; </t>
  </si>
  <si>
    <t xml:space="preserve">LMPK12110431; </t>
  </si>
  <si>
    <t xml:space="preserve">14016776; 10291508</t>
  </si>
  <si>
    <t xml:space="preserve">56857-56-8; </t>
  </si>
  <si>
    <t xml:space="preserve">C1(OS(O)(=O)=O)=CC2OC(C3C=CC(O)=CC=3)=CC(=O)C=2C(O)=C1; OC1=CC=C(C=C1)C1=COC2=CC(OS(O)(=O)=O)=CC(O)=C2C1=O</t>
  </si>
  <si>
    <t xml:space="preserve">UQUHXFINOFUDCC-UHFFFAOYSA-N; DKEIWIJUHWVGRC-UHFFFAOYSA-N</t>
  </si>
  <si>
    <t xml:space="preserve">Flavonoids; Isoflavonoids</t>
  </si>
  <si>
    <t xml:space="preserve">Flavones; Isoflav-2-enes</t>
  </si>
  <si>
    <t xml:space="preserve">707.36805</t>
  </si>
  <si>
    <t xml:space="preserve">C22H26N2O</t>
  </si>
  <si>
    <t xml:space="preserve">Carnocin U I49; Acrylfentanyl</t>
  </si>
  <si>
    <t xml:space="preserve">61651; 212935</t>
  </si>
  <si>
    <t xml:space="preserve">HMDB0038223; HMDB0259663</t>
  </si>
  <si>
    <t xml:space="preserve">; 10314851</t>
  </si>
  <si>
    <t xml:space="preserve">142540-01-0; </t>
  </si>
  <si>
    <t xml:space="preserve">CCCCCCCCOC1=CC=C(\C=N\C2=CC=C(C=C2)C#N)C=C1; C=CC(=O)N(C1CCN(CCC2=CC=CC=C2)CC1)C1=CC=CC=C1</t>
  </si>
  <si>
    <t xml:space="preserve">OUUJTVZTPFJGMR-HKOYGPOVSA-N; RFQNLMWUIJJEQF-UHFFFAOYSA-N</t>
  </si>
  <si>
    <t xml:space="preserve">Phenol ethers; Benzene and substituted derivatives</t>
  </si>
  <si>
    <t xml:space="preserve">Unclassified; Anilides</t>
  </si>
  <si>
    <t xml:space="preserve">709.46631</t>
  </si>
  <si>
    <t xml:space="preserve">C22H30N2O2</t>
  </si>
  <si>
    <t xml:space="preserve">(-)-Aspidospermine</t>
  </si>
  <si>
    <t xml:space="preserve">55180</t>
  </si>
  <si>
    <t xml:space="preserve">HMDB0030361</t>
  </si>
  <si>
    <t xml:space="preserve">67377</t>
  </si>
  <si>
    <t xml:space="preserve">C09042</t>
  </si>
  <si>
    <t xml:space="preserve">28463</t>
  </si>
  <si>
    <t xml:space="preserve">227613</t>
  </si>
  <si>
    <t xml:space="preserve">466-49-9</t>
  </si>
  <si>
    <t xml:space="preserve">[H][C@@]12CC[C@@]3(CC)CCCN4CC[C@]1(C1=C(N2C(C)=O)C(OC)=CC=C1)[C@@]34[H]</t>
  </si>
  <si>
    <t xml:space="preserve">ARQOGCYMPUOVHK-ZHHKINOHSA-N</t>
  </si>
  <si>
    <t xml:space="preserve">Aspidospermatan-type alkaloids</t>
  </si>
  <si>
    <t xml:space="preserve">709.63829</t>
  </si>
  <si>
    <t xml:space="preserve">C44H84O6</t>
  </si>
  <si>
    <t xml:space="preserve">TG(41:0)</t>
  </si>
  <si>
    <t xml:space="preserve">83951</t>
  </si>
  <si>
    <t xml:space="preserve">HMDB0062962</t>
  </si>
  <si>
    <t xml:space="preserve">131770637</t>
  </si>
  <si>
    <t xml:space="preserve">[H][C@@](COC(=O)CCCCCCC)(COC(=O)CCCCCCCCCCCCCCCCCCC)OC(=O)CCCCCCCCC(C)CC</t>
  </si>
  <si>
    <t xml:space="preserve">ZMVDKVXSCNQBCX-PUOOBJKZSA-N</t>
  </si>
  <si>
    <t xml:space="preserve">714.50740</t>
  </si>
  <si>
    <t xml:space="preserve">C39H72NO8P</t>
  </si>
  <si>
    <t xml:space="preserve">PE(34:3)</t>
  </si>
  <si>
    <t xml:space="preserve">49928</t>
  </si>
  <si>
    <t xml:space="preserve">HMDB0008836</t>
  </si>
  <si>
    <t xml:space="preserve">60280</t>
  </si>
  <si>
    <t xml:space="preserve">53479552</t>
  </si>
  <si>
    <t xml:space="preserve">[H][C@@](COC(=O)CCCCCCCCCCCCC)(COP(O)(=O)OCCN)OC(=O)CCC\C=C/C\C=C/C\C=C/CCCCCCCC</t>
  </si>
  <si>
    <t xml:space="preserve">XWFNQNWYEQUBPP-AXXMIQHMSA-N</t>
  </si>
  <si>
    <t xml:space="preserve">715.61510</t>
  </si>
  <si>
    <t xml:space="preserve">C41H85N2O6P</t>
  </si>
  <si>
    <t xml:space="preserve">SM(d36:0)</t>
  </si>
  <si>
    <t xml:space="preserve">39601</t>
  </si>
  <si>
    <t xml:space="preserve">HMDB0012087</t>
  </si>
  <si>
    <t xml:space="preserve">41594</t>
  </si>
  <si>
    <t xml:space="preserve">LMSP03010020</t>
  </si>
  <si>
    <t xml:space="preserve">89483</t>
  </si>
  <si>
    <t xml:space="preserve">44260130</t>
  </si>
  <si>
    <t xml:space="preserve">[C@](COP(=O)([O-])OCC[N+](C)(C)C)([H])(NC(CCCCCCCCCCCCCCCCC)=O)[C@]([H])(O)CCCCCCCCCCCCCCC</t>
  </si>
  <si>
    <t xml:space="preserve">JCELSEVNSMXGKA-IOLBBIBUSA-N</t>
  </si>
  <si>
    <t xml:space="preserve">716.52329</t>
  </si>
  <si>
    <t xml:space="preserve">C41H71N3O8</t>
  </si>
  <si>
    <t xml:space="preserve">Tildipirosin</t>
  </si>
  <si>
    <t xml:space="preserve">212506</t>
  </si>
  <si>
    <t xml:space="preserve">HMDB0259090</t>
  </si>
  <si>
    <t xml:space="preserve">74336136</t>
  </si>
  <si>
    <t xml:space="preserve">CCC1OC(=O)CC(O)C(C)C(OC2OC(C)C(O)C(C2O)N(C)C)C(CCN2CCCCC2)CC(C)C(=O)C=CC(C)=CC1CN1CCCCC1</t>
  </si>
  <si>
    <t xml:space="preserve">HNDXPZPJZGTJLJ-UHFFFAOYSA-N</t>
  </si>
  <si>
    <t xml:space="preserve">721.17153</t>
  </si>
  <si>
    <t xml:space="preserve">C36H33O16</t>
  </si>
  <si>
    <t xml:space="preserve">Catechin-(4alpha-&gt;8)-pelargonidin 3'-glucoside</t>
  </si>
  <si>
    <t xml:space="preserve">255002</t>
  </si>
  <si>
    <t xml:space="preserve">HMDB0302008</t>
  </si>
  <si>
    <t xml:space="preserve">21579191</t>
  </si>
  <si>
    <t xml:space="preserve">OC[C@H]1O[C@@H](OC2=CC3=C([O+]=C2C2=CC=C(O)C=C2)C([C@H]2[C@@H](O)[C@H](OC4=C2C(O)=CC(O)=C4)C2=CC(O)=C(O)C=C2)=C(O)C=C3O)[C@H](O)[C@@H](O)[C@@H]1O</t>
  </si>
  <si>
    <t xml:space="preserve">GYFCZBFMXPYBAY-KRNRNQEZSA-O</t>
  </si>
  <si>
    <t xml:space="preserve">721.88630</t>
  </si>
  <si>
    <t xml:space="preserve">C10H18N5O20P5</t>
  </si>
  <si>
    <t xml:space="preserve">Guanosine 3'-diphosphate 5'-triphosphate</t>
  </si>
  <si>
    <t xml:space="preserve">82375</t>
  </si>
  <si>
    <t xml:space="preserve">HMDB0060480</t>
  </si>
  <si>
    <t xml:space="preserve">63398</t>
  </si>
  <si>
    <t xml:space="preserve">C04494</t>
  </si>
  <si>
    <t xml:space="preserve">16690</t>
  </si>
  <si>
    <t xml:space="preserve">38166</t>
  </si>
  <si>
    <t xml:space="preserve">[H][C@]1(COP(O)(=O)OP(O)(=O)OP(O)(O)=O)O[C@@]([H])(N2C=NC3=C2NC(=N)N=C3O)[C@]([H])(O)[C@]1([H])OP(O)(=O)OP(O)(O)=O</t>
  </si>
  <si>
    <t xml:space="preserve">KCPMACXZAITQAX-UUOKFMHZSA-N</t>
  </si>
  <si>
    <t xml:space="preserve">723.40849</t>
  </si>
  <si>
    <t xml:space="preserve">C33H62N2O12</t>
  </si>
  <si>
    <t xml:space="preserve">Descladinose roxithromycin</t>
  </si>
  <si>
    <t xml:space="preserve">82673</t>
  </si>
  <si>
    <t xml:space="preserve">HMDB0060814</t>
  </si>
  <si>
    <t xml:space="preserve">131769961</t>
  </si>
  <si>
    <t xml:space="preserve">CC[C@H]1OC(=O)[C@H](C)[C@@H](O)[C@H](C)[C@@H](O[C@@H]2O[C@H](C)CC(C2O)N(C)C)[C@](C)(O)C[C@@H](C)\C(=N/OCOCCOC)[C@H](C)[C@@H](O)[C@]1(C)O</t>
  </si>
  <si>
    <t xml:space="preserve">BNZRPTCUAOMSSH-LKPWEDHSSA-N</t>
  </si>
  <si>
    <t xml:space="preserve">729.09981</t>
  </si>
  <si>
    <t xml:space="preserve">C16H13F2NO4S</t>
  </si>
  <si>
    <t xml:space="preserve">Flosulide</t>
  </si>
  <si>
    <t xml:space="preserve">206811</t>
  </si>
  <si>
    <t xml:space="preserve">HMDB0252318</t>
  </si>
  <si>
    <t xml:space="preserve">71246</t>
  </si>
  <si>
    <t xml:space="preserve">CS(=O)(=O)NC1=C(OC2=C(F)C=C(F)C=C2)C=C2C(=O)CCC2=C1</t>
  </si>
  <si>
    <t xml:space="preserve">CXJONBHNIJFARE-UHFFFAOYSA-N</t>
  </si>
  <si>
    <t xml:space="preserve">730.70736</t>
  </si>
  <si>
    <t xml:space="preserve">C12H3Cl5O2</t>
  </si>
  <si>
    <t xml:space="preserve">1,2,3,7,8-Pentachlorodibenzo-P-dioxin</t>
  </si>
  <si>
    <t xml:space="preserve">199661</t>
  </si>
  <si>
    <t xml:space="preserve">HMDB0244136</t>
  </si>
  <si>
    <t xml:space="preserve">72026</t>
  </si>
  <si>
    <t xml:space="preserve">C18099</t>
  </si>
  <si>
    <t xml:space="preserve">38439</t>
  </si>
  <si>
    <t xml:space="preserve">40321-76-4</t>
  </si>
  <si>
    <t xml:space="preserve">ClC1=CC2=C(OC3=C(Cl)C(Cl)=C(Cl)C=C3O2)C=C1Cl</t>
  </si>
  <si>
    <t xml:space="preserve">FSPZPQQWDODWAU-UHFFFAOYSA-N</t>
  </si>
  <si>
    <t xml:space="preserve">Benzodioxins</t>
  </si>
  <si>
    <t xml:space="preserve">Benzo-p-dioxins</t>
  </si>
  <si>
    <t xml:space="preserve">738.19227</t>
  </si>
  <si>
    <t xml:space="preserve">C29H33N9O12</t>
  </si>
  <si>
    <t xml:space="preserve">Pteroyltriglutamic acid</t>
  </si>
  <si>
    <t xml:space="preserve">47706</t>
  </si>
  <si>
    <t xml:space="preserve">HMDB0001902</t>
  </si>
  <si>
    <t xml:space="preserve">6381</t>
  </si>
  <si>
    <t xml:space="preserve">554079</t>
  </si>
  <si>
    <t xml:space="preserve">6968</t>
  </si>
  <si>
    <t xml:space="preserve">89-38-3</t>
  </si>
  <si>
    <t xml:space="preserve">NC1=NC(=O)C2=NC(CNC3=CC=C(C=C3)C(=O)NC(CCC(=O)NC(CCC(=O)NC(CCC(O)=O)C(O)=O)C(O)=O)C(O)=O)=CN=C2N1</t>
  </si>
  <si>
    <t xml:space="preserve">WOLQREOUPKZMEX-UHFFFAOYSA-N</t>
  </si>
  <si>
    <t xml:space="preserve">738.49194</t>
  </si>
  <si>
    <t xml:space="preserve">C39H73NO9</t>
  </si>
  <si>
    <t xml:space="preserve">AS 1-2; Lucyobroside</t>
  </si>
  <si>
    <t xml:space="preserve">57066; 56443</t>
  </si>
  <si>
    <t xml:space="preserve">HMDB0032795; HMDB0031983</t>
  </si>
  <si>
    <t xml:space="preserve">88718; 88094</t>
  </si>
  <si>
    <t xml:space="preserve">; 169916</t>
  </si>
  <si>
    <t xml:space="preserve">131751311; 131751236</t>
  </si>
  <si>
    <t xml:space="preserve">; 189272-90-0</t>
  </si>
  <si>
    <t xml:space="preserve">CCCCCCCCCCCCCC(O)C(=O)NC(COC1OC(CO)C(O)C(O)C1O)C(O)\C=C/CC\C=C/CCCCCCCCC; CCCCCCCCCCCCC(O)C(\O)=N\C(COC1OC(CO)C(O)C(O)C1O)C(O)\C=C\CC\C=C\CCCCCCCCCC</t>
  </si>
  <si>
    <t xml:space="preserve">NHVGKAGJOWJYCD-VFRXEOFNSA-N; ILIBLZKROFPFRG-OQHYMBEVSA-N</t>
  </si>
  <si>
    <t xml:space="preserve">Glycosphingolipids; Glycosphingolipids</t>
  </si>
  <si>
    <t xml:space="preserve">740.52178</t>
  </si>
  <si>
    <t xml:space="preserve">C41H74NO8P</t>
  </si>
  <si>
    <t xml:space="preserve">PC(33:4); PE(36:4)</t>
  </si>
  <si>
    <t xml:space="preserve">18677; 20110</t>
  </si>
  <si>
    <t xml:space="preserve">HMDB0007943; HMDB0008844</t>
  </si>
  <si>
    <t xml:space="preserve">59393; 60288</t>
  </si>
  <si>
    <t xml:space="preserve">LMGP01011418; LMGP02010421</t>
  </si>
  <si>
    <t xml:space="preserve">52922318; 52924126</t>
  </si>
  <si>
    <t xml:space="preserve">[C@](COP(=O)([O-])OCC[N+](C)(C)C)([H])(OC(CCCC/C=C\C/C=C\C/C=C\C/C=C\CC)=O)COC(CCCCCCCCCCCCCC)=O; [C@](COP(=O)(O)OCCN)([H])(OC(CCCCC/C=C\C/C=C\C/C=C\C/C=C\CCCCC)=O)COC(CCCCCCCCCCCCC)=O</t>
  </si>
  <si>
    <t xml:space="preserve">DPPYJZPUMHOJFQ-IASQADCASA-N; KUPNWZACJRZMJD-SIOSMUJOSA-N</t>
  </si>
  <si>
    <t xml:space="preserve">745.05187</t>
  </si>
  <si>
    <t xml:space="preserve">C15H11ClF3NO4</t>
  </si>
  <si>
    <t xml:space="preserve">Haloxyfop-P</t>
  </si>
  <si>
    <t xml:space="preserve">207439</t>
  </si>
  <si>
    <t xml:space="preserve">HMDB0253047</t>
  </si>
  <si>
    <t xml:space="preserve">66271</t>
  </si>
  <si>
    <t xml:space="preserve">C04871</t>
  </si>
  <si>
    <t xml:space="preserve">136694</t>
  </si>
  <si>
    <t xml:space="preserve">50895</t>
  </si>
  <si>
    <t xml:space="preserve">69806-34-4</t>
  </si>
  <si>
    <t xml:space="preserve">CC(OC1=CC=C(OC2=C(Cl)C=C(C=N2)C(F)(F)F)C=C1)C(O)=O</t>
  </si>
  <si>
    <t xml:space="preserve">GOCUAJYOYBLQRH-UHFFFAOYSA-N</t>
  </si>
  <si>
    <t xml:space="preserve">745.76515</t>
  </si>
  <si>
    <t xml:space="preserve">C24H51N</t>
  </si>
  <si>
    <t xml:space="preserve">Trioctylamine</t>
  </si>
  <si>
    <t xml:space="preserve">212651</t>
  </si>
  <si>
    <t xml:space="preserve">HMDB0259251</t>
  </si>
  <si>
    <t xml:space="preserve">318746</t>
  </si>
  <si>
    <t xml:space="preserve">14227</t>
  </si>
  <si>
    <t xml:space="preserve">CCCCCCCCN(CCCCCCCC)CCCCCCCC</t>
  </si>
  <si>
    <t xml:space="preserve">XTAZYLNFDRKIHJ-UHFFFAOYSA-N</t>
  </si>
  <si>
    <t xml:space="preserve">751.11555</t>
  </si>
  <si>
    <t xml:space="preserve">C30H32O20</t>
  </si>
  <si>
    <t xml:space="preserve">Quercetin 3-O-(6"-malonyl-glucoside) 7-O-glucoside</t>
  </si>
  <si>
    <t xml:space="preserve">54244</t>
  </si>
  <si>
    <t xml:space="preserve">HMDB0029270</t>
  </si>
  <si>
    <t xml:space="preserve">86143</t>
  </si>
  <si>
    <t xml:space="preserve">141132</t>
  </si>
  <si>
    <t xml:space="preserve">74978238</t>
  </si>
  <si>
    <t xml:space="preserve">194093-39-5</t>
  </si>
  <si>
    <t xml:space="preserve">OCC1OC(OC2=CC3=C(C(O)=C2)C(=O)C(OC2OC(COC(=O)CC(O)=O)C(O)C(O)C2O)=C(O3)C2=CC(O)=C(O)C=C2)C(O)C(O)C1O</t>
  </si>
  <si>
    <t xml:space="preserve">ZLQYEKDHCDLAGO-UHFFFAOYSA-N</t>
  </si>
  <si>
    <t xml:space="preserve">753.48533</t>
  </si>
  <si>
    <t xml:space="preserve">C45H71O8P</t>
  </si>
  <si>
    <t xml:space="preserve">Phosphatidate(42:9); PA(42:9)</t>
  </si>
  <si>
    <t xml:space="preserve">135032; 25516</t>
  </si>
  <si>
    <t xml:space="preserve">HMDB0115166; HMDB0115584</t>
  </si>
  <si>
    <t xml:space="preserve">; 81783</t>
  </si>
  <si>
    <t xml:space="preserve">; LMGP10010617</t>
  </si>
  <si>
    <t xml:space="preserve">131822015; 52929210</t>
  </si>
  <si>
    <t xml:space="preserve">[H][C@@](COC(=O)CCC\C=C/C\C=C/C\C=C/C\C=C/CCCCC)(COP(O)(O)=O)OC(=O)CC\C=C/C\C=C/C\C=C/C\C=C/C\C=C/CCCCC; [C@](COP(=O)(O)O)([H])(OC(CC/C=C\C/C=C\C/C=C\C/C=C\C/C=C\C/C=C\CC)=O)COC(CCCCCC/C=C\C/C=C\C/C=C\CCCCC)=O</t>
  </si>
  <si>
    <t xml:space="preserve">OJSWZOMEIYMAEK-GSMLWTHRSA-N; XJZHIKFUENATHK-DYINNSHSSA-N</t>
  </si>
  <si>
    <t xml:space="preserve">754.47762</t>
  </si>
  <si>
    <t xml:space="preserve">C39H74NO8P</t>
  </si>
  <si>
    <t xml:space="preserve">PE(34:2)</t>
  </si>
  <si>
    <t xml:space="preserve">20105</t>
  </si>
  <si>
    <t xml:space="preserve">HMDB0008835</t>
  </si>
  <si>
    <t xml:space="preserve">60279</t>
  </si>
  <si>
    <t xml:space="preserve">LMGP02010416</t>
  </si>
  <si>
    <t xml:space="preserve">52924121</t>
  </si>
  <si>
    <t xml:space="preserve">[C@](COP(=O)(O)OCCN)([H])(OC(CCCCCCCCC/C=C\C/C=C\CCCCC)=O)COC(CCCCCCCCCCCCC)=O</t>
  </si>
  <si>
    <t xml:space="preserve">RXKSKZZAOIRFLK-UQYDIMRYSA-N</t>
  </si>
  <si>
    <t xml:space="preserve">756.55220</t>
  </si>
  <si>
    <t xml:space="preserve">C40H80NO8P</t>
  </si>
  <si>
    <t xml:space="preserve">PE(35:0); PC(32:0)</t>
  </si>
  <si>
    <t xml:space="preserve">20152; 18240</t>
  </si>
  <si>
    <t xml:space="preserve">HMDB0008899; HMDB0000564</t>
  </si>
  <si>
    <t xml:space="preserve">60342; 39306</t>
  </si>
  <si>
    <t xml:space="preserve">LMGP02010463; LMGP01010564</t>
  </si>
  <si>
    <t xml:space="preserve">131145; 72999</t>
  </si>
  <si>
    <t xml:space="preserve">446872; 452110</t>
  </si>
  <si>
    <t xml:space="preserve">; 63-89-8</t>
  </si>
  <si>
    <t xml:space="preserve">[C@](COP(=O)(O)OCCN)([H])(OC(CCCCCCCCCCCCCCCCCCC)=O)COC(CCCCCCCCCCCCCC)=O; [C@](COP(=O)([O-])OCC[N+](C)(C)C)([H])(OC(CCCCCCCCCCCCCCC)=O)COC(CCCCCCCCCCCCCCC)=O</t>
  </si>
  <si>
    <t xml:space="preserve">NJGIRBISCGPRPF-KXQOOQHDSA-N; KILNVBDSWZSGLL-KXQOOQHDSA-N</t>
  </si>
  <si>
    <t xml:space="preserve">757.55407</t>
  </si>
  <si>
    <t xml:space="preserve">C18H38N2O6</t>
  </si>
  <si>
    <t xml:space="preserve">Diethylaminoethyl-Sephacel</t>
  </si>
  <si>
    <t xml:space="preserve">205886</t>
  </si>
  <si>
    <t xml:space="preserve">HMDB0251243</t>
  </si>
  <si>
    <t xml:space="preserve">CCN(CC)CCOCC1OC(O)C(OCCN(CC)CC)C(O)C1O</t>
  </si>
  <si>
    <t xml:space="preserve">QLAJPGCDKRPRKU-UHFFFAOYSA-N</t>
  </si>
  <si>
    <t xml:space="preserve">758.57019</t>
  </si>
  <si>
    <t xml:space="preserve">C42H80NO8P</t>
  </si>
  <si>
    <t xml:space="preserve">PC(34:2)</t>
  </si>
  <si>
    <t xml:space="preserve">18632</t>
  </si>
  <si>
    <t xml:space="preserve">HMDB0007880</t>
  </si>
  <si>
    <t xml:space="preserve">59330</t>
  </si>
  <si>
    <t xml:space="preserve">LMGP01011373</t>
  </si>
  <si>
    <t xml:space="preserve">89518</t>
  </si>
  <si>
    <t xml:space="preserve">52922228</t>
  </si>
  <si>
    <t xml:space="preserve">[C@](COP(=O)([O-])OCC[N+](C)(C)C)([H])(OC(CCCCCCCCC/C=C\C/C=C\CCCCC)=O)COC(CCCCCCCCCCCCC)=O</t>
  </si>
  <si>
    <t xml:space="preserve">IRYMXEVDAKMFIF-YBLKGUNISA-N</t>
  </si>
  <si>
    <t xml:space="preserve">766.90596</t>
  </si>
  <si>
    <t xml:space="preserve">C14H9N2O4PS2</t>
  </si>
  <si>
    <t xml:space="preserve">Attophos</t>
  </si>
  <si>
    <t xml:space="preserve">203765</t>
  </si>
  <si>
    <t xml:space="preserve">HMDB0248719</t>
  </si>
  <si>
    <t xml:space="preserve">427150</t>
  </si>
  <si>
    <t xml:space="preserve">188920</t>
  </si>
  <si>
    <t xml:space="preserve">OP(O)(=O)OC1=CC2=C(C=C1)N=C(S2)C1=NC2=CC=CC=C2S1</t>
  </si>
  <si>
    <t xml:space="preserve">BTKMJKKKZATLBU-UHFFFAOYSA-N</t>
  </si>
  <si>
    <t xml:space="preserve">767.11031</t>
  </si>
  <si>
    <t xml:space="preserve">C30H30N2O19</t>
  </si>
  <si>
    <t xml:space="preserve">Mag-fura-2-acetoxymethyl ester</t>
  </si>
  <si>
    <t xml:space="preserve">208445</t>
  </si>
  <si>
    <t xml:space="preserve">HMDB0254300</t>
  </si>
  <si>
    <t xml:space="preserve">416598</t>
  </si>
  <si>
    <t xml:space="preserve">131176</t>
  </si>
  <si>
    <t xml:space="preserve">CC(=O)OCOC(=O)COC1=C(C=C2OC(=CC2=C1)C1=NC=C(O1)C(=O)OCOC(C)=O)N(CC(=O)OCOC(C)=O)CC(=O)OCOC(C)=O</t>
  </si>
  <si>
    <t xml:space="preserve">PCDUVTXECKTHBH-UHFFFAOYSA-N</t>
  </si>
  <si>
    <t xml:space="preserve">768.20171</t>
  </si>
  <si>
    <t xml:space="preserve">C34H46ClN3O10</t>
  </si>
  <si>
    <t xml:space="preserve">Maitansine</t>
  </si>
  <si>
    <t xml:space="preserve">208449</t>
  </si>
  <si>
    <t xml:space="preserve">HMDB0254306</t>
  </si>
  <si>
    <t xml:space="preserve">547450</t>
  </si>
  <si>
    <t xml:space="preserve">COC1C=CC=C(C)CC2=CC(OC)=C(Cl)C(=C2)N(C)C(=O)CC(OC(=O)C(C)N(C)C(C)=O)C2(C)OC2C(C)C2CC1(O)NC(=O)O2</t>
  </si>
  <si>
    <t xml:space="preserve">WKPWGQKGSOKKOO-UHFFFAOYSA-N</t>
  </si>
  <si>
    <t xml:space="preserve">769.17782</t>
  </si>
  <si>
    <t xml:space="preserve">C20H16O8</t>
  </si>
  <si>
    <t xml:space="preserve">5,6-Dimethoxysterigmatocystin; Theasaponin F2</t>
  </si>
  <si>
    <t xml:space="preserve">55378; 255074</t>
  </si>
  <si>
    <t xml:space="preserve">HMDB0030592; HMDB0302086</t>
  </si>
  <si>
    <t xml:space="preserve">87081; </t>
  </si>
  <si>
    <t xml:space="preserve">5284386; 5282117</t>
  </si>
  <si>
    <t xml:space="preserve">65176-75-2; </t>
  </si>
  <si>
    <t xml:space="preserve">COC1=CC2=C(C3C=COC3O2)C2=C1C(=O)C1=C(O2)C(OC)=C(OC)C=C1O; CC(=O)C1=C(O)C2=C(CC3=CC(O)=CC(O)=C3C2=O)C=C1\C=C(/O)CC(O)=O</t>
  </si>
  <si>
    <t xml:space="preserve">RSPJLZQIZABVSE-UHFFFAOYSA-N; OVIPDYYHLHEFDF-PQMHYQBVSA-N</t>
  </si>
  <si>
    <t xml:space="preserve">Sterigmatocystins; Anthracenes</t>
  </si>
  <si>
    <t xml:space="preserve">771.18589</t>
  </si>
  <si>
    <t xml:space="preserve">C36H38O16</t>
  </si>
  <si>
    <t xml:space="preserve">Licorice glycoside C1; Licorice glycoside A</t>
  </si>
  <si>
    <t xml:space="preserve">56455; 56449</t>
  </si>
  <si>
    <t xml:space="preserve">HMDB0031995; HMDB0031989</t>
  </si>
  <si>
    <t xml:space="preserve">131751240; 131751238</t>
  </si>
  <si>
    <t xml:space="preserve">COC1=C(O)C=CC(\C=C\C(=O)OCC2(O)COC(OC3C(O)C(O)C(CO)OC3OC3=CC=C(C=C3)C3CC(=O)C4=C(O3)C=C(O)C=C4)C2O)=C1; COC1=C(O)C=CC(\C=C\C(=O)OCC2(O)COC(OC3C(OC4=CC=C(\C=C\C(=O)C5=C(O)C=C(O)C=C5)C=C4)OC(CO)C(O)C3O)C2O)=C1</t>
  </si>
  <si>
    <t xml:space="preserve">GSIREHLZHMQJNR-QDEBKDIKSA-N; BYQKEKUAWGGZTQ-QZRCSFIOSA-N</t>
  </si>
  <si>
    <t xml:space="preserve">773.15720</t>
  </si>
  <si>
    <t xml:space="preserve">C21H18ClNO3</t>
  </si>
  <si>
    <t xml:space="preserve">2-(4-Chlorobenzyl)-3-hydroxy-7,8,9,10-tetrahydrobenzo(H)quinoline-4-carboxylic acid</t>
  </si>
  <si>
    <t xml:space="preserve">210684</t>
  </si>
  <si>
    <t xml:space="preserve">HMDB0256897</t>
  </si>
  <si>
    <t xml:space="preserve">OC(=O)C1=C2C=CC3=C(CCCC3)C2=NC(CC2=CC=C(Cl)C=C2)=C1O</t>
  </si>
  <si>
    <t xml:space="preserve">DIEPFYNZGUUVHD-UHFFFAOYSA-N</t>
  </si>
  <si>
    <t xml:space="preserve">Quinoline carboxylic acids</t>
  </si>
  <si>
    <t xml:space="preserve">773.41026</t>
  </si>
  <si>
    <t xml:space="preserve">C34H68N2O14P2</t>
  </si>
  <si>
    <t xml:space="preserve">[(2R,3S,4R,5R,6R)-2-(Hydroxymethyl)-4,5-bis[[(3R)-3-hydroxytetradecanoyl]amino]-6-phosphonooxyoxan-3-yl] dihydrogen phosphate</t>
  </si>
  <si>
    <t xml:space="preserve">211760</t>
  </si>
  <si>
    <t xml:space="preserve">HMDB0258192</t>
  </si>
  <si>
    <t xml:space="preserve">53462052</t>
  </si>
  <si>
    <t xml:space="preserve">CCCCCCCCCCCC(O)CC(=O)NC1C(OP(O)(O)=O)OC(CO)C(OP(O)(O)=O)C1NC(=O)CC(O)CCCCCCCCCCC</t>
  </si>
  <si>
    <t xml:space="preserve">QLAZNNNXRFUOQM-UHFFFAOYSA-N</t>
  </si>
  <si>
    <t xml:space="preserve">773.48408</t>
  </si>
  <si>
    <t xml:space="preserve">C42H70O11</t>
  </si>
  <si>
    <t xml:space="preserve">Salinomycin</t>
  </si>
  <si>
    <t xml:space="preserve">211144</t>
  </si>
  <si>
    <t xml:space="preserve">HMDB0257465</t>
  </si>
  <si>
    <t xml:space="preserve">5151</t>
  </si>
  <si>
    <t xml:space="preserve">CCC(C1CCC(C)C(O1)C(C)C(O)C(C)C(=O)C(CC)C1OC2(OC3(CCC(C)(O3)C3CCC(O)(CC)C(C)O3)C(O)C=C2)C(C)CC1C)C(O)=O</t>
  </si>
  <si>
    <t xml:space="preserve">KQXDHUJYNAXLNZ-UHFFFAOYSA-N</t>
  </si>
  <si>
    <t xml:space="preserve">774.56110</t>
  </si>
  <si>
    <t xml:space="preserve">C42H82NO10P</t>
  </si>
  <si>
    <t xml:space="preserve">PS(36:0)</t>
  </si>
  <si>
    <t xml:space="preserve">21298</t>
  </si>
  <si>
    <t xml:space="preserve">HMDB0012378</t>
  </si>
  <si>
    <t xml:space="preserve">40796</t>
  </si>
  <si>
    <t xml:space="preserve">LMGP03010036</t>
  </si>
  <si>
    <t xml:space="preserve">84519</t>
  </si>
  <si>
    <t xml:space="preserve">9547096</t>
  </si>
  <si>
    <t xml:space="preserve">321595-13-5</t>
  </si>
  <si>
    <t xml:space="preserve">C(O)(=O)[C@@]([H])(N)COP(OC[C@]([H])(OC(CCCCCCCCCCCCCCCCC)=O)COC(CCCCCCCCCCCCCCCCC)=O)(=O)O</t>
  </si>
  <si>
    <t xml:space="preserve">TZCPCKNHXULUIY-RGULYWFUSA-N</t>
  </si>
  <si>
    <t xml:space="preserve">781.55209</t>
  </si>
  <si>
    <t xml:space="preserve">C45H84O5</t>
  </si>
  <si>
    <t xml:space="preserve">DG(42:2)</t>
  </si>
  <si>
    <t xml:space="preserve">49075</t>
  </si>
  <si>
    <t xml:space="preserve">HMDB0007210</t>
  </si>
  <si>
    <t xml:space="preserve">58792</t>
  </si>
  <si>
    <t xml:space="preserve">53478085</t>
  </si>
  <si>
    <t xml:space="preserve">[H][C@](CO)(COC(=O)CCCCCCCCC\C=C/CCCCCC)OC(=O)CCCCCCCCCCCCC\C=C/CCCCCCCC</t>
  </si>
  <si>
    <t xml:space="preserve">ZSQAOKSZFDYOAM-GHJNHKDUSA-N</t>
  </si>
  <si>
    <t xml:space="preserve">782.57037</t>
  </si>
  <si>
    <t xml:space="preserve">C42H82NO8P</t>
  </si>
  <si>
    <t xml:space="preserve">PC(34:1)</t>
  </si>
  <si>
    <t xml:space="preserve">18631</t>
  </si>
  <si>
    <t xml:space="preserve">HMDB0007879</t>
  </si>
  <si>
    <t xml:space="preserve">59329</t>
  </si>
  <si>
    <t xml:space="preserve">LMGP01011372</t>
  </si>
  <si>
    <t xml:space="preserve">89520</t>
  </si>
  <si>
    <t xml:space="preserve">52922226</t>
  </si>
  <si>
    <t xml:space="preserve">[C@](COP(=O)([O-])OCC[N+](C)(C)C)([H])(OC(CCCCCCCCC/C=C\CCCCCCCC)=O)COC(CCCCCCCCCCCCC)=O</t>
  </si>
  <si>
    <t xml:space="preserve">DMEBDXIQFIKNQR-OIJJMQLXSA-N</t>
  </si>
  <si>
    <t xml:space="preserve">783.06964</t>
  </si>
  <si>
    <t xml:space="preserve">C34H22O22</t>
  </si>
  <si>
    <t xml:space="preserve">Emblicanin A</t>
  </si>
  <si>
    <t xml:space="preserve">55252</t>
  </si>
  <si>
    <t xml:space="preserve">HMDB0030437</t>
  </si>
  <si>
    <t xml:space="preserve">86978</t>
  </si>
  <si>
    <t xml:space="preserve">9810915</t>
  </si>
  <si>
    <t xml:space="preserve">180465-44-5</t>
  </si>
  <si>
    <t xml:space="preserve">OC1=CC(=CC(O)=C1O)C(=O)OC1=C(OC(=O)C2=CC(O)=C(O)C(O)=C2)C(=O)OC2COC(=O)C3=C(C(O)=C(O)C(O)=C3)C3=C(O)C(O)=C(O)C=C3C(=O)OC12</t>
  </si>
  <si>
    <t xml:space="preserve">UEHSSTYZXFBDNL-UHFFFAOYSA-N</t>
  </si>
  <si>
    <t xml:space="preserve">783.18694</t>
  </si>
  <si>
    <t xml:space="preserve">C19H20N2O4S</t>
  </si>
  <si>
    <t xml:space="preserve">Hydroxypioglitazone</t>
  </si>
  <si>
    <t xml:space="preserve">207645</t>
  </si>
  <si>
    <t xml:space="preserve">HMDB0253285</t>
  </si>
  <si>
    <t xml:space="preserve">82937</t>
  </si>
  <si>
    <t xml:space="preserve">4147757</t>
  </si>
  <si>
    <t xml:space="preserve">CC(O)C1=CN=C(CCOC2=CC=C(CC3SC(=O)NC3=O)C=C2)C=C1</t>
  </si>
  <si>
    <t xml:space="preserve">OXVFDZYQLGRLCD-UHFFFAOYSA-N</t>
  </si>
  <si>
    <t xml:space="preserve">784.18844</t>
  </si>
  <si>
    <t xml:space="preserve">C29H35N11O11S</t>
  </si>
  <si>
    <t xml:space="preserve">Folcepri</t>
  </si>
  <si>
    <t xml:space="preserve">206278</t>
  </si>
  <si>
    <t xml:space="preserve">HMDB0251680</t>
  </si>
  <si>
    <t xml:space="preserve">46700811</t>
  </si>
  <si>
    <t xml:space="preserve">NC(CNC(=O)CCC(NC(=O)C1=CC=C(NCC2=CN=C3N=C(N)NC(=O)C3=N2)C=C1)C(O)=O)C(=O)NC(CC(O)=O)C(=O)NC(CS)C(O)=O</t>
  </si>
  <si>
    <t xml:space="preserve">RKGPQAGUQDVJHG-UHFFFAOYSA-N</t>
  </si>
  <si>
    <t xml:space="preserve">784.58172</t>
  </si>
  <si>
    <t xml:space="preserve">C42H84NO8P</t>
  </si>
  <si>
    <t xml:space="preserve">PC(34:0)</t>
  </si>
  <si>
    <t xml:space="preserve">18217</t>
  </si>
  <si>
    <t xml:space="preserve">HMDB0007878</t>
  </si>
  <si>
    <t xml:space="preserve">59328</t>
  </si>
  <si>
    <t xml:space="preserve">LMGP01010505</t>
  </si>
  <si>
    <t xml:space="preserve">24778633</t>
  </si>
  <si>
    <t xml:space="preserve">[C@](COP(=O)([O-])OCC[N+](C)(C)C)([H])(OC(CCCCCCCCCCCCCCCCCCC)=O)COC(CCCCCCCCCCCCC)=O</t>
  </si>
  <si>
    <t xml:space="preserve">VELOKQJUJJVGMB-RRHRGVEJSA-N</t>
  </si>
  <si>
    <t xml:space="preserve">786.17841</t>
  </si>
  <si>
    <t xml:space="preserve">C37H38F3N3O8</t>
  </si>
  <si>
    <t xml:space="preserve">Zalypsis</t>
  </si>
  <si>
    <t xml:space="preserve">213195</t>
  </si>
  <si>
    <t xml:space="preserve">HMDB0259984</t>
  </si>
  <si>
    <t xml:space="preserve">COC1=C(C)C=C2CC3C(O)N4C(CC5=C(C4CNC(=O)C=CC4=CC(=CC=C4)C(F)(F)F)C4=C(OCO4)C(C)=C5OC(C)=O)C(N3C)C2=C1O</t>
  </si>
  <si>
    <t xml:space="preserve">VPAHZSUNBOYNQY-UHFFFAOYSA-N</t>
  </si>
  <si>
    <t xml:space="preserve">Benzazocines</t>
  </si>
  <si>
    <t xml:space="preserve">787.59596</t>
  </si>
  <si>
    <t xml:space="preserve">C25H42O2</t>
  </si>
  <si>
    <t xml:space="preserve">5-(10-Nonadecenyl)-1,3-benzenediol; 5-(12-Nonadecenyl)-1,3-benzenediol; 5-(14-Nonadecenyl)-1,3-benzenediol</t>
  </si>
  <si>
    <t xml:space="preserve">63105; 63106; 56164</t>
  </si>
  <si>
    <t xml:space="preserve">HMDB0039865; HMDB0039866; HMDB0031677</t>
  </si>
  <si>
    <t xml:space="preserve">94411; 94412; 87855</t>
  </si>
  <si>
    <t xml:space="preserve">; ; 172605</t>
  </si>
  <si>
    <t xml:space="preserve">131752736; 102403771; 101540825</t>
  </si>
  <si>
    <t xml:space="preserve">; 189562-06-9; 187523-39-3</t>
  </si>
  <si>
    <t xml:space="preserve">CCCCCCCC\C=C\CCCCCCCCCC1=CC(O)=CC(O)=C1; CCCCCC\C=C\CCCCCCCCCCCC1=CC(O)=CC(O)=C1; CCCC\C=C\CCCCCCCCCCCCCC1=CC(O)=CC(O)=C1</t>
  </si>
  <si>
    <t xml:space="preserve">KQGVEZGOGSMUMX-MDZDMXLPSA-N; IFIOXWORGZJDKV-BQYQJAHWSA-N; KEAYVGHLOUCYNN-AATRIKPKSA-N</t>
  </si>
  <si>
    <t xml:space="preserve">Phenols; Phenols; Phenols</t>
  </si>
  <si>
    <t xml:space="preserve">Benzenediols; Benzenediols; Benzenediols</t>
  </si>
  <si>
    <t xml:space="preserve">789.07647</t>
  </si>
  <si>
    <t xml:space="preserve">C17H12F3NO4S</t>
  </si>
  <si>
    <t xml:space="preserve">3-{[(1s)-2,2-Difluoro-1-Hydroxy-7-(Methylsulfonyl)-2,3-Dihydro-1h-Inden-4-Yl]oxy}-5-Fluorobenzonitrile</t>
  </si>
  <si>
    <t xml:space="preserve">210689</t>
  </si>
  <si>
    <t xml:space="preserve">HMDB0256905</t>
  </si>
  <si>
    <t xml:space="preserve">117942590</t>
  </si>
  <si>
    <t xml:space="preserve">CS(=O)(=O)C1=C2C(O)C(F)(F)CC2=C(OC2=CC(F)=CC(=C2)C#N)C=C1</t>
  </si>
  <si>
    <t xml:space="preserve">ONBSHRSJOPSEGS-UHFFFAOYSA-N</t>
  </si>
  <si>
    <t xml:space="preserve">790.55468</t>
  </si>
  <si>
    <t xml:space="preserve">C42H80NO10P</t>
  </si>
  <si>
    <t xml:space="preserve">PS(36:1)</t>
  </si>
  <si>
    <t xml:space="preserve">21290</t>
  </si>
  <si>
    <t xml:space="preserve">HMDB0010163</t>
  </si>
  <si>
    <t xml:space="preserve">3888</t>
  </si>
  <si>
    <t xml:space="preserve">LMGP03010025</t>
  </si>
  <si>
    <t xml:space="preserve">79096</t>
  </si>
  <si>
    <t xml:space="preserve">9547087</t>
  </si>
  <si>
    <t xml:space="preserve">124262-93-7</t>
  </si>
  <si>
    <t xml:space="preserve">C(O)(=O)[C@@]([H])(N)COP(OC[C@]([H])(OC(CCCCCCC/C=C\CCCCCCCC)=O)COC(CCCCCCCCCCCCCCCCC)=O)(=O)O</t>
  </si>
  <si>
    <t xml:space="preserve">AJFWREUFUPEYII-PAHWMLEVSA-N</t>
  </si>
  <si>
    <t xml:space="preserve">792.56524</t>
  </si>
  <si>
    <t xml:space="preserve">C44H84NO6P</t>
  </si>
  <si>
    <t xml:space="preserve">PC(P-36:2)</t>
  </si>
  <si>
    <t xml:space="preserve">51251</t>
  </si>
  <si>
    <t xml:space="preserve">HMDB0011300</t>
  </si>
  <si>
    <t xml:space="preserve">131801673</t>
  </si>
  <si>
    <t xml:space="preserve">[H][C@@](CO\C=C/CCCCCCCC\C=C/CCCCCC)(COP([O-])(=O)OCC[N+](C)(C)C)O\C=C/CCCCCCCC\C=C/CCCCCC</t>
  </si>
  <si>
    <t xml:space="preserve">LTQBTADUGKSCOZ-WRCNLVTNSA-N</t>
  </si>
  <si>
    <t xml:space="preserve">793.54506</t>
  </si>
  <si>
    <t xml:space="preserve">C23H39NO3</t>
  </si>
  <si>
    <t xml:space="preserve">Arachidonoyl Serinol</t>
  </si>
  <si>
    <t xml:space="preserve">8649</t>
  </si>
  <si>
    <t xml:space="preserve">HMDB0013650</t>
  </si>
  <si>
    <t xml:space="preserve">46555</t>
  </si>
  <si>
    <t xml:space="preserve">LMFA08020072</t>
  </si>
  <si>
    <t xml:space="preserve">332319</t>
  </si>
  <si>
    <t xml:space="preserve">10595770</t>
  </si>
  <si>
    <t xml:space="preserve">183718-70-9</t>
  </si>
  <si>
    <t xml:space="preserve">C(NC(CO)CO)(=O)CCC/C=C\C/C=C\C/C=C\C/C=C\CCCCC</t>
  </si>
  <si>
    <t xml:space="preserve">QHELXIATGZYOIB-DOFZRALJSA-N</t>
  </si>
  <si>
    <t xml:space="preserve">Fatty amides</t>
  </si>
  <si>
    <t xml:space="preserve">795.07487</t>
  </si>
  <si>
    <t xml:space="preserve">C12H14N2O12</t>
  </si>
  <si>
    <t xml:space="preserve">Edta oxalate</t>
  </si>
  <si>
    <t xml:space="preserve">206303</t>
  </si>
  <si>
    <t xml:space="preserve">HMDB0251707</t>
  </si>
  <si>
    <t xml:space="preserve">129705234</t>
  </si>
  <si>
    <t xml:space="preserve">OC(=O)CN(CCN1CC(=O)OOC(=O)C(=O)OOC(=O)C1)CC(O)=O</t>
  </si>
  <si>
    <t xml:space="preserve">BROHKIGYEKQUMX-UHFFFAOYSA-N</t>
  </si>
  <si>
    <t xml:space="preserve">795.51508</t>
  </si>
  <si>
    <t xml:space="preserve">C44H75O10P</t>
  </si>
  <si>
    <t xml:space="preserve">PG(38:6)</t>
  </si>
  <si>
    <t xml:space="preserve">22520</t>
  </si>
  <si>
    <t xml:space="preserve">HMDB0010584</t>
  </si>
  <si>
    <t xml:space="preserve">61859</t>
  </si>
  <si>
    <t xml:space="preserve">LMGP04010041</t>
  </si>
  <si>
    <t xml:space="preserve">89088</t>
  </si>
  <si>
    <t xml:space="preserve">52926307</t>
  </si>
  <si>
    <t xml:space="preserve">[H][C@](O)(CO)COP(OC[C@]([H])(OC(CC/C=C\C/C=C\C/C=C\C/C=C\C/C=C\C/C=C\CC)=O)COC(CCCCCCCCCCCCCCC)=O)(=O)O</t>
  </si>
  <si>
    <t xml:space="preserve">HUFCXYMYEWLLHT-XNTJBMDASA-N</t>
  </si>
  <si>
    <t xml:space="preserve">797.19742</t>
  </si>
  <si>
    <t xml:space="preserve">C15H20F3N3O3S</t>
  </si>
  <si>
    <t xml:space="preserve">Cyclohexanecarboxamide, N-(2-((ethylsulfonyl)amino)-5-(trifluoromethyl)-3-pyridinyl)-</t>
  </si>
  <si>
    <t xml:space="preserve">212772</t>
  </si>
  <si>
    <t xml:space="preserve">HMDB0259408</t>
  </si>
  <si>
    <t xml:space="preserve">426403</t>
  </si>
  <si>
    <t xml:space="preserve">154529</t>
  </si>
  <si>
    <t xml:space="preserve">CCS(=O)(=O)NC1=C(NC(=O)C2CCCCC2)C=C(C=N1)C(F)(F)F</t>
  </si>
  <si>
    <t xml:space="preserve">TUWCZRFHNIOVTC-UHFFFAOYSA-N</t>
  </si>
  <si>
    <t xml:space="preserve">N-arylamides</t>
  </si>
  <si>
    <t xml:space="preserve">805.12611</t>
  </si>
  <si>
    <t xml:space="preserve">C19H14O10</t>
  </si>
  <si>
    <t xml:space="preserve">Shoyuflavone B</t>
  </si>
  <si>
    <t xml:space="preserve">58584</t>
  </si>
  <si>
    <t xml:space="preserve">HMDB0034589</t>
  </si>
  <si>
    <t xml:space="preserve">90052</t>
  </si>
  <si>
    <t xml:space="preserve">172641</t>
  </si>
  <si>
    <t xml:space="preserve">10001145</t>
  </si>
  <si>
    <t xml:space="preserve">190712-88-0</t>
  </si>
  <si>
    <t xml:space="preserve">OC(C(OC1=CC(O)=C2C(OC=C(C2=O)C2=CC=C(O)C=C2)=C1)C(O)=O)C(O)=O</t>
  </si>
  <si>
    <t xml:space="preserve">YZECNQRIFYQRPI-UHFFFAOYSA-N</t>
  </si>
  <si>
    <t xml:space="preserve">805.55663</t>
  </si>
  <si>
    <t xml:space="preserve">C25H38O4</t>
  </si>
  <si>
    <t xml:space="preserve">7b-Hydroxy-3-oxo-5b-cholanoic acid; Androstenediol dipropionate; MG(22:6)</t>
  </si>
  <si>
    <t xml:space="preserve">47081; 204246; 10444</t>
  </si>
  <si>
    <t xml:space="preserve">HMDB0000541; HMDB0249268; HMDB0011557</t>
  </si>
  <si>
    <t xml:space="preserve">5526; ; 62340</t>
  </si>
  <si>
    <t xml:space="preserve">; ; LMGL01010027</t>
  </si>
  <si>
    <t xml:space="preserve">172644; ; </t>
  </si>
  <si>
    <t xml:space="preserve">22833531; 546829; 46896303</t>
  </si>
  <si>
    <t xml:space="preserve">77060-26-5; ; </t>
  </si>
  <si>
    <t xml:space="preserve">[H][C@@]12CC[C@H]([C@H](C)CCC(=O)OC)[C@@]1(C)CC[C@@]1([H])[C@@]2([H])C(=O)CC2CC(=O)CC[C@]12C; CCC(=O)OC1CCC2C3CC=C4CC(CCC4(C)C3CCC12C)OC(=O)CC; OC[C@]([H])(OC(CC/C=C\C/C=C\C/C=C\C/C=C\C/C=C\C/C=C\CC)=O)CO</t>
  </si>
  <si>
    <t xml:space="preserve">UZRRNRRCPZZPNY-ZECRIGHZSA-N; ZDDFOEZPFDWEQS-UHFFFAOYSA-N; NHNGEAQTTQPSCX-KUBAVDMBSA-N</t>
  </si>
  <si>
    <t xml:space="preserve">Steroids and steroid derivatives; Steroids and steroid derivatives; Glycerolipids</t>
  </si>
  <si>
    <t xml:space="preserve">Bile acids, alcohols and derivatives; Steroid esters; Monoradylglycerols</t>
  </si>
  <si>
    <t xml:space="preserve">808.56922</t>
  </si>
  <si>
    <t xml:space="preserve">C44H84NO7P</t>
  </si>
  <si>
    <t xml:space="preserve">PC(18:2)</t>
  </si>
  <si>
    <t xml:space="preserve">49611</t>
  </si>
  <si>
    <t xml:space="preserve">HMDB0008095</t>
  </si>
  <si>
    <t xml:space="preserve">59542</t>
  </si>
  <si>
    <t xml:space="preserve">89706</t>
  </si>
  <si>
    <t xml:space="preserve">53478761</t>
  </si>
  <si>
    <t xml:space="preserve">CCCCCC\C=C/CCCCCCCCCC(=O)OCC(COP([O-])(=O)OCC[N+](C)(C)C)O\C=C/CCCCCCCC\C=C/CCCCCC</t>
  </si>
  <si>
    <t xml:space="preserve">STUDWKIRLPDNHV-RIWLRQSZSA-N</t>
  </si>
  <si>
    <t xml:space="preserve">809.44409</t>
  </si>
  <si>
    <t xml:space="preserve">C25H31NO3</t>
  </si>
  <si>
    <t xml:space="preserve">Acidissiminol</t>
  </si>
  <si>
    <t xml:space="preserve">61985</t>
  </si>
  <si>
    <t xml:space="preserve">HMDB0038618</t>
  </si>
  <si>
    <t xml:space="preserve">93279</t>
  </si>
  <si>
    <t xml:space="preserve">14506785</t>
  </si>
  <si>
    <t xml:space="preserve">126006-00-6</t>
  </si>
  <si>
    <t xml:space="preserve">CC(C)=CCC(O)C(\C)=C\COC1=CC=C(CCNC(=O)C2=CC=CC=C2)C=C1</t>
  </si>
  <si>
    <t xml:space="preserve">FDTDKBQVKSHHIE-CAPFRKAQSA-N</t>
  </si>
  <si>
    <t xml:space="preserve">809.56900</t>
  </si>
  <si>
    <t xml:space="preserve">C46H83O10P</t>
  </si>
  <si>
    <t xml:space="preserve">PG(40:4)</t>
  </si>
  <si>
    <t xml:space="preserve">23361</t>
  </si>
  <si>
    <t xml:space="preserve">HMDB0010611</t>
  </si>
  <si>
    <t xml:space="preserve">61883</t>
  </si>
  <si>
    <t xml:space="preserve">LMGP04010883</t>
  </si>
  <si>
    <t xml:space="preserve">89278</t>
  </si>
  <si>
    <t xml:space="preserve">52927148</t>
  </si>
  <si>
    <t xml:space="preserve">[H][C@](O)(CO)COP(OC[C@]([H])(OC(CCCCC/C=C\C/C=C\C/C=C\C/C=C\CCCCC)=O)COC(CCCCCCCCCCCCCCCCC)=O)(=O)O</t>
  </si>
  <si>
    <t xml:space="preserve">DDDVOYJWOXYXHJ-RKHXCIBKSA-N</t>
  </si>
  <si>
    <t xml:space="preserve">810.45885</t>
  </si>
  <si>
    <t xml:space="preserve">C43H68ClNO11</t>
  </si>
  <si>
    <t xml:space="preserve">Pimecrolimus</t>
  </si>
  <si>
    <t xml:space="preserve">52715</t>
  </si>
  <si>
    <t xml:space="preserve">HMDB0014481</t>
  </si>
  <si>
    <t xml:space="preserve">85365</t>
  </si>
  <si>
    <t xml:space="preserve">17753757</t>
  </si>
  <si>
    <t xml:space="preserve">137071-32-0</t>
  </si>
  <si>
    <t xml:space="preserve">[H][C@]12O[C@](O)([C@H](C)C[C@@H]1OC)C(=O)C(=O)N1CCCC[C@@]1([H])C(=O)O[C@@H]([C@@H](C)[C@@H](O)CC(=O)[C@H](CC)\C=C(C)/C[C@H](C)C[C@@H]2OC)C(\C)=C\[C@@H]1CC[C@H](Cl)[C@@H](C1)OC</t>
  </si>
  <si>
    <t xml:space="preserve">KASDHRXLYQOAKZ-KDCWXYOMSA-N</t>
  </si>
  <si>
    <t xml:space="preserve">Macrolide lactams</t>
  </si>
  <si>
    <t xml:space="preserve">812.52080</t>
  </si>
  <si>
    <t xml:space="preserve">C42H80NO9P</t>
  </si>
  <si>
    <t xml:space="preserve">PC(34:1-O)</t>
  </si>
  <si>
    <t xml:space="preserve">239054</t>
  </si>
  <si>
    <t xml:space="preserve">HMDB0285953</t>
  </si>
  <si>
    <t xml:space="preserve">90659302</t>
  </si>
  <si>
    <t xml:space="preserve">[H][C@@](COC(=O)CCCCCCCCCCCCCCC)(COP([O-])(=O)OCC[N+](C)(C)C)OC(=O)CCCCCCC\C=C/CC1OC1CCCCC</t>
  </si>
  <si>
    <t xml:space="preserve">HZKBHRZARZUXPO-JLBYXMBLSA-N</t>
  </si>
  <si>
    <t xml:space="preserve">813.49492</t>
  </si>
  <si>
    <t xml:space="preserve">C45H76O7P2</t>
  </si>
  <si>
    <t xml:space="preserve">Solanesyl-PP</t>
  </si>
  <si>
    <t xml:space="preserve">47923</t>
  </si>
  <si>
    <t xml:space="preserve">HMDB0002367</t>
  </si>
  <si>
    <t xml:space="preserve">6649</t>
  </si>
  <si>
    <t xml:space="preserve">C17438</t>
  </si>
  <si>
    <t xml:space="preserve">21252289</t>
  </si>
  <si>
    <t xml:space="preserve">146340-00-3</t>
  </si>
  <si>
    <t xml:space="preserve">CC(C)=CCC\C(C)=C\CC\C(C)=C\CC\C(C)=C/CC\C(C)=C/CC\C(C)=C/CC\C(C)=C/CC\C(C)=C/CC\C(C)=C/COP(O)(=O)OP(O)(O)=O</t>
  </si>
  <si>
    <t xml:space="preserve">IVLBHBFTRNVIAP-HUIBRQQWSA-N</t>
  </si>
  <si>
    <t xml:space="preserve">813.64800</t>
  </si>
  <si>
    <t xml:space="preserve">C56H86O2</t>
  </si>
  <si>
    <t xml:space="preserve">b-Cryptoxanthin palmitate</t>
  </si>
  <si>
    <t xml:space="preserve">256627</t>
  </si>
  <si>
    <t xml:space="preserve">HMDB0303775</t>
  </si>
  <si>
    <t xml:space="preserve">CCCCCCCCCCCCCCCC(=O)OC1CC(C)=C(\C=C\C(\C)=C\C=C\C(\C)=C\C=C\C=C(/C)\C=C\C=C(/C)\C=C\C2=C(C)CCCC2(C)C)C(C)(C)C1</t>
  </si>
  <si>
    <t xml:space="preserve">YAOOAGLXXPOKMH-UTEGAOKCSA-N</t>
  </si>
  <si>
    <t xml:space="preserve">Tetraterpenoids</t>
  </si>
  <si>
    <t xml:space="preserve">815.19956</t>
  </si>
  <si>
    <t xml:space="preserve">C20H22ClNO4S</t>
  </si>
  <si>
    <t xml:space="preserve">Terutroban</t>
  </si>
  <si>
    <t xml:space="preserve">212291</t>
  </si>
  <si>
    <t xml:space="preserve">HMDB0258849</t>
  </si>
  <si>
    <t xml:space="preserve">CC1=C(CCC(O)=O)C2=C(CC(CC2)NS(=O)(=O)C2=CC=C(Cl)C=C2)C=C1</t>
  </si>
  <si>
    <t xml:space="preserve">HWEOXFSBSQIWSY-UHFFFAOYSA-N</t>
  </si>
  <si>
    <t xml:space="preserve">Tetralins</t>
  </si>
  <si>
    <t xml:space="preserve">815.50074</t>
  </si>
  <si>
    <t xml:space="preserve">C45H77O8P</t>
  </si>
  <si>
    <t xml:space="preserve">PA(42:6); Phosphatidate(42:6)</t>
  </si>
  <si>
    <t xml:space="preserve">25484; 25759</t>
  </si>
  <si>
    <t xml:space="preserve">HMDB0115554; HMDB0115087</t>
  </si>
  <si>
    <t xml:space="preserve">81751; 82026</t>
  </si>
  <si>
    <t xml:space="preserve">LMGP10010585; LMGP10010860</t>
  </si>
  <si>
    <t xml:space="preserve">52929178; 52929452</t>
  </si>
  <si>
    <t xml:space="preserve">[C@](COP(=O)(O)O)([H])(OC(CCCCC/C=C\C/C=C\C/C=C\C/C=C\CCCCC)=O)COC(CCCCCCCCC/C=C\C/C=C\CCCCC)=O; [C@](COP(=O)(O)O)([H])(OC(CC/C=C\C/C=C\C/C=C\C/C=C\C/C=C\C/C=C\CC)=O)COC(CCCCCCCCCCCCCCCCCCC)=O</t>
  </si>
  <si>
    <t xml:space="preserve">SEDWKTZJSXDENV-DRBQCQBHSA-N; JLEPYSYTEBZQBW-BDYNJSAGSA-N</t>
  </si>
  <si>
    <t xml:space="preserve">817.19133</t>
  </si>
  <si>
    <t xml:space="preserve">C17H19N5O4S</t>
  </si>
  <si>
    <t xml:space="preserve">Taisho</t>
  </si>
  <si>
    <t xml:space="preserve">212151</t>
  </si>
  <si>
    <t xml:space="preserve">HMDB0258681</t>
  </si>
  <si>
    <t xml:space="preserve">9930259</t>
  </si>
  <si>
    <t xml:space="preserve">CN1C(C)=C(SC1=NC(=O)C1=CC=C(C=C1)C(N)=N)C(=O)NCCC(O)=O</t>
  </si>
  <si>
    <t xml:space="preserve">FQXBJYBYAGAPFE-UHFFFAOYSA-N</t>
  </si>
  <si>
    <t xml:space="preserve">817.44326</t>
  </si>
  <si>
    <t xml:space="preserve">C45H62N4O11</t>
  </si>
  <si>
    <t xml:space="preserve">25-Desacetyl rifapentine</t>
  </si>
  <si>
    <t xml:space="preserve">201086</t>
  </si>
  <si>
    <t xml:space="preserve">HMDB0245684</t>
  </si>
  <si>
    <t xml:space="preserve">136968141</t>
  </si>
  <si>
    <t xml:space="preserve">COC1C=COC2(C)OC3=C(C2=O)C2=C(C(O)=C3C)C(O)=C(NC(=O)C(C)=CC=CC(C)C(O)C(C)C(O)C(C)C(O)C1C)C(C=NN1CCN(CC1)C1CCCC1)=C2O</t>
  </si>
  <si>
    <t xml:space="preserve">LPUNEQQTZOWCNO-UHFFFAOYSA-N</t>
  </si>
  <si>
    <t xml:space="preserve">817.52944</t>
  </si>
  <si>
    <t xml:space="preserve">C43H79O13P</t>
  </si>
  <si>
    <t xml:space="preserve">PI(34:2)</t>
  </si>
  <si>
    <t xml:space="preserve">24674</t>
  </si>
  <si>
    <t xml:space="preserve">HMDB0009784</t>
  </si>
  <si>
    <t xml:space="preserve">LMGP06010959</t>
  </si>
  <si>
    <t xml:space="preserve">73212</t>
  </si>
  <si>
    <t xml:space="preserve">46891796</t>
  </si>
  <si>
    <t xml:space="preserve">219584-66-4</t>
  </si>
  <si>
    <t xml:space="preserve">[C@]([H])(OC(CCCCCCC/C=C\C/C=C\CCCCC)=O)(COP(=O)(O)O[C@H]1[C@H](O)[C@@H](O)[C@H](O)[C@@H](O)[C@H]1O)COC(CCCCCCCCCCCCCCC)=O</t>
  </si>
  <si>
    <t xml:space="preserve">BSNJSZUDOMPYIR-CUKLWHKZSA-N</t>
  </si>
  <si>
    <t xml:space="preserve">818.10563</t>
  </si>
  <si>
    <t xml:space="preserve">C22H36N7O17P3S</t>
  </si>
  <si>
    <t xml:space="preserve">Formyl-CoA</t>
  </si>
  <si>
    <t xml:space="preserve">48097</t>
  </si>
  <si>
    <t xml:space="preserve">HMDB0003419</t>
  </si>
  <si>
    <t xml:space="preserve">C00798</t>
  </si>
  <si>
    <t xml:space="preserve">15522</t>
  </si>
  <si>
    <t xml:space="preserve">439313</t>
  </si>
  <si>
    <t xml:space="preserve">13131-49-2</t>
  </si>
  <si>
    <t xml:space="preserve">CC(C)(COP(O)(=O)OP(O)(=O)OC[C@H]1O[C@H]([C@H](O)[C@@H]1OP(O)(O)=O)N1C=NC2=C1N=CN=C2N)C(O)C(=O)NCCC(=O)NCCSC=O</t>
  </si>
  <si>
    <t xml:space="preserve">SXMOKYXNAPLNCW-BWGWEBPHSA-N</t>
  </si>
  <si>
    <t xml:space="preserve">818.51406</t>
  </si>
  <si>
    <t xml:space="preserve">C44H78NO8P</t>
  </si>
  <si>
    <t xml:space="preserve">MMPE(38:5); DMPE(37:5)</t>
  </si>
  <si>
    <t xml:space="preserve">133159; 134038</t>
  </si>
  <si>
    <t xml:space="preserve">HMDB0113056; HMDB0113935</t>
  </si>
  <si>
    <t xml:space="preserve">131820171; 131821045</t>
  </si>
  <si>
    <t xml:space="preserve">[H]C(COC(=O)CCCCCCCCCCCCCCC)(COP(O)(=O)OCCNC)OC(=O)CC\C=C/C\C=C/C\C=C/C\C=C/C\C=C/CCCCC; [H]C(COC(=O)CCCCCCCCCCCCCC)(COP(O)(=O)OCCN(C)C)OC(=O)CC\C=C/C\C=C/C\C=C/C\C=C/C\C=C/CCCCC</t>
  </si>
  <si>
    <t xml:space="preserve">BQYSFFVQHVEQKA-WWNHDLEVSA-N; DVVABFYQJDOWQT-NJSXSMRBSA-N</t>
  </si>
  <si>
    <t xml:space="preserve">Glycerophosphoethanolamines; Glycerophosphoethanolamines</t>
  </si>
  <si>
    <t xml:space="preserve">819.51658</t>
  </si>
  <si>
    <t xml:space="preserve">C53H72O8</t>
  </si>
  <si>
    <t xml:space="preserve">Amitenone</t>
  </si>
  <si>
    <t xml:space="preserve">54481</t>
  </si>
  <si>
    <t xml:space="preserve">HMDB0029550</t>
  </si>
  <si>
    <t xml:space="preserve">86333</t>
  </si>
  <si>
    <t xml:space="preserve">12306042</t>
  </si>
  <si>
    <t xml:space="preserve">21682-47-3</t>
  </si>
  <si>
    <t xml:space="preserve">CC(C)=CCC\C(C)=C\CC\C(C)=C\CC\C(C)=C\CC1=C(O)C(=O)C(CC2=C(O)C(=O)C(C\C=C(/C)CC\C=C(/C)CC\C=C(/C)CCC=C(C)C)=C(O)C2=O)=C(O)C1=O</t>
  </si>
  <si>
    <t xml:space="preserve">LJHHBOPEDAEYGJ-JULFZRGUSA-N</t>
  </si>
  <si>
    <t xml:space="preserve">820.52581</t>
  </si>
  <si>
    <t xml:space="preserve">C45H78NO7P</t>
  </si>
  <si>
    <t xml:space="preserve">PE(22:6)</t>
  </si>
  <si>
    <t xml:space="preserve">50318</t>
  </si>
  <si>
    <t xml:space="preserve">HMDB0009644</t>
  </si>
  <si>
    <t xml:space="preserve">61033</t>
  </si>
  <si>
    <t xml:space="preserve">53479940</t>
  </si>
  <si>
    <t xml:space="preserve">[H][C@@](COC(=O)CC\C=C/C\C=C/C\C=C/C\C=C/C\C=C/CCCCC)(COP(O)(=O)OCCN)O\C=C/CCCCCCCC\C=C/CCCCCC</t>
  </si>
  <si>
    <t xml:space="preserve">CDUOVOWUHCCKIY-RCWWZEBWSA-N</t>
  </si>
  <si>
    <t xml:space="preserve">822.53664</t>
  </si>
  <si>
    <t xml:space="preserve">C44H82NO8P</t>
  </si>
  <si>
    <t xml:space="preserve">PC(36:3)</t>
  </si>
  <si>
    <t xml:space="preserve">18665</t>
  </si>
  <si>
    <t xml:space="preserve">HMDB0007921</t>
  </si>
  <si>
    <t xml:space="preserve">59371</t>
  </si>
  <si>
    <t xml:space="preserve">LMGP01011406</t>
  </si>
  <si>
    <t xml:space="preserve">52922294</t>
  </si>
  <si>
    <t xml:space="preserve">[C@](COP(=O)([O-])OCC[N+](C)(C)C)([H])(OC(CCCCCCCCCCC/C=C\C/C=C\CCCCC)=O)COC(CCCCCCC/C=C\CCCC)=O</t>
  </si>
  <si>
    <t xml:space="preserve">LMYYUVAVNWPEPG-GXAHKNHCSA-N</t>
  </si>
  <si>
    <t xml:space="preserve">824.54718</t>
  </si>
  <si>
    <t xml:space="preserve">C45H79NO10P</t>
  </si>
  <si>
    <t xml:space="preserve">PC(DiMe(9,3)/MonoMe(11,3)); PC(DiMe(9,3)/MonoMe(9,5)); PC(MonoMe(11,3)/DiMe(9,3))</t>
  </si>
  <si>
    <t xml:space="preserve">83032; 83035; 83048</t>
  </si>
  <si>
    <t xml:space="preserve">HMDB0061422; HMDB0061425; HMDB0061438</t>
  </si>
  <si>
    <t xml:space="preserve">[H]C1=C(CCC)OC(CCCCCCCCCCC(=O)OC(COC(=O)CCCCCCCCC2=C(C)C(C)=C(CCC)O2)COP(O)(=O)OCC[N+](C)(C)C)=C1C; [H]C1=C(CCCCC)OC(CCCCCCCCC(=O)OC(COC(=O)CCCCCCCCC2=C(C)C(C)=C(CCC)O2)COP(O)(=O)OCC[N+](C)(C)C)=C1C; [H]C1=C(CCC)OC(CCCCCCCCCCC(=O)OCC(COP(O)(=O)OCC[N+](C)(C)C)OC(=O)CCCCCCCCC2=C(C)C(C)=C(CCC)O2)=C1C</t>
  </si>
  <si>
    <t xml:space="preserve">YJDIFXDKPBJXIR-UHFFFAOYSA-O; AGHFPRCTCDCWRH-UHFFFAOYSA-O; GBCRPOWISPIBEW-UHFFFAOYSA-O</t>
  </si>
  <si>
    <t xml:space="preserve">Glycerophosphocholines; Glycerophosphocholines; Glycerophosphocholines</t>
  </si>
  <si>
    <t xml:space="preserve">825.55739</t>
  </si>
  <si>
    <t xml:space="preserve">C46H81O10P</t>
  </si>
  <si>
    <t xml:space="preserve">PG(40:5)</t>
  </si>
  <si>
    <t xml:space="preserve">51096</t>
  </si>
  <si>
    <t xml:space="preserve">HMDB0010612</t>
  </si>
  <si>
    <t xml:space="preserve">61884</t>
  </si>
  <si>
    <t xml:space="preserve">89277</t>
  </si>
  <si>
    <t xml:space="preserve">53480612</t>
  </si>
  <si>
    <t xml:space="preserve">[H][C@](O)(CO)COP(O)(=O)OC[C@@]([H])(COC(=O)CCCCCCCCCCCCCCCCC)OC(=O)CC\C=C/C\C=C/C\C=C/C\C=C/C\C=C/CCCCC</t>
  </si>
  <si>
    <t xml:space="preserve">BPQUVZVCLXWAQN-NITOSIMZSA-N</t>
  </si>
  <si>
    <t xml:space="preserve">830.98474</t>
  </si>
  <si>
    <t xml:space="preserve">C12H19Cl3O8</t>
  </si>
  <si>
    <t xml:space="preserve">Sucralose</t>
  </si>
  <si>
    <t xml:space="preserve">56072</t>
  </si>
  <si>
    <t xml:space="preserve">HMDB0031554</t>
  </si>
  <si>
    <t xml:space="preserve">C12285</t>
  </si>
  <si>
    <t xml:space="preserve">5066234</t>
  </si>
  <si>
    <t xml:space="preserve">56038-13-2</t>
  </si>
  <si>
    <t xml:space="preserve">OCC1OC(OC2(CCl)OC(CCl)C(O)C2O)C(O)C(O)C1Cl</t>
  </si>
  <si>
    <t xml:space="preserve">BAQAVOSOZGMPRM-UHFFFAOYSA-N</t>
  </si>
  <si>
    <t xml:space="preserve">832.46014</t>
  </si>
  <si>
    <t xml:space="preserve">C43H72NO10P</t>
  </si>
  <si>
    <t xml:space="preserve">PS(37:6)</t>
  </si>
  <si>
    <t xml:space="preserve">21421</t>
  </si>
  <si>
    <t xml:space="preserve">HMDB0112339</t>
  </si>
  <si>
    <t xml:space="preserve">77824</t>
  </si>
  <si>
    <t xml:space="preserve">LMGP03010160</t>
  </si>
  <si>
    <t xml:space="preserve">52925270</t>
  </si>
  <si>
    <t xml:space="preserve">C(O)(=O)[C@@]([H])(N)COP(OC[C@]([H])(OC(CC/C=C\C/C=C\C/C=C\C/C=C\C/C=C\C/C=C\CC)=O)COC(CCCCCCCCCCCCCC)=O)(=O)O</t>
  </si>
  <si>
    <t xml:space="preserve">MFRBFQDOGPHKJC-MCYISNOQSA-N</t>
  </si>
  <si>
    <t xml:space="preserve">833.12136</t>
  </si>
  <si>
    <t xml:space="preserve">C19H17Cl2N3O3</t>
  </si>
  <si>
    <t xml:space="preserve">Difenoconazole</t>
  </si>
  <si>
    <t xml:space="preserve">205898</t>
  </si>
  <si>
    <t xml:space="preserve">HMDB0251255</t>
  </si>
  <si>
    <t xml:space="preserve">72265</t>
  </si>
  <si>
    <t xml:space="preserve">C18459</t>
  </si>
  <si>
    <t xml:space="preserve">81760</t>
  </si>
  <si>
    <t xml:space="preserve">86173</t>
  </si>
  <si>
    <t xml:space="preserve">119446-68-3</t>
  </si>
  <si>
    <t xml:space="preserve">CC1COC(CN2C=NC=N2)(O1)C1=C(Cl)C=C(OC2=CC=C(Cl)C=C2)C=C1</t>
  </si>
  <si>
    <t xml:space="preserve">BQYJATMQXGBDHF-UHFFFAOYSA-N</t>
  </si>
  <si>
    <t xml:space="preserve">833.58517</t>
  </si>
  <si>
    <t xml:space="preserve">C54H82O4</t>
  </si>
  <si>
    <t xml:space="preserve">Coenzyme Q9</t>
  </si>
  <si>
    <t xml:space="preserve">37427</t>
  </si>
  <si>
    <t xml:space="preserve">HMDB0006707</t>
  </si>
  <si>
    <t xml:space="preserve">3695</t>
  </si>
  <si>
    <t xml:space="preserve">LMPR02010004</t>
  </si>
  <si>
    <t xml:space="preserve">C01967</t>
  </si>
  <si>
    <t xml:space="preserve">18160</t>
  </si>
  <si>
    <t xml:space="preserve">5280473</t>
  </si>
  <si>
    <t xml:space="preserve">303-97-9</t>
  </si>
  <si>
    <t xml:space="preserve">C1(OC)C(=O)C(C)=C(C/C=C(\C)/CC/C=C(\C)/CC/C=C(\C)/CC/C=C(\C)/CC/C=C(\C)/CC/C=C(\C)/CC/C=C(\C)/CC/C=C(\C)/CC/C=C(\C)/C)C(=O)C=1OC</t>
  </si>
  <si>
    <t xml:space="preserve">UUGXJSBPSRROMU-WJNLUYJISA-N</t>
  </si>
  <si>
    <t xml:space="preserve">834.58524</t>
  </si>
  <si>
    <t xml:space="preserve">C10H6Cl8</t>
  </si>
  <si>
    <t xml:space="preserve">beta-Chlordane</t>
  </si>
  <si>
    <t xml:space="preserve">204121</t>
  </si>
  <si>
    <t xml:space="preserve">HMDB0249113</t>
  </si>
  <si>
    <t xml:space="preserve">69855</t>
  </si>
  <si>
    <t xml:space="preserve">C14176</t>
  </si>
  <si>
    <t xml:space="preserve">34623</t>
  </si>
  <si>
    <t xml:space="preserve">5993</t>
  </si>
  <si>
    <t xml:space="preserve">57-74-9</t>
  </si>
  <si>
    <t xml:space="preserve">ClC1CC2C(C1Cl)C1(Cl)C(Cl)=C(Cl)C2(Cl)C1(Cl)Cl</t>
  </si>
  <si>
    <t xml:space="preserve">BIWJNBZANLAXMG-UHFFFAOYSA-N</t>
  </si>
  <si>
    <t xml:space="preserve">Vinyl chlorides</t>
  </si>
  <si>
    <t xml:space="preserve">836.52908</t>
  </si>
  <si>
    <t xml:space="preserve">C49H74NO8P</t>
  </si>
  <si>
    <t xml:space="preserve">PE(44:12)</t>
  </si>
  <si>
    <t xml:space="preserve">19953</t>
  </si>
  <si>
    <t xml:space="preserve">HMDB0009705</t>
  </si>
  <si>
    <t xml:space="preserve">40492</t>
  </si>
  <si>
    <t xml:space="preserve">LMGP02010093</t>
  </si>
  <si>
    <t xml:space="preserve">84538</t>
  </si>
  <si>
    <t xml:space="preserve">9546797</t>
  </si>
  <si>
    <t xml:space="preserve">[C@](COP(=O)(O)OCCN)([H])(OC(CC/C=C\C/C=C\C/C=C\C/C=C\C/C=C\C/C=C\CC)=O)COC(CC/C=C\C/C=C\C/C=C\C/C=C\C/C=C\C/C=C\CC)=O</t>
  </si>
  <si>
    <t xml:space="preserve">RBDNSJMXMWTPCS-NYUVKXDYSA-N</t>
  </si>
  <si>
    <t xml:space="preserve">844.51149</t>
  </si>
  <si>
    <t xml:space="preserve">C43H75NO16</t>
  </si>
  <si>
    <t xml:space="preserve">Erythromycin ethyl succinate</t>
  </si>
  <si>
    <t xml:space="preserve">206483</t>
  </si>
  <si>
    <t xml:space="preserve">HMDB0251936</t>
  </si>
  <si>
    <t xml:space="preserve">94382</t>
  </si>
  <si>
    <t xml:space="preserve">3256</t>
  </si>
  <si>
    <t xml:space="preserve">CCOC(=O)CCC(=O)OC1C(OC2C(C)C(OC3CC(C)(OC)C(O)C(C)O3)C(C)C(=O)OC(CC)C(C)(O)C(O)C(C)C(=O)C(C)CC2(C)O)OC(C)CC1N(C)C</t>
  </si>
  <si>
    <t xml:space="preserve">NSYZCCDSJNWWJL-UHFFFAOYSA-N</t>
  </si>
  <si>
    <t xml:space="preserve">849.45909</t>
  </si>
  <si>
    <t xml:space="preserve">C19H37O8P</t>
  </si>
  <si>
    <t xml:space="preserve">PA(16:0)</t>
  </si>
  <si>
    <t xml:space="preserve">24924</t>
  </si>
  <si>
    <t xml:space="preserve">HMDB0114771</t>
  </si>
  <si>
    <t xml:space="preserve">40919</t>
  </si>
  <si>
    <t xml:space="preserve">LMGP10010021</t>
  </si>
  <si>
    <t xml:space="preserve">79075</t>
  </si>
  <si>
    <t xml:space="preserve">128167</t>
  </si>
  <si>
    <t xml:space="preserve">[C@](COP(=O)(O)O)([H])(OC(CCCCCCC)=O)COC(CCCCCCC)=O</t>
  </si>
  <si>
    <t xml:space="preserve">XYSBQYUENLDGMI-QGZVFWFLSA-N</t>
  </si>
  <si>
    <t xml:space="preserve">853.11843</t>
  </si>
  <si>
    <t xml:space="preserve">C19H17N3O4S2</t>
  </si>
  <si>
    <t xml:space="preserve">Floridin</t>
  </si>
  <si>
    <t xml:space="preserve">256487</t>
  </si>
  <si>
    <t xml:space="preserve">HMDB0303624</t>
  </si>
  <si>
    <t xml:space="preserve">44138</t>
  </si>
  <si>
    <t xml:space="preserve">C11754</t>
  </si>
  <si>
    <t xml:space="preserve">3537</t>
  </si>
  <si>
    <t xml:space="preserve">5773</t>
  </si>
  <si>
    <t xml:space="preserve">50-59-9</t>
  </si>
  <si>
    <t xml:space="preserve">[H][C@]12SCC(C[N+]3=CC=CC=C3)=C(N1C(=O)[C@@]2([H])N=C(O)CC1=CC=CS1)C([O-])=O</t>
  </si>
  <si>
    <t xml:space="preserve">CZTQZXZIADLWOZ-CRAIPNDOSA-N</t>
  </si>
  <si>
    <t xml:space="preserve">853.47601</t>
  </si>
  <si>
    <t xml:space="preserve">C28H30N2O2</t>
  </si>
  <si>
    <t xml:space="preserve">Darifenacin</t>
  </si>
  <si>
    <t xml:space="preserve">HMDB0014639</t>
  </si>
  <si>
    <t xml:space="preserve">85389</t>
  </si>
  <si>
    <t xml:space="preserve">391960</t>
  </si>
  <si>
    <t xml:space="preserve">444031</t>
  </si>
  <si>
    <t xml:space="preserve">133099-04-4</t>
  </si>
  <si>
    <t xml:space="preserve">NC(=O)C([C@@H]1CCN(CCC2=CC3=C(OCC3)C=C2)C1)(C1=CC=CC=C1)C1=CC=CC=C1</t>
  </si>
  <si>
    <t xml:space="preserve">HXGBXQDTNZMWGS-RUZDIDTESA-N</t>
  </si>
  <si>
    <t xml:space="preserve">855.14941</t>
  </si>
  <si>
    <t xml:space="preserve">C24H13NO7</t>
  </si>
  <si>
    <t xml:space="preserve">Fluorescein 5-maleimide</t>
  </si>
  <si>
    <t xml:space="preserve">206855</t>
  </si>
  <si>
    <t xml:space="preserve">HMDB0252363</t>
  </si>
  <si>
    <t xml:space="preserve">OC1=CC2=C(C=C1)C1(OC(=O)C3=C1C=CC(=C3)N1C(=O)C=CC1=O)C1=C(O2)C=C(O)C=C1</t>
  </si>
  <si>
    <t xml:space="preserve">AYDAHOIUHVUJHQ-UHFFFAOYSA-N</t>
  </si>
  <si>
    <t xml:space="preserve">861.13978</t>
  </si>
  <si>
    <t xml:space="preserve">C11H20N4O10P2</t>
  </si>
  <si>
    <t xml:space="preserve">CMP-2-aminoethylphosphonate</t>
  </si>
  <si>
    <t xml:space="preserve">82073</t>
  </si>
  <si>
    <t xml:space="preserve">HMDB0060067</t>
  </si>
  <si>
    <t xml:space="preserve">63350</t>
  </si>
  <si>
    <t xml:space="preserve">C05673</t>
  </si>
  <si>
    <t xml:space="preserve">3276</t>
  </si>
  <si>
    <t xml:space="preserve">440754</t>
  </si>
  <si>
    <t xml:space="preserve">NCCP(O)(=O)OP(O)(=O)OC[C@H]1O[C@H]([C@H](O)[C@@H]1O)N1C=CC(=N)N=C1O</t>
  </si>
  <si>
    <t xml:space="preserve">FBADRUOBFLBKJQ-PEBGCTIMSA-N</t>
  </si>
  <si>
    <t xml:space="preserve">862.11032</t>
  </si>
  <si>
    <t xml:space="preserve">C24H40N7O17P3S</t>
  </si>
  <si>
    <t xml:space="preserve">Propionyl-CoA</t>
  </si>
  <si>
    <t xml:space="preserve">8162</t>
  </si>
  <si>
    <t xml:space="preserve">HMDB0001275</t>
  </si>
  <si>
    <t xml:space="preserve">LMFA07050364</t>
  </si>
  <si>
    <t xml:space="preserve">C00100</t>
  </si>
  <si>
    <t xml:space="preserve">15539</t>
  </si>
  <si>
    <t xml:space="preserve">92753</t>
  </si>
  <si>
    <t xml:space="preserve">317-66-8</t>
  </si>
  <si>
    <t xml:space="preserve">[C@@H]1([C@H](O)[C@H](OP(=O)(O)O)[C@@H](COP(O)(=O)OP(O)(=O)OCC(C)([C@@H](O)C(=O)NCCC(=O)NCCSC(=O)CC)C)O1)N1C=NC2C(N)=NC=NC1=2</t>
  </si>
  <si>
    <t xml:space="preserve">QAQREVBBADEHPA-IEXPHMLFSA-N</t>
  </si>
  <si>
    <t xml:space="preserve">864.54941</t>
  </si>
  <si>
    <t xml:space="preserve">C51H78NO8P</t>
  </si>
  <si>
    <t xml:space="preserve">DMPE(44:12)</t>
  </si>
  <si>
    <t xml:space="preserve">134704</t>
  </si>
  <si>
    <t xml:space="preserve">HMDB0114601</t>
  </si>
  <si>
    <t xml:space="preserve">131821708</t>
  </si>
  <si>
    <t xml:space="preserve">[H]C(COC(=O)CC\C=C/C\C=C/C\C=C/C\C=C/C\C=C/C\C=C/CC)(COP(O)(=O)OCCN(C)C)OC(=O)CC\C=C/C\C=C/C\C=C/C\C=C/C\C=C/C\C=C/CC</t>
  </si>
  <si>
    <t xml:space="preserve">ZLEQEUYMEGTJJO-YQUFLDPUSA-N</t>
  </si>
  <si>
    <t xml:space="preserve">873.49328</t>
  </si>
  <si>
    <t xml:space="preserve">C46H74O14</t>
  </si>
  <si>
    <t xml:space="preserve">Hebevinoside XI; Hebevinoside V</t>
  </si>
  <si>
    <t xml:space="preserve">58596; 59790</t>
  </si>
  <si>
    <t xml:space="preserve">HMDB0034601; HMDB0035981</t>
  </si>
  <si>
    <t xml:space="preserve">73818333; 73818216</t>
  </si>
  <si>
    <t xml:space="preserve">101365-13-3; 101365-07-5</t>
  </si>
  <si>
    <t xml:space="preserve">COC1C=C2C(CCC(OC3OCC(O)C(O)C3O)C2(C)C)C2(C)CCC3(C)C(C(C)CCC=C(C)C)C(CC3(C)C12)OC1OC(COC(C)=O)C(OC(C)=O)C(O)C1O; COC1C=C2C(CCC(OC3OCC(OC(C)=O)C(O)C3O)C2(C)C)C2(C)CCC3(C)C(C(C)CCC=C(C)C)C(CC3(C)C12)OC1OC(COC(C)=O)C(O)C(O)C1O</t>
  </si>
  <si>
    <t xml:space="preserve">BDIZCZITXGMZCF-UHFFFAOYSA-N; AMBFYXVSRGPNHQ-UHFFFAOYSA-N</t>
  </si>
  <si>
    <t xml:space="preserve">Steroidal glycosides; Steroidal glycosides</t>
  </si>
  <si>
    <t xml:space="preserve">875.15447</t>
  </si>
  <si>
    <t xml:space="preserve">C25H43N8O17P3S</t>
  </si>
  <si>
    <t xml:space="preserve">L-3-Aminobutyryl-CoA</t>
  </si>
  <si>
    <t xml:space="preserve">51942</t>
  </si>
  <si>
    <t xml:space="preserve">HMDB0012248</t>
  </si>
  <si>
    <t xml:space="preserve">C05117</t>
  </si>
  <si>
    <t xml:space="preserve">15512</t>
  </si>
  <si>
    <t xml:space="preserve">440564</t>
  </si>
  <si>
    <t xml:space="preserve">CC(N)CC(=O)SCCNC(=O)CCNC(=O)C(O)C(C)(C)COP(O)(=O)OP(O)(=O)OC[C@H]1O[C@H]([C@H](O)[C@@H]1OP(O)(O)=O)N1C=NC2=C1N=CN=C2N</t>
  </si>
  <si>
    <t xml:space="preserve">CCSDHAPTHIKZLY-LRJFFYKASA-N</t>
  </si>
  <si>
    <t xml:space="preserve">876.48351</t>
  </si>
  <si>
    <t xml:space="preserve">C48H72NO10P</t>
  </si>
  <si>
    <t xml:space="preserve">PS(42:11)</t>
  </si>
  <si>
    <t xml:space="preserve">22117</t>
  </si>
  <si>
    <t xml:space="preserve">HMDB0112704</t>
  </si>
  <si>
    <t xml:space="preserve">78520</t>
  </si>
  <si>
    <t xml:space="preserve">LMGP03010856</t>
  </si>
  <si>
    <t xml:space="preserve">52925966</t>
  </si>
  <si>
    <t xml:space="preserve">C(O)(=O)[C@@]([H])(N)COP(OC[C@]([H])(OC(CC/C=C\C/C=C\C/C=C\C/C=C\C/C=C\C/C=C\CC)=O)COC(CCC/C=C\C/C=C\C/C=C\C/C=C\C/C=C\CC)=O)(=O)O</t>
  </si>
  <si>
    <t xml:space="preserve">FXAPNONAJBPVKA-XRPPDIEWSA-N</t>
  </si>
  <si>
    <t xml:space="preserve">876.98660</t>
  </si>
  <si>
    <t xml:space="preserve">C15H10ClF3N2O6S</t>
  </si>
  <si>
    <t xml:space="preserve">Fomesafen</t>
  </si>
  <si>
    <t xml:space="preserve">206915</t>
  </si>
  <si>
    <t xml:space="preserve">HMDB0252429</t>
  </si>
  <si>
    <t xml:space="preserve">72511</t>
  </si>
  <si>
    <t xml:space="preserve">C18736</t>
  </si>
  <si>
    <t xml:space="preserve">81925</t>
  </si>
  <si>
    <t xml:space="preserve">51556</t>
  </si>
  <si>
    <t xml:space="preserve">72178-02-0</t>
  </si>
  <si>
    <t xml:space="preserve">CS(=O)(=O)N=C(O)C1=C(C=CC(OC2=C(Cl)C=C(C=C2)C(F)(F)F)=C1)N(=O)=O</t>
  </si>
  <si>
    <t xml:space="preserve">BGZZWXTVIYUUEY-UHFFFAOYSA-N</t>
  </si>
  <si>
    <t xml:space="preserve">891.68324</t>
  </si>
  <si>
    <t xml:space="preserve">C55H96O6</t>
  </si>
  <si>
    <t xml:space="preserve">TG(52:5)</t>
  </si>
  <si>
    <t xml:space="preserve">48506</t>
  </si>
  <si>
    <t xml:space="preserve">HMDB0005380</t>
  </si>
  <si>
    <t xml:space="preserve">C00422</t>
  </si>
  <si>
    <t xml:space="preserve">9544150</t>
  </si>
  <si>
    <t xml:space="preserve">[H][C@](COC(=O)CCCCCCCCCCCCCCC)(COC(=O)CCC\C=C/C\C=C/C\C=C/C\C=C/CCCCC)OC(=O)CCCCCCC\C=C/CCCCCC</t>
  </si>
  <si>
    <t xml:space="preserve">BURBQZUNMNAKMA-RAKRAUFVSA-N</t>
  </si>
  <si>
    <t xml:space="preserve">893.70033</t>
  </si>
  <si>
    <t xml:space="preserve">C60H94O6</t>
  </si>
  <si>
    <t xml:space="preserve">TG(57:11)</t>
  </si>
  <si>
    <t xml:space="preserve">66686</t>
  </si>
  <si>
    <t xml:space="preserve">HMDB0043741</t>
  </si>
  <si>
    <t xml:space="preserve">131754860</t>
  </si>
  <si>
    <t xml:space="preserve">[H][C@](COC(=O)CCCCCCCCCCCCCC)(COC(=O)CC\C=C/C\C=C/C\C=C/C\C=C/C\C=C/C\C=C/CC)OC(=O)CCC\C=C/C\C=C/C\C=C/C\C=C/C\C=C/CC</t>
  </si>
  <si>
    <t xml:space="preserve">RGCBRGNUDYCQMJ-FWRBCQIISA-N</t>
  </si>
  <si>
    <t xml:space="preserve">894.73006</t>
  </si>
  <si>
    <t xml:space="preserve">C53H102NO8P</t>
  </si>
  <si>
    <t xml:space="preserve">PE(48:2)</t>
  </si>
  <si>
    <t xml:space="preserve">50423</t>
  </si>
  <si>
    <t xml:space="preserve">HMDB0009773</t>
  </si>
  <si>
    <t xml:space="preserve">61158</t>
  </si>
  <si>
    <t xml:space="preserve">53480045</t>
  </si>
  <si>
    <t xml:space="preserve">[H][C@@](COC(=O)CCCCCCCCCCCCC\C=C/CCCCCCCC)(COP(O)(=O)OCCN)OC(=O)CCCCCCCCCCCCC\C=C/CCCCCCCC</t>
  </si>
  <si>
    <t xml:space="preserve">REBNGRCYRVOPFC-ANJASHEISA-N</t>
  </si>
  <si>
    <t xml:space="preserve">898.50005</t>
  </si>
  <si>
    <t xml:space="preserve">C48H78NO10P</t>
  </si>
  <si>
    <t xml:space="preserve">PS(42:8)</t>
  </si>
  <si>
    <t xml:space="preserve">132826</t>
  </si>
  <si>
    <t xml:space="preserve">HMDB0112617</t>
  </si>
  <si>
    <t xml:space="preserve">131819846</t>
  </si>
  <si>
    <t xml:space="preserve">[H][C@](N)(COP(O)(=O)OC[C@@]([H])(COC(=O)CCC\C=C/C\C=C/C\C=C/CCCCCCCC)OC(=O)CC\C=C/C\C=C/C\C=C/C\C=C/C\C=C/CCCCC)C(O)=O</t>
  </si>
  <si>
    <t xml:space="preserve">XXDCPXAOJKUMHW-XSISEVJISA-N</t>
  </si>
  <si>
    <t xml:space="preserve">899.48622</t>
  </si>
  <si>
    <t xml:space="preserve">C46H76O13P2</t>
  </si>
  <si>
    <t xml:space="preserve">PGP(40:8)</t>
  </si>
  <si>
    <t xml:space="preserve">52373</t>
  </si>
  <si>
    <t xml:space="preserve">HMDB0013561</t>
  </si>
  <si>
    <t xml:space="preserve">53481879</t>
  </si>
  <si>
    <t xml:space="preserve">CCCCC\C=C/C\C=C/CCCCCCCC(=O)OC[C@]([H])(COP(=O)(O)OC[C@@]([H])(O)COP(=O)(O)O)OC(=O)CC\C=C/C\C=C/C\C=C/C\C=C/C\C=C/C\C=C/CC</t>
  </si>
  <si>
    <t xml:space="preserve">CGRGXPKCDUKBCL-KNVYJNGISA-N</t>
  </si>
  <si>
    <t xml:space="preserve">903.83170</t>
  </si>
  <si>
    <t xml:space="preserve">C58H110O6</t>
  </si>
  <si>
    <t xml:space="preserve">TG(55:1)</t>
  </si>
  <si>
    <t xml:space="preserve">65990</t>
  </si>
  <si>
    <t xml:space="preserve">HMDB0043031</t>
  </si>
  <si>
    <t xml:space="preserve">131754165</t>
  </si>
  <si>
    <t xml:space="preserve">[H][C@](COC(=O)CCCCCCCCCCCCCC)(COC(=O)CCCCCCCCCCCCC\C=C/CCCCCCCC)OC(=O)CCCCCCCCCCCCCCC</t>
  </si>
  <si>
    <t xml:space="preserve">LGLQLBQOHZYWDO-WNVKVJHASA-N</t>
  </si>
  <si>
    <t xml:space="preserve">907.56670</t>
  </si>
  <si>
    <t xml:space="preserve">C24H42O7</t>
  </si>
  <si>
    <t xml:space="preserve">Ascorbyl stearate</t>
  </si>
  <si>
    <t xml:space="preserve">7480</t>
  </si>
  <si>
    <t xml:space="preserve">HMDB0038242</t>
  </si>
  <si>
    <t xml:space="preserve">92968</t>
  </si>
  <si>
    <t xml:space="preserve">LMFA07010789</t>
  </si>
  <si>
    <t xml:space="preserve">54676866</t>
  </si>
  <si>
    <t xml:space="preserve">10605-09-1</t>
  </si>
  <si>
    <t xml:space="preserve">O(C(=O)CCCCCCCCCCCCCCCCC)CC(C1C(=C(O)C(=O)O1)O)O</t>
  </si>
  <si>
    <t xml:space="preserve">LITUBCVUXPBCGA-UHFFFAOYSA-N</t>
  </si>
  <si>
    <t xml:space="preserve">908.48907</t>
  </si>
  <si>
    <t xml:space="preserve">C42H77N3O15P2</t>
  </si>
  <si>
    <t xml:space="preserve">CDDG(P-30:0)</t>
  </si>
  <si>
    <t xml:space="preserve">135742</t>
  </si>
  <si>
    <t xml:space="preserve">HMDB0116065</t>
  </si>
  <si>
    <t xml:space="preserve">131822721</t>
  </si>
  <si>
    <t xml:space="preserve">[H][C@@](COC(=O)CCCCCCCCC(C)CC)(COP(O)(=O)OP(O)(=O)OC[C@H]1O[C@H](C(O)[C@H]1O)N1C=CC(N)=NC1=O)OC(=O)CCCCCCCCCCCCC(C)CC</t>
  </si>
  <si>
    <t xml:space="preserve">KNQUDDDEYNGRHV-CMKRPRSCSA-N</t>
  </si>
  <si>
    <t xml:space="preserve">908.57628</t>
  </si>
  <si>
    <t xml:space="preserve">C48H88NO10P</t>
  </si>
  <si>
    <t xml:space="preserve">PS(42:3)</t>
  </si>
  <si>
    <t xml:space="preserve">132758</t>
  </si>
  <si>
    <t xml:space="preserve">HMDB0112442</t>
  </si>
  <si>
    <t xml:space="preserve">131819778</t>
  </si>
  <si>
    <t xml:space="preserve">[H][C@](N)(COP(O)(=O)OC[C@@]([H])(COC(=O)CCCCCCC\C=C/C\C=C/CCCCC)OC(=O)CCCCCCCCCCCCC\C=C/CCCCCCCC)C(O)=O</t>
  </si>
  <si>
    <t xml:space="preserve">XSKGHNFZFVOGHT-MWHGRDARSA-N</t>
  </si>
  <si>
    <t xml:space="preserve">908.97722</t>
  </si>
  <si>
    <t xml:space="preserve">C20H26N8O23P4</t>
  </si>
  <si>
    <t xml:space="preserve">P1,P4-Bis(5'-xanthosyl) tetraphosphate</t>
  </si>
  <si>
    <t xml:space="preserve">48171</t>
  </si>
  <si>
    <t xml:space="preserve">HMDB0003834</t>
  </si>
  <si>
    <t xml:space="preserve">58176</t>
  </si>
  <si>
    <t xml:space="preserve">C04392</t>
  </si>
  <si>
    <t xml:space="preserve">28400</t>
  </si>
  <si>
    <t xml:space="preserve">440322</t>
  </si>
  <si>
    <t xml:space="preserve">O[C@@H]1[C@@H](COP(O)(=O)OP(O)(=O)OP(O)(=O)OP(O)(=O)OC[C@H]2O[C@H]([C@H](O)[C@@H]2O)N2C=NC3=C2NC(=O)NC3=O)O[C@H]([C@@H]1O)N1C=NC2=C1NC(=O)NC2=O</t>
  </si>
  <si>
    <t xml:space="preserve">PNTZPNDMKHCLNV-MHARETSRSA-N</t>
  </si>
  <si>
    <t xml:space="preserve">915.68454</t>
  </si>
  <si>
    <t xml:space="preserve">C57H96O6</t>
  </si>
  <si>
    <t xml:space="preserve">TG(54:7)</t>
  </si>
  <si>
    <t xml:space="preserve">48569</t>
  </si>
  <si>
    <t xml:space="preserve">HMDB0005447</t>
  </si>
  <si>
    <t xml:space="preserve">9544410</t>
  </si>
  <si>
    <t xml:space="preserve">[H][C@](COC(=O)CCCCCCC\C=C/CCCCCC)(COC(=O)CCC\C=C/C\C=C/C\C=C/C\C=C/CCCCC)OC(=O)CCCCCCC\C=C/C\C=C/CCCCC</t>
  </si>
  <si>
    <t xml:space="preserve">VUNSQJRBLNQFPQ-UJRCCFCSSA-N</t>
  </si>
  <si>
    <t xml:space="preserve">917.69925</t>
  </si>
  <si>
    <t xml:space="preserve">C28H49NOS</t>
  </si>
  <si>
    <t xml:space="preserve">N-[2,6-Di(propan-2-yl)phenyl]-2-tetradecylsulfanylacetamide</t>
  </si>
  <si>
    <t xml:space="preserve">207563</t>
  </si>
  <si>
    <t xml:space="preserve">HMDB0253189</t>
  </si>
  <si>
    <t xml:space="preserve">6426883</t>
  </si>
  <si>
    <t xml:space="preserve">CCCCCCCCCCCCCCSCC(=O)NC1=C(C=CC=C1C(C)C)C(C)C</t>
  </si>
  <si>
    <t xml:space="preserve">KRMKZDOWCOBWNU-UHFFFAOYSA-N</t>
  </si>
  <si>
    <t xml:space="preserve">918.70104</t>
  </si>
  <si>
    <t xml:space="preserve">C52H98NO8P</t>
  </si>
  <si>
    <t xml:space="preserve">PC(44:3)</t>
  </si>
  <si>
    <t xml:space="preserve">49670</t>
  </si>
  <si>
    <t xml:space="preserve">HMDB0008356</t>
  </si>
  <si>
    <t xml:space="preserve">59802</t>
  </si>
  <si>
    <t xml:space="preserve">53478933</t>
  </si>
  <si>
    <t xml:space="preserve">CCCCCCCC\C=C/CCCCCCCCCCCCCC(=O)O[C@]([H])(COC(=O)CCCCCCCCC\C=C/C\C=C/CCCCC)COP([O-])(=O)OCC[N+](C)(C)C</t>
  </si>
  <si>
    <t xml:space="preserve">NIODVPKQYQPBHO-OSGOGHEWSA-N</t>
  </si>
  <si>
    <t xml:space="preserve">919.54110</t>
  </si>
  <si>
    <t xml:space="preserve">C28H40O4</t>
  </si>
  <si>
    <t xml:space="preserve">13'-Carboxy-gamma-tocotrienol; Suillin; 2-Acetoxy-3-geranylgeranyl-1,4-dihydroxybenzene</t>
  </si>
  <si>
    <t xml:space="preserve">52043; 58389; 63880</t>
  </si>
  <si>
    <t xml:space="preserve">HMDB0012558; HMDB0034349; HMDB0040748</t>
  </si>
  <si>
    <t xml:space="preserve">; ; 95213</t>
  </si>
  <si>
    <t xml:space="preserve">139534; ; </t>
  </si>
  <si>
    <t xml:space="preserve">53481464; 131751551; 131752921</t>
  </si>
  <si>
    <t xml:space="preserve">; 103538-03-0; 126398-82-1</t>
  </si>
  <si>
    <t xml:space="preserve">C\C(CC\C=C(/C)C(O)=O)=C/CC\C(C)=C\CC[C@]1(C)CCC2=C(O1)C(C)=C(C)C(O)=C2; CC(C)=CCC\C(C)=C\CC\C(C)=C\CC\C(C)=C/CC1=C(OC(C)=O)C=CC(O)=C1O; CC(C)=CCC\C(C)=C\CC\C(C)=C\CC\C(C)=C/CC1=C(O)C=CC(O)=C1OC(C)=O</t>
  </si>
  <si>
    <t xml:space="preserve">UJMZKOBSLDXUHY-YQHRJHOASA-N; TVYGOMSIBBSIKO-DCVNSYBLSA-N; VLLSMOKWYCNDEY-DCVNSYBLSA-N</t>
  </si>
  <si>
    <t xml:space="preserve">Quinone and hydroquinone lipids; Diterpenoids; Diterpenoids</t>
  </si>
  <si>
    <t xml:space="preserve">919.71183</t>
  </si>
  <si>
    <t xml:space="preserve">C57H100O6</t>
  </si>
  <si>
    <t xml:space="preserve">TG(54:5)</t>
  </si>
  <si>
    <t xml:space="preserve">48511</t>
  </si>
  <si>
    <t xml:space="preserve">HMDB0005385</t>
  </si>
  <si>
    <t xml:space="preserve">9544319</t>
  </si>
  <si>
    <t xml:space="preserve">[H][C@](COC(=O)CCCCCCCCCCCCCCC)(COC(=O)CCC\C=C/C\C=C/C\C=C/C\C=C/CCCCC)OC(=O)CCCCCCC\C=C/CCCCCCCC</t>
  </si>
  <si>
    <t xml:space="preserve">KKABVOCYVJCRKP-LFLUISAQSA-N</t>
  </si>
  <si>
    <t xml:space="preserve">920.49957</t>
  </si>
  <si>
    <t xml:space="preserve">C47H80NO12P</t>
  </si>
  <si>
    <t xml:space="preserve">PS(DiMe(11,3)/MonoMe(11,5)); PS(DiMe(11,5)/MonoMe(11,3)); PS(DiMe(11,5)/MonoMe(9,5))</t>
  </si>
  <si>
    <t xml:space="preserve">83168; 83176; 83179</t>
  </si>
  <si>
    <t xml:space="preserve">HMDB0061558; HMDB0061566; HMDB0061569</t>
  </si>
  <si>
    <t xml:space="preserve">CCCCCC1=CC(C)=C(CCCCCCCCCCC(=O)OC(COC(=O)CCCCCCCCCCC2=C(C)C(C)=C(CCC)O2)COP(O)(=O)OCC(N)C(O)=O)O1; CCCCCC1=C(C)C(C)=C(CCCCCCCCCCC(=O)OCC(COP(O)(=O)OCC(N)C(O)=O)OC(=O)CCCCCCCCCCC2=C(C)C=C(CCC)O2)O1; CCCCCC1=CC(C)=C(CCCCCCCCC(=O)OC(COC(=O)CCCCCCCCCCC2=C(C)C(C)=C(CCCCC)O2)COP(O)(=O)OCC(N)C(O)=O)O1</t>
  </si>
  <si>
    <t xml:space="preserve">RRKUINPIOUMQGR-UHFFFAOYSA-N; RRAYFVZXQUJIPM-UHFFFAOYSA-N; FDVDPNLOTWQGOH-UHFFFAOYSA-N</t>
  </si>
  <si>
    <t xml:space="preserve">Glycerophosphoserines; Glycerophosphoserines; Glycerophosphoserines</t>
  </si>
  <si>
    <t xml:space="preserve">921.49137</t>
  </si>
  <si>
    <t xml:space="preserve">C45H80O16P2</t>
  </si>
  <si>
    <t xml:space="preserve">PIP(36:4)</t>
  </si>
  <si>
    <t xml:space="preserve">50574</t>
  </si>
  <si>
    <t xml:space="preserve">HMDB0009931</t>
  </si>
  <si>
    <t xml:space="preserve">61315</t>
  </si>
  <si>
    <t xml:space="preserve">C00626</t>
  </si>
  <si>
    <t xml:space="preserve">131750482</t>
  </si>
  <si>
    <t xml:space="preserve">CCCCCCCCCCCCCCCC(=O)OC[C@]([H])(COP(O)(=O)O[C@H]1C(O)C(O)C(O)[C@@H](OP(=O)(O)O)C1O)OC(=O)CCC\C=C/C\C=C/C\C=C/C\C=C/CCCCC</t>
  </si>
  <si>
    <t xml:space="preserve">QNWUGTOTQIGTJN-RFBUQXKESA-N</t>
  </si>
  <si>
    <t xml:space="preserve">Glycerophosphoinositol phosphates</t>
  </si>
  <si>
    <t xml:space="preserve">925.83094</t>
  </si>
  <si>
    <t xml:space="preserve">C21H30I3N3O9</t>
  </si>
  <si>
    <t xml:space="preserve">Iosimide</t>
  </si>
  <si>
    <t xml:space="preserve">207872</t>
  </si>
  <si>
    <t xml:space="preserve">HMDB0253548</t>
  </si>
  <si>
    <t xml:space="preserve">OCCN(CCO)C(=O)C1=C(I)C(C(=O)N(CCO)CCO)=C(I)C(C(=O)N(CCO)CCO)=C1I</t>
  </si>
  <si>
    <t xml:space="preserve">KZYHGCLDUQBASN-UHFFFAOYSA-N</t>
  </si>
  <si>
    <t xml:space="preserve">929.59214</t>
  </si>
  <si>
    <t xml:space="preserve">C30H40O4</t>
  </si>
  <si>
    <t xml:space="preserve">Pristimerin</t>
  </si>
  <si>
    <t xml:space="preserve">210578</t>
  </si>
  <si>
    <t xml:space="preserve">HMDB0256776</t>
  </si>
  <si>
    <t xml:space="preserve">264268</t>
  </si>
  <si>
    <t xml:space="preserve">COC(=O)C1(C)CCC2(C)CCC3(C)C4=CC=C5C(C)=C(O)C(=O)C=C5C4(C)CCC3(C)C2C1</t>
  </si>
  <si>
    <t xml:space="preserve">JFACETXYABVHFD-UHFFFAOYSA-N</t>
  </si>
  <si>
    <t xml:space="preserve">932.67267</t>
  </si>
  <si>
    <t xml:space="preserve">C54H96NO10P</t>
  </si>
  <si>
    <t xml:space="preserve">PE-NMe(13D5/13D5); PE-NMe2(13D5/13M5); PE-NMe2(13M5/13D5)</t>
  </si>
  <si>
    <t xml:space="preserve">133899; 134804; 134812</t>
  </si>
  <si>
    <t xml:space="preserve">HMDB0113796; HMDB0114701; HMDB0114709</t>
  </si>
  <si>
    <t xml:space="preserve">[H][C@@](COC(=O)CCCCCCCCCCCCC1=C(C)C(C)=C(CCCCC)O1)(COP(O)(=O)OCCNC)OC(=O)CCCCCCCCCCCCC1=C(C)C(C)=C(CCCCC)O1; [H][C@@](COC(=O)CCCCCCCCCCCCC1=C(C)C(C)=C(CCCCC)O1)(COP(O)(=O)OCCN(C)C)OC(=O)CCCCCCCCCCCCC1=C(C)C=C(CCCCC)O1; [H][C@@](COC(=O)CCCCCCCCCCCCC1=C(C)C=C(CCCCC)O1)(COP(O)(=O)OCCN(C)C)OC(=O)CCCCCCCCCCCCC1=C(C)C(C)=C(CCCCC)O1</t>
  </si>
  <si>
    <t xml:space="preserve">LBVHTELILAZDHC-QSCHNALKSA-N; PGSTZTNCBFDBCD-ANFMRNGASA-N; AZTHXNWRIVEUOC-ANFMRNGASA-N</t>
  </si>
  <si>
    <t xml:space="preserve">935.72529</t>
  </si>
  <si>
    <t xml:space="preserve">C21H19I4NO10</t>
  </si>
  <si>
    <t xml:space="preserve">Thyroxine glucuronide</t>
  </si>
  <si>
    <t xml:space="preserve">50894</t>
  </si>
  <si>
    <t xml:space="preserve">HMDB0010326</t>
  </si>
  <si>
    <t xml:space="preserve">987</t>
  </si>
  <si>
    <t xml:space="preserve">152424</t>
  </si>
  <si>
    <t xml:space="preserve">21462-56-6</t>
  </si>
  <si>
    <t xml:space="preserve">N[C@@H](CC1=CC(I)=C(OC2=CC(I)=C(OC3O[C@@H]([C@@H](O)[C@H](O)[C@H]3O)C(O)=O)C(I)=C2)C(I)=C1)C(O)=O</t>
  </si>
  <si>
    <t xml:space="preserve">RGHRJBIKIYUHEV-SGPDEFQSSA-N</t>
  </si>
  <si>
    <t xml:space="preserve">940.53758</t>
  </si>
  <si>
    <t xml:space="preserve">C46H89NO11S</t>
  </si>
  <si>
    <t xml:space="preserve">3-Sulfogalactosylceramide (O-d40:1)</t>
  </si>
  <si>
    <t xml:space="preserve">51992</t>
  </si>
  <si>
    <t xml:space="preserve">HMDB0012316</t>
  </si>
  <si>
    <t xml:space="preserve">41627</t>
  </si>
  <si>
    <t xml:space="preserve">24779582</t>
  </si>
  <si>
    <t xml:space="preserve">265096-83-1</t>
  </si>
  <si>
    <t xml:space="preserve">CCCCCCCCCCCCCCCCCCCCCC(=O)N[C@@]([H])(CO[C@@H]1O[C@H](CO)[C@H](O)C(OS(=O)(O)=O)C1O)[C@@](O)([H])\C=C\CCCCCCCCCCCCC</t>
  </si>
  <si>
    <t xml:space="preserve">UAKYQMHTPLVMJD-GJOJTGTQSA-N</t>
  </si>
  <si>
    <t xml:space="preserve">941.15848</t>
  </si>
  <si>
    <t xml:space="preserve">C18H21NO11S</t>
  </si>
  <si>
    <t xml:space="preserve">4-Methylumbelliferyl-6-sulfo-2-acetamido-2-deoxy-beta-glucopyranoside</t>
  </si>
  <si>
    <t xml:space="preserve">201857</t>
  </si>
  <si>
    <t xml:space="preserve">HMDB0246522</t>
  </si>
  <si>
    <t xml:space="preserve">3356504</t>
  </si>
  <si>
    <t xml:space="preserve">CC(=O)NC1C(O)C(O)C(COS(O)(=O)=O)OC1OC1=CC2=C(C=C1)C(C)=CC(=O)O2</t>
  </si>
  <si>
    <t xml:space="preserve">FEMWMNCEGXUBRL-UHFFFAOYSA-N</t>
  </si>
  <si>
    <t xml:space="preserve">Coumarin glycosides</t>
  </si>
  <si>
    <t xml:space="preserve">947.66497</t>
  </si>
  <si>
    <t xml:space="preserve">C28H46O5</t>
  </si>
  <si>
    <t xml:space="preserve">Dolichosterone; Polyporusterone F</t>
  </si>
  <si>
    <t xml:space="preserve">58377; 61876</t>
  </si>
  <si>
    <t xml:space="preserve">HMDB0034336; HMDB0038499</t>
  </si>
  <si>
    <t xml:space="preserve">89857; </t>
  </si>
  <si>
    <t xml:space="preserve">13870422; 73085406</t>
  </si>
  <si>
    <t xml:space="preserve">85797-15-5; 141360-93-2</t>
  </si>
  <si>
    <t xml:space="preserve">CC(C)C(=C)C(O)C(O)C(C)C1CCC2C3CC(=O)C4CC(O)C(O)CC4(C)C3CCC12C; CC(C)C(C)CC(O)C(C)C1CCC2(O)C3=CC(=O)C4CC(O)C(O)CC4(C)C3CCC12C</t>
  </si>
  <si>
    <t xml:space="preserve">CYPKCRFYMBXYBU-UHFFFAOYSA-N; UPQHDDLJIDVNJE-UHFFFAOYSA-N</t>
  </si>
  <si>
    <t xml:space="preserve">948.67570</t>
  </si>
  <si>
    <t xml:space="preserve">C53H100NO8P</t>
  </si>
  <si>
    <t xml:space="preserve">DMPE(46:3)</t>
  </si>
  <si>
    <t xml:space="preserve">134597</t>
  </si>
  <si>
    <t xml:space="preserve">HMDB0114494</t>
  </si>
  <si>
    <t xml:space="preserve">131821601</t>
  </si>
  <si>
    <t xml:space="preserve">[H]C(COC(=O)CCCCCCCCCCC\C=C/C\C=C/CCCCC)(COP(O)(=O)OCCN(C)C)OC(=O)CCCCCCCCCCCCC\C=C/CCCCCCCC</t>
  </si>
  <si>
    <t xml:space="preserve">HBIMVDZDDIDJAF-ZFUXOTDWSA-N</t>
  </si>
  <si>
    <t xml:space="preserve">949.68376</t>
  </si>
  <si>
    <t xml:space="preserve">C51H96O15</t>
  </si>
  <si>
    <t xml:space="preserve">1,2-Dioctadecanoyl-3-(galactosyl-B-1-6-galactosyl-B-1)-glycerol</t>
  </si>
  <si>
    <t xml:space="preserve">51168</t>
  </si>
  <si>
    <t xml:space="preserve">HMDB0011132</t>
  </si>
  <si>
    <t xml:space="preserve">61994</t>
  </si>
  <si>
    <t xml:space="preserve">53480668</t>
  </si>
  <si>
    <t xml:space="preserve">CCCCCCCCCCCCCCCCCC(=O)OC[C@H](CO[C@@H]1OC(CO[C@@H]2O[C@H](CO)[C@@H](O)[C@H](O)[C@H]2O)[C@@H](O)[C@H](O)[C@H]1O)OC(=O)CCCCCCCCCCCCCCCCC</t>
  </si>
  <si>
    <t xml:space="preserve">LDQFLSUQYHBXSX-HPPMYKKZSA-N</t>
  </si>
  <si>
    <t xml:space="preserve">951.69468</t>
  </si>
  <si>
    <t xml:space="preserve">C28H48O5</t>
  </si>
  <si>
    <t xml:space="preserve">Demissidine</t>
  </si>
  <si>
    <t xml:space="preserve">256256</t>
  </si>
  <si>
    <t xml:space="preserve">HMDB0303382</t>
  </si>
  <si>
    <t xml:space="preserve">64158</t>
  </si>
  <si>
    <t xml:space="preserve">C17735</t>
  </si>
  <si>
    <t xml:space="preserve">81307</t>
  </si>
  <si>
    <t xml:space="preserve">46173985</t>
  </si>
  <si>
    <t xml:space="preserve">CC(C)[C@H](C)[C@@H](O)[C@H](O)[C@@H](C)C1CCC2C3COC(=O)C4C[C@H](O)CC[C@]4(C)C3CC[C@]12C</t>
  </si>
  <si>
    <t xml:space="preserve">LLFIMDUWAVPJEJ-IPLAFFEMSA-N</t>
  </si>
  <si>
    <t xml:space="preserve">955.57338</t>
  </si>
  <si>
    <t xml:space="preserve">C49H88O15</t>
  </si>
  <si>
    <t xml:space="preserve">Digalactosyldiacylglycerol; Glycerol 2-(9Z,12Z-octadecadienoate) 1-hexadecanoate 3-O-[alpha-D-galactopyranosyl-(1-&gt;6)-beta-D-galactopyranoside]</t>
  </si>
  <si>
    <t xml:space="preserve">213221; 64593</t>
  </si>
  <si>
    <t xml:space="preserve">HMDB0260014; HMDB0041511</t>
  </si>
  <si>
    <t xml:space="preserve">; 95895</t>
  </si>
  <si>
    <t xml:space="preserve">25203017; 131753152</t>
  </si>
  <si>
    <t xml:space="preserve">; 145033-48-3</t>
  </si>
  <si>
    <t xml:space="preserve">CCCCCCCCCCCCCCCC(=O)OCC(COC1OC(COC2OC(CO)C(O)C(O)C2O)C(O)C(O)C1O)OC(=O)CCCCCCCC=CCC=CCCCCC; CCCCCCCCCCCCCCCC(=O)OCC(COC1OC(COC2OC(CO)C(O)C(O)C2O)C(O)C(O)C1O)OC(=O)CCCCCCC\C=C\C\C=C\CCCCC</t>
  </si>
  <si>
    <t xml:space="preserve">QZXMUPATKGLZAP-UHFFFAOYSA-N; QZXMUPATKGLZAP-XZBBILGWSA-N</t>
  </si>
  <si>
    <t xml:space="preserve">Glycerolipids; Glycerolipids</t>
  </si>
  <si>
    <t xml:space="preserve">Glycosylglycerols; Glycosylglycerols</t>
  </si>
  <si>
    <t xml:space="preserve">956.57676</t>
  </si>
  <si>
    <t xml:space="preserve">C52H88NO10P</t>
  </si>
  <si>
    <t xml:space="preserve">PS(46:7)</t>
  </si>
  <si>
    <t xml:space="preserve">132983</t>
  </si>
  <si>
    <t xml:space="preserve">HMDB0112880</t>
  </si>
  <si>
    <t xml:space="preserve">131820002</t>
  </si>
  <si>
    <t xml:space="preserve">[H][C@](N)(COP(O)(=O)OC[C@@]([H])(COC(=O)CC\C=C/C\C=C/C\C=C/C\C=C/C\C=C/C\C=C/CC)OC(=O)CCCCCCCCCCCCC\C=C/CCCCCCCC)C(O)=O</t>
  </si>
  <si>
    <t xml:space="preserve">QNZBLNHPHCQYBE-PNKMIEAOSA-N</t>
  </si>
  <si>
    <t xml:space="preserve">963.67369</t>
  </si>
  <si>
    <t xml:space="preserve">C30H46O4</t>
  </si>
  <si>
    <t xml:space="preserve">Glycyrrhetinic acid</t>
  </si>
  <si>
    <t xml:space="preserve">51424</t>
  </si>
  <si>
    <t xml:space="preserve">HMDB0011628</t>
  </si>
  <si>
    <t xml:space="preserve">C02283</t>
  </si>
  <si>
    <t xml:space="preserve">30853</t>
  </si>
  <si>
    <t xml:space="preserve">18526330</t>
  </si>
  <si>
    <t xml:space="preserve">471-53-4</t>
  </si>
  <si>
    <t xml:space="preserve">CC1(C)[C@@H](O)CC[C@@]2(C)C1CC[C@]1(C)C2C(=O)C=C2C3C[C@](C)(CC[C@]3(C)CC[C@@]12C)C(O)=O</t>
  </si>
  <si>
    <t xml:space="preserve">MPDGHEJMBKOTSU-WFJWTYAKSA-N</t>
  </si>
  <si>
    <t xml:space="preserve">965.53913</t>
  </si>
  <si>
    <t xml:space="preserve">C30H34N4O2</t>
  </si>
  <si>
    <t xml:space="preserve">Alectinib</t>
  </si>
  <si>
    <t xml:space="preserve">203275</t>
  </si>
  <si>
    <t xml:space="preserve">HMDB0248129</t>
  </si>
  <si>
    <t xml:space="preserve">413783</t>
  </si>
  <si>
    <t xml:space="preserve">90936</t>
  </si>
  <si>
    <t xml:space="preserve">49806720</t>
  </si>
  <si>
    <t xml:space="preserve">CCC1=CC2=C(C=C1N1CCC(CC1)N1CCOCC1)C(C)(C)C1=C(C3=C(N1)C=C(C=C3)C#N)C2=O</t>
  </si>
  <si>
    <t xml:space="preserve">KDGFLJKFZUIJMX-UHFFFAOYSA-N</t>
  </si>
  <si>
    <t xml:space="preserve">Carbazoles</t>
  </si>
  <si>
    <t xml:space="preserve">977.54978</t>
  </si>
  <si>
    <t xml:space="preserve">C51H76N8O9S</t>
  </si>
  <si>
    <t xml:space="preserve">Cyclolinopeptide E</t>
  </si>
  <si>
    <t xml:space="preserve">256230</t>
  </si>
  <si>
    <t xml:space="preserve">HMDB0303356</t>
  </si>
  <si>
    <t xml:space="preserve">85263267</t>
  </si>
  <si>
    <t xml:space="preserve">CCC(C)C1NC(=O)C(CC2=CC=CC=C2)NC(=O)C(CC(C)C)NC(=O)C2CCCN2C(=O)C(CC2=CC=CC=C2)NC(=O)C(NC(=O)C(CC(C)C)NC(=O)C(CCS(C)=O)NC1=O)C(C)C</t>
  </si>
  <si>
    <t xml:space="preserve">IWEUOAFIXUXUNB-UHFFFAOYSA-N</t>
  </si>
  <si>
    <t xml:space="preserve">979.56823</t>
  </si>
  <si>
    <t xml:space="preserve">C23H38N6O5</t>
  </si>
  <si>
    <t xml:space="preserve">Valyl-leucyl-lysine 4-nitroanilide</t>
  </si>
  <si>
    <t xml:space="preserve">205507</t>
  </si>
  <si>
    <t xml:space="preserve">HMDB0250805</t>
  </si>
  <si>
    <t xml:space="preserve">3612797</t>
  </si>
  <si>
    <t xml:space="preserve">CC(C)CC(NC(=O)C(N)C(C)C)C(=O)NC(CCCCN)C(=O)NC1=CC=C(C=C1)[N+]([O-])=O</t>
  </si>
  <si>
    <t xml:space="preserve">CAJXYXPLLJDEOB-UHFFFAOYSA-N</t>
  </si>
  <si>
    <t xml:space="preserve">987.55671</t>
  </si>
  <si>
    <t xml:space="preserve">C38H74N18O10</t>
  </si>
  <si>
    <t xml:space="preserve">PKG Inhibitor</t>
  </si>
  <si>
    <t xml:space="preserve">210456</t>
  </si>
  <si>
    <t xml:space="preserve">HMDB0256628</t>
  </si>
  <si>
    <t xml:space="preserve">2231</t>
  </si>
  <si>
    <t xml:space="preserve">CC(NC(=O)C(CCCN=C(N)N)NC(=O)C(CCCCN)NC(=O)C(N)CCCN=C(N)N)C(=O)NC(CCCN=C(N)N)C(=O)NC(CCCCN)C(=O)NC(CCC(O)=O)C(O)=O</t>
  </si>
  <si>
    <t xml:space="preserve">OUKSKNTVYYVIMZ-UHFFFAOYSA-N</t>
  </si>
  <si>
    <t xml:space="preserve">996.13672</t>
  </si>
  <si>
    <t xml:space="preserve">C32H46N7O19P3S</t>
  </si>
  <si>
    <t xml:space="preserve">(R)-Benzylsuccinyl-CoA</t>
  </si>
  <si>
    <t xml:space="preserve">51851</t>
  </si>
  <si>
    <t xml:space="preserve">HMDB0012129</t>
  </si>
  <si>
    <t xml:space="preserve">62802</t>
  </si>
  <si>
    <t xml:space="preserve">C09817</t>
  </si>
  <si>
    <t xml:space="preserve">53481379</t>
  </si>
  <si>
    <t xml:space="preserve">CC(C)(COP(O)(=O)OP(O)(=O)OC[C@H]1O[C@H]([C@H](O)[C@@H]1OP(O)(O)=O)N1C=NC2=C1N=CN=C2N)C(O)C(=O)NCCC(=O)NCCSC(=O)C[C@@H](CC1=CC=CC=C1)C(O)=O</t>
  </si>
  <si>
    <t xml:space="preserve">NDCMKVRQVICKLW-DULMRFQQSA-N</t>
  </si>
  <si>
    <t xml:space="preserve">996.56371</t>
  </si>
  <si>
    <t xml:space="preserve">C47H87N3O15P2</t>
  </si>
  <si>
    <t xml:space="preserve">CDDG(P-35:0)</t>
  </si>
  <si>
    <t xml:space="preserve">135755</t>
  </si>
  <si>
    <t xml:space="preserve">HMDB0116078</t>
  </si>
  <si>
    <t xml:space="preserve">131822734</t>
  </si>
  <si>
    <t xml:space="preserve">[H][C@@](COC(=O)CCCCCCCCC(C)CC)(COP(O)(=O)OP(O)(=O)OC[C@H]1O[C@H](C(O)[C@H]1O)N1C=CC(N)=NC1=O)OC(=O)CCCCCCCCCCCCCCCCCCC(C)C</t>
  </si>
  <si>
    <t xml:space="preserve">DFNCJOOLBHHMIW-SVSFWXGDSA-N</t>
  </si>
  <si>
    <t xml:space="preserve">1007.08668</t>
  </si>
  <si>
    <t xml:space="preserve">C24H16N2O6S2</t>
  </si>
  <si>
    <t xml:space="preserve">4,7-Diphenyl-1,10-phenanthroline disulfonic acid; 4,7-Phenylsulfonyl-1,10-phenanthroline</t>
  </si>
  <si>
    <t xml:space="preserve">211727; 201951</t>
  </si>
  <si>
    <t xml:space="preserve">HMDB0258144; HMDB0246619</t>
  </si>
  <si>
    <t xml:space="preserve">21117913; 65368</t>
  </si>
  <si>
    <t xml:space="preserve">OS(=O)(=O)C1=C(C(C2=CC=CC=C2)=C2C=CC3=C(C=CN=C3C2=N1)C1=CC=CC=C1)S(O)(=O)=O; O=S(=O)(OC1=CC=CC=C1)C1=C2C=CC3=C(C=CN=C3C2=NC=C1)S(=O)(=O)OC1=CC=CC=C1</t>
  </si>
  <si>
    <t xml:space="preserve">HZZQDMGIGCTARB-UHFFFAOYSA-N; STWJKLMRMTWJEY-UHFFFAOYSA-N</t>
  </si>
  <si>
    <t xml:space="preserve">Quinolines and derivatives; Phenanthrolines</t>
  </si>
  <si>
    <t xml:space="preserve">Phenylquinolines; Unclassified</t>
  </si>
  <si>
    <t xml:space="preserve">1017.54862</t>
  </si>
  <si>
    <t xml:space="preserve">C51H72N10O12</t>
  </si>
  <si>
    <t xml:space="preserve">Bombesin analogue</t>
  </si>
  <si>
    <t xml:space="preserve">204816</t>
  </si>
  <si>
    <t xml:space="preserve">HMDB0249958</t>
  </si>
  <si>
    <t xml:space="preserve">74994278</t>
  </si>
  <si>
    <t xml:space="preserve">CC(C)CC(NC(=O)C(CC1=CN=CN1)NC(=O)C(CC1=CC=CC=C1)NC(=O)C1CCCN1C(C)=O)C(=O)NC(CC(C)C)C(=O)NC(C(C)C)C(=O)NC(CC1=CC=C(O)C=C1)C(=O)NC(CO)C(O)=O</t>
  </si>
  <si>
    <t xml:space="preserve">CDIMJEGYWSSELL-UHFFFAOYSA-N</t>
  </si>
  <si>
    <t xml:space="preserve">1030.56090</t>
  </si>
  <si>
    <t xml:space="preserve">C50H85N3O15P2</t>
  </si>
  <si>
    <t xml:space="preserve">CDDG(P-38:4); CDdiacylglycerol(P-38:4)</t>
  </si>
  <si>
    <t xml:space="preserve">48954; 135657</t>
  </si>
  <si>
    <t xml:space="preserve">HMDB0006982; HMDB0115980</t>
  </si>
  <si>
    <t xml:space="preserve">58617; </t>
  </si>
  <si>
    <t xml:space="preserve">53477926; 131822636</t>
  </si>
  <si>
    <t xml:space="preserve">[H][C@@](COC(=O)CCCCCCCCCCCCCCCCC)(COP(O)(=O)OP(O)(=O)OC[C@H]1O[C@H](C(O)[C@H]1O)N1C=CC(N)=NC1=O)OC(=O)CCC\C=C/C\C=C/C\C=C/C\C=C/CCCCC; [H]\C(CCCCC)=C(/[H])C\C([H])=C(\[H])CCCCCCCCCC(=O)OC[C@]([H])(COP(O)(=O)OP(O)(=O)OC[C@@]1([H])O[C@@]([H])(N2C=CC(=N)N=C2O)C([H])(O)[C@@]1([H])O)OC(=O)CCCCCCC\C([H])=C(\[H])C\C([H])=C(\[H])CCCCC</t>
  </si>
  <si>
    <t xml:space="preserve">MXWMCLVKMTUATQ-WZAFUEAISA-N; FARAENNPSKRPHQ-RKLYLEJGSA-N</t>
  </si>
  <si>
    <t xml:space="preserve">CDP-glycerols; CDP-glycerols</t>
  </si>
  <si>
    <t xml:space="preserve">1032.05561</t>
  </si>
  <si>
    <t xml:space="preserve">C38H56I3NO3</t>
  </si>
  <si>
    <t xml:space="preserve">Cholesterol iopanoate</t>
  </si>
  <si>
    <t xml:space="preserve">205001</t>
  </si>
  <si>
    <t xml:space="preserve">HMDB0250172</t>
  </si>
  <si>
    <t xml:space="preserve">53462320</t>
  </si>
  <si>
    <t xml:space="preserve">CCC(CC1=C(I)C=C(I)C=C1I)C(=O)ONC1(O)CCC2(C)C3CCC4(C)C(CCC4C3CC=C2C1)C(C)CCCC(C)C</t>
  </si>
  <si>
    <t xml:space="preserve">OZOBNBRCHCPBJL-UHFFFAOYSA-N</t>
  </si>
  <si>
    <t xml:space="preserve">Cholestane steroids</t>
  </si>
  <si>
    <t xml:space="preserve">1041.58984</t>
  </si>
  <si>
    <t xml:space="preserve">C27H43NO8</t>
  </si>
  <si>
    <t xml:space="preserve">Colforsin daropate</t>
  </si>
  <si>
    <t xml:space="preserve">205190</t>
  </si>
  <si>
    <t xml:space="preserve">HMDB0250404</t>
  </si>
  <si>
    <t xml:space="preserve">2834</t>
  </si>
  <si>
    <t xml:space="preserve">CN(C)CCC(=O)OC1C(OC(C)=O)C2(C)OC(C)(CC(=O)C2(O)C2(C)C(O)CCC(C)(C)C12)C=C</t>
  </si>
  <si>
    <t xml:space="preserve">RSOZZQTUMVBTMR-UHFFFAOYSA-N</t>
  </si>
  <si>
    <t xml:space="preserve">1042.12517</t>
  </si>
  <si>
    <t xml:space="preserve">C36H72O</t>
  </si>
  <si>
    <t xml:space="preserve">5-Hexatriacontanone</t>
  </si>
  <si>
    <t xml:space="preserve">55648</t>
  </si>
  <si>
    <t xml:space="preserve">HMDB0030937</t>
  </si>
  <si>
    <t xml:space="preserve">87300</t>
  </si>
  <si>
    <t xml:space="preserve">129847814</t>
  </si>
  <si>
    <t xml:space="preserve">CCCCCCCCCCCCCCCCCCCCCCCCCCCCCCCC(=O)CCCC</t>
  </si>
  <si>
    <t xml:space="preserve">ACHLEYSDMHROKR-UHFFFAOYSA-N</t>
  </si>
  <si>
    <t xml:space="preserve">1050.10040</t>
  </si>
  <si>
    <t xml:space="preserve">C35H45ClN7O18P3S</t>
  </si>
  <si>
    <t xml:space="preserve">Mii-coa</t>
  </si>
  <si>
    <t xml:space="preserve">208794</t>
  </si>
  <si>
    <t xml:space="preserve">HMDB0254716</t>
  </si>
  <si>
    <t xml:space="preserve">78174145</t>
  </si>
  <si>
    <t xml:space="preserve">CC(C)(COP(O)(=O)OP(O)(=O)OCC1OC(C(O)C1OP(O)(O)=O)N1C=NC2=C1N=CN=C2N)C(O)C(=O)NCCC(=O)NCCSC(=O)C1=CC=C(OCC2=CC=C(Cl)C=C2)C=C1</t>
  </si>
  <si>
    <t xml:space="preserve">IHFHTPGRCROVMT-UHFFFAOYSA-N</t>
  </si>
  <si>
    <t xml:space="preserve">1075.11154</t>
  </si>
  <si>
    <t xml:space="preserve">C21H23IN2O6</t>
  </si>
  <si>
    <t xml:space="preserve">Benzenepropanoic acid, 4-hydroxy-alpha-(2-((3-(hydroxyamino)-3-oxo-1-(phenylmethyl)propyl)amino)-2-oxoethyl)-3-iodo-</t>
  </si>
  <si>
    <t xml:space="preserve">210864</t>
  </si>
  <si>
    <t xml:space="preserve">HMDB0257117</t>
  </si>
  <si>
    <t xml:space="preserve">132708</t>
  </si>
  <si>
    <t xml:space="preserve">ONC(=O)CC(CC1=CC=CC=C1)NC(=O)CC(CC1=CC(I)=C(O)C=C1)C(O)=O</t>
  </si>
  <si>
    <t xml:space="preserve">SPYDLFCJSOZVCF-UHFFFAOYSA-N</t>
  </si>
  <si>
    <t xml:space="preserve">1083.58874</t>
  </si>
  <si>
    <t xml:space="preserve">C51H98O17P2</t>
  </si>
  <si>
    <t xml:space="preserve">CL(42:0)</t>
  </si>
  <si>
    <t xml:space="preserve">136594</t>
  </si>
  <si>
    <t xml:space="preserve">HMDB0116962</t>
  </si>
  <si>
    <t xml:space="preserve">131823571</t>
  </si>
  <si>
    <t xml:space="preserve">[H][C@](O)(COP(O)(=O)OC[C@@]([H])(COC(=O)CCCCCCC)OC(=O)CCCCCCC)COP(O)(=O)OC[C@@]([H])(COC(=O)CCCCCCCCCCCC)OC(=O)CCCCCCCCCCCC</t>
  </si>
  <si>
    <t xml:space="preserve">ZCGTZXBREQJGMD-WEDPTRSYSA-N</t>
  </si>
  <si>
    <t xml:space="preserve">1095.13864</t>
  </si>
  <si>
    <t xml:space="preserve">C52H42O22</t>
  </si>
  <si>
    <t xml:space="preserve">[Epicatechin-(4beta-&gt;8)]2-epicatechin 3'''-gallate; Epicatechin-(4beta-&gt;8)-epicatechin-(4beta-&gt;8)-catechin 3''-gallate</t>
  </si>
  <si>
    <t xml:space="preserve">254964; 254965</t>
  </si>
  <si>
    <t xml:space="preserve">HMDB0301933; HMDB0301934</t>
  </si>
  <si>
    <t xml:space="preserve">16141214; 101607200</t>
  </si>
  <si>
    <t xml:space="preserve">O[C@H]1[C@H](OC2=C([C@@H]1C1=C(O)C=C(O)C3=C1O[C@@H]([C@H](O)[C@H]3C1=C(O)C=C(O)C3=C1O[C@@H]([C@@H](C3)OC(=O)C1=CC(O)=C(O)C(O)=C1)C1=CC(O)=C(O)C=C1)C1=CC(O)=C(O)C=C1)C(O)=CC(O)=C2)C1=CC(O)=C(O)C=C1; O[C@H]1CC2=C(O[C@@H]1C1=CC=C(O)C(O)=C1)C([C@@H]1[C@@H](OC(=O)C3=CC(O)=C(O)C(O)=C3)[C@H](OC3=C1C(O)=CC(O)=C3[C@@H]1[C@@H](O)[C@H](OC3=C1C(O)=CC(O)=C3)C1=CC(O)=C(O)C=C1)C1=CC=C(O)C(O)=C1)=C(O)C=C2O</t>
  </si>
  <si>
    <t xml:space="preserve">FYNOPTDFZIWSDG-SRPXDWQMSA-N; XLGRDEOFHNGKLV-OKJFZLKJSA-N</t>
  </si>
  <si>
    <t xml:space="preserve">1105.60462</t>
  </si>
  <si>
    <t xml:space="preserve">C29H44O10</t>
  </si>
  <si>
    <t xml:space="preserve">Bipindogulomethyloside; Desglucocheirotoxol</t>
  </si>
  <si>
    <t xml:space="preserve">55402; 57999</t>
  </si>
  <si>
    <t xml:space="preserve">HMDB0030623; HMDB0033828</t>
  </si>
  <si>
    <t xml:space="preserve">87101; 89556</t>
  </si>
  <si>
    <t xml:space="preserve">; 176019</t>
  </si>
  <si>
    <t xml:space="preserve">3735942; 12309172</t>
  </si>
  <si>
    <t xml:space="preserve">53152-43-5; 29336-13-8</t>
  </si>
  <si>
    <t xml:space="preserve">CC1OC(OC2CCC3(C)C4C(O)CC5(C)C(CCC5(O)C4CCC3(O)C2)C2=CC(=O)OC2)C(O)C(O)C1O; CC1OC(OC2CCC3(CO)C4CCC5(C)C(CCC5(O)C4CCC3(O)C2)C2=CC(=O)OC2)C(O)C(O)C1O</t>
  </si>
  <si>
    <t xml:space="preserve">WRORFDCUNLGVJF-UHFFFAOYSA-N; UQEKVLJMBGSQGS-UHFFFAOYSA-N</t>
  </si>
  <si>
    <t xml:space="preserve">1117.15210</t>
  </si>
  <si>
    <t xml:space="preserve">C22H22O15S</t>
  </si>
  <si>
    <t xml:space="preserve">8-Hydroxyluteolin 4'-methyl ether 8-glucoside-3'-sulfate</t>
  </si>
  <si>
    <t xml:space="preserve">60915</t>
  </si>
  <si>
    <t xml:space="preserve">HMDB0037333</t>
  </si>
  <si>
    <t xml:space="preserve">74977935</t>
  </si>
  <si>
    <t xml:space="preserve">131622-65-6</t>
  </si>
  <si>
    <t xml:space="preserve">COC1=C(OS(O)(=O)=O)C=C(C=C1)C1=CC(=O)C2=C(O1)C(OC1OC(CO)C(O)C(O)C1O)=C(O)C=C2O</t>
  </si>
  <si>
    <t xml:space="preserve">HUTZNOYDOCPVOR-UHFFFAOYSA-N</t>
  </si>
  <si>
    <t xml:space="preserve">1117.64001</t>
  </si>
  <si>
    <t xml:space="preserve">C52H100N2O20P2</t>
  </si>
  <si>
    <t xml:space="preserve">Defoslimod</t>
  </si>
  <si>
    <t xml:space="preserve">205619</t>
  </si>
  <si>
    <t xml:space="preserve">HMDB0250939</t>
  </si>
  <si>
    <t xml:space="preserve">CCCCCCCCCCCC(O)CC(=O)NC1C(O)C(O)C(COC2OC(CO)C(OP(O)(O)=O)C(O)C2NC(=O)CC(CCCCCCCCCCC)OC(=O)CCCCCCCCCCC)OC1OP(O)(O)=O</t>
  </si>
  <si>
    <t xml:space="preserve">GOWLTLODGKPXMN-UHFFFAOYSA-N</t>
  </si>
  <si>
    <t xml:space="preserve">1119.13161</t>
  </si>
  <si>
    <t xml:space="preserve">C49H38O28</t>
  </si>
  <si>
    <t xml:space="preserve">Camelliatannin C; Camelliatannin E</t>
  </si>
  <si>
    <t xml:space="preserve">64469; 64468</t>
  </si>
  <si>
    <t xml:space="preserve">HMDB0041378; HMDB0041377</t>
  </si>
  <si>
    <t xml:space="preserve">95781; 95780</t>
  </si>
  <si>
    <t xml:space="preserve">131753129; 131753128</t>
  </si>
  <si>
    <t xml:space="preserve">154524-52-4; 148132-92-7</t>
  </si>
  <si>
    <t xml:space="preserve">OC(C1OC(=O)C2=CC(O)=C(O)C(O)=C2C2=C(O)C(O)=C(O)C=C2C(=O)OC1C1OC(=O)C2=CC(O)=C(O)C(O)=C2C2=C(O)C(O)=C(O)C=C2C(=O)OCC1O)C1=C(O)C=C2OC(C(O)CC2=C1O)C1=CC(O)=C(O)C=C1; OC(C1OC(=O)C2=CC(O)=C(O)C(O)=C2C2=C(C=C(O)C(O)=C2O)C(=O)OC1C1OC(=O)C2=CC(O)=C(O)C(O)=C2C2=C(C=C(O)C(O)=C2O)C(=O)OCC1O)C1=C(O)C=C(O)C2=C1OC(C(O)C2)C1=CC=C(O)C(O)=C1</t>
  </si>
  <si>
    <t xml:space="preserve">CAHWVGJOCMGFBC-UHFFFAOYSA-N; XSWKCRGTEVOEIG-UHFFFAOYSA-N</t>
  </si>
  <si>
    <t xml:space="preserve">Tannins; Tannins</t>
  </si>
  <si>
    <t xml:space="preserve">Complex tannins; Complex tannins</t>
  </si>
  <si>
    <t xml:space="preserve">1127.61324</t>
  </si>
  <si>
    <t xml:space="preserve">C30H48O7S</t>
  </si>
  <si>
    <t xml:space="preserve">Triterpenoid</t>
  </si>
  <si>
    <t xml:space="preserve">48279</t>
  </si>
  <si>
    <t xml:space="preserve">HMDB0004309</t>
  </si>
  <si>
    <t xml:space="preserve">7049</t>
  </si>
  <si>
    <t xml:space="preserve">C06085</t>
  </si>
  <si>
    <t xml:space="preserve">27151</t>
  </si>
  <si>
    <t xml:space="preserve">451674</t>
  </si>
  <si>
    <t xml:space="preserve">[H][C@@]12CC(C)(C)CC[C@@]1(CC[C@]1(C)C2=CC[C@]2([H])[C@@]3(C)CC[C@H](O)[C@@](C)(COS(O)(=O)=O)[C@]3([H])CC[C@@]12C)C(O)=O</t>
  </si>
  <si>
    <t xml:space="preserve">XBZYWSMVVKYHQN-MYPRUECHSA-N</t>
  </si>
  <si>
    <t xml:space="preserve">1139.15158</t>
  </si>
  <si>
    <t xml:space="preserve">C27H21Cl2N3O7</t>
  </si>
  <si>
    <t xml:space="preserve">rebeccamycin</t>
  </si>
  <si>
    <t xml:space="preserve">210874</t>
  </si>
  <si>
    <t xml:space="preserve">HMDB0257128</t>
  </si>
  <si>
    <t xml:space="preserve">5043</t>
  </si>
  <si>
    <t xml:space="preserve">COC1C(O)C(O)C(OC1CO)N1C2=C(C3=C1C(Cl)=CC=C3)C1=C(C(=O)NC1=O)C1=C2NC2=C(Cl)C=CC=C12</t>
  </si>
  <si>
    <t xml:space="preserve">QEHOIJJIZXRMAN-UHFFFAOYSA-N</t>
  </si>
  <si>
    <t xml:space="preserve">1172.14065</t>
  </si>
  <si>
    <t xml:space="preserve">C77H150O6</t>
  </si>
  <si>
    <t xml:space="preserve">TG(74:0)</t>
  </si>
  <si>
    <t xml:space="preserve">90981</t>
  </si>
  <si>
    <t xml:space="preserve">HMDB0070157</t>
  </si>
  <si>
    <t xml:space="preserve">131777170</t>
  </si>
  <si>
    <t xml:space="preserve">[H][C@@](COC(=O)CCCCCCCCCCCCCCCCCCCCC(C)C)(COC(=O)CCCCCCCCCCCCCCCCCCCCC(C)CC)OC(=O)CCCCCCCCCCCCCCCCCCCCC(C)CC</t>
  </si>
  <si>
    <t xml:space="preserve">OCBSODQNKUCVLU-NAMAGWJJSA-N</t>
  </si>
  <si>
    <t xml:space="preserve">2-Furanmethanethiol</t>
  </si>
  <si>
    <t xml:space="preserve">HMDB0032915</t>
  </si>
  <si>
    <t xml:space="preserve">88820</t>
  </si>
  <si>
    <t xml:space="preserve">7363</t>
  </si>
  <si>
    <t xml:space="preserve">98-02-2</t>
  </si>
  <si>
    <t xml:space="preserve">SCC1=CC=CO1</t>
  </si>
  <si>
    <t xml:space="preserve">ZFFTZDQKIXPDAF-UHFFFAOYSA-N</t>
  </si>
  <si>
    <t xml:space="preserve">3-2</t>
  </si>
  <si>
    <t xml:space="preserve">2-Thiophenemethanol</t>
  </si>
  <si>
    <t xml:space="preserve">HMDB0032993</t>
  </si>
  <si>
    <t xml:space="preserve">88889</t>
  </si>
  <si>
    <t xml:space="preserve">69467</t>
  </si>
  <si>
    <t xml:space="preserve">636-72-6</t>
  </si>
  <si>
    <t xml:space="preserve">OCC1=CC=CS1</t>
  </si>
  <si>
    <t xml:space="preserve">ZPHGMBGIFODUMF-UHFFFAOYSA-N</t>
  </si>
  <si>
    <t xml:space="preserve">3-3</t>
  </si>
  <si>
    <t xml:space="preserve">2-Methyl-3-furanthiol</t>
  </si>
  <si>
    <t xml:space="preserve">HMDB0036611</t>
  </si>
  <si>
    <t xml:space="preserve">91671</t>
  </si>
  <si>
    <t xml:space="preserve">34286</t>
  </si>
  <si>
    <t xml:space="preserve">28588-74-1</t>
  </si>
  <si>
    <t xml:space="preserve">CC1=C(S)C=CO1</t>
  </si>
  <si>
    <t xml:space="preserve">RUYNUXHHUVUINQ-UHFFFAOYSA-N</t>
  </si>
  <si>
    <t xml:space="preserve">Protoanemonin</t>
  </si>
  <si>
    <t xml:space="preserve">HMDB0060503</t>
  </si>
  <si>
    <t xml:space="preserve">66577</t>
  </si>
  <si>
    <t xml:space="preserve">C07090</t>
  </si>
  <si>
    <t xml:space="preserve">28906</t>
  </si>
  <si>
    <t xml:space="preserve">66948</t>
  </si>
  <si>
    <t xml:space="preserve">108-28-1</t>
  </si>
  <si>
    <t xml:space="preserve">C=C1OC(=O)C=C1</t>
  </si>
  <si>
    <t xml:space="preserve">RNYZJZKPGHQTJR-UHFFFAOYSA-N</t>
  </si>
  <si>
    <t xml:space="preserve">2-Furancarboxaldehyde</t>
  </si>
  <si>
    <t xml:space="preserve">HMDB0032914</t>
  </si>
  <si>
    <t xml:space="preserve">69936</t>
  </si>
  <si>
    <t xml:space="preserve">C14279</t>
  </si>
  <si>
    <t xml:space="preserve">34768</t>
  </si>
  <si>
    <t xml:space="preserve">7362</t>
  </si>
  <si>
    <t xml:space="preserve">98-01-1</t>
  </si>
  <si>
    <t xml:space="preserve">O=CC1=CC=CO1</t>
  </si>
  <si>
    <t xml:space="preserve">HYBBIBNJHNGZAN-UHFFFAOYSA-N</t>
  </si>
  <si>
    <t xml:space="preserve">1-Ethyl-1-nitrosourea</t>
  </si>
  <si>
    <t xml:space="preserve">HMDB0243873</t>
  </si>
  <si>
    <t xml:space="preserve">72910</t>
  </si>
  <si>
    <t xml:space="preserve">C19178</t>
  </si>
  <si>
    <t xml:space="preserve">23995</t>
  </si>
  <si>
    <t xml:space="preserve">12967</t>
  </si>
  <si>
    <t xml:space="preserve">759-73-9</t>
  </si>
  <si>
    <t xml:space="preserve">CCN(N=O)C(O)=N</t>
  </si>
  <si>
    <t xml:space="preserve">FUSGACRLAFQQRL-UHFFFAOYSA-N</t>
  </si>
  <si>
    <t xml:space="preserve">5-2</t>
  </si>
  <si>
    <t xml:space="preserve">Guanidoacetic acid</t>
  </si>
  <si>
    <t xml:space="preserve">HMDB0000128</t>
  </si>
  <si>
    <t xml:space="preserve">9</t>
  </si>
  <si>
    <t xml:space="preserve">C00581</t>
  </si>
  <si>
    <t xml:space="preserve">16344</t>
  </si>
  <si>
    <t xml:space="preserve">763</t>
  </si>
  <si>
    <t xml:space="preserve">352-97-6</t>
  </si>
  <si>
    <t xml:space="preserve">NC(=N)NCC(O)=O</t>
  </si>
  <si>
    <t xml:space="preserve">BPMFZUMJYQTVII-UHFFFAOYSA-N</t>
  </si>
  <si>
    <t xml:space="preserve">Isonicotinamide</t>
  </si>
  <si>
    <t xml:space="preserve">HMDB0253663</t>
  </si>
  <si>
    <t xml:space="preserve">65768</t>
  </si>
  <si>
    <t xml:space="preserve">C02421</t>
  </si>
  <si>
    <t xml:space="preserve">6031</t>
  </si>
  <si>
    <t xml:space="preserve">15074</t>
  </si>
  <si>
    <t xml:space="preserve">1453-82-3</t>
  </si>
  <si>
    <t xml:space="preserve">NC(=O)C1=CC=NC=C1</t>
  </si>
  <si>
    <t xml:space="preserve">VFQXVTODMYMSMJ-UHFFFAOYSA-N</t>
  </si>
  <si>
    <t xml:space="preserve">Picolinamide</t>
  </si>
  <si>
    <t xml:space="preserve">HMDB0256533</t>
  </si>
  <si>
    <t xml:space="preserve">65685</t>
  </si>
  <si>
    <t xml:space="preserve">C01950</t>
  </si>
  <si>
    <t xml:space="preserve">8200</t>
  </si>
  <si>
    <t xml:space="preserve">15070</t>
  </si>
  <si>
    <t xml:space="preserve">1452-77-3</t>
  </si>
  <si>
    <t xml:space="preserve">OC(=N)C1=CC=CC=N1</t>
  </si>
  <si>
    <t xml:space="preserve">IBBMAWULFFBRKK-UHFFFAOYSA-N</t>
  </si>
  <si>
    <t xml:space="preserve">12-3</t>
  </si>
  <si>
    <t xml:space="preserve">Niacinamide</t>
  </si>
  <si>
    <t xml:space="preserve">HMDB0001406</t>
  </si>
  <si>
    <t xml:space="preserve">1497</t>
  </si>
  <si>
    <t xml:space="preserve">C00153</t>
  </si>
  <si>
    <t xml:space="preserve">936</t>
  </si>
  <si>
    <t xml:space="preserve">98-92-0</t>
  </si>
  <si>
    <t xml:space="preserve">NC(=O)C1=CC=CN=C1</t>
  </si>
  <si>
    <t xml:space="preserve">DFPAKSUCGFBDDF-UHFFFAOYSA-N</t>
  </si>
  <si>
    <t xml:space="preserve">3-Chloro-4,4-dimethyl-2-oxazolidinone</t>
  </si>
  <si>
    <t xml:space="preserve">HMDB0245835</t>
  </si>
  <si>
    <t xml:space="preserve">313680</t>
  </si>
  <si>
    <t xml:space="preserve">92357</t>
  </si>
  <si>
    <t xml:space="preserve">CC1(C)COC(=O)N1Cl</t>
  </si>
  <si>
    <t xml:space="preserve">HUPNLWZFGMGNKB-UHFFFAOYSA-N</t>
  </si>
  <si>
    <t xml:space="preserve">3-(2-Chloroethyl)oxazolidin-2-one</t>
  </si>
  <si>
    <t xml:space="preserve">HMDB0245771</t>
  </si>
  <si>
    <t xml:space="preserve">460510</t>
  </si>
  <si>
    <t xml:space="preserve">75633</t>
  </si>
  <si>
    <t xml:space="preserve">ClCCN1CCOC1=O</t>
  </si>
  <si>
    <t xml:space="preserve">CDYDZTYVCIPLHY-UHFFFAOYSA-N</t>
  </si>
  <si>
    <t xml:space="preserve">Phenylglyoxylic acid</t>
  </si>
  <si>
    <t xml:space="preserve">HMDB0001587</t>
  </si>
  <si>
    <t xml:space="preserve">58059</t>
  </si>
  <si>
    <t xml:space="preserve">C02137</t>
  </si>
  <si>
    <t xml:space="preserve">18280</t>
  </si>
  <si>
    <t xml:space="preserve">11915</t>
  </si>
  <si>
    <t xml:space="preserve">611-73-4</t>
  </si>
  <si>
    <t xml:space="preserve">OC(=O)C(=O)C1=CC=CC=C1</t>
  </si>
  <si>
    <t xml:space="preserve">FAQJJMHZNSSFSM-UHFFFAOYSA-N</t>
  </si>
  <si>
    <t xml:space="preserve">Benzoyl derivatives</t>
  </si>
  <si>
    <t xml:space="preserve">3,4-Methylenedioxybenzaldehyde</t>
  </si>
  <si>
    <t xml:space="preserve">HMDB0032612</t>
  </si>
  <si>
    <t xml:space="preserve">68600</t>
  </si>
  <si>
    <t xml:space="preserve">C10812</t>
  </si>
  <si>
    <t xml:space="preserve">8240</t>
  </si>
  <si>
    <t xml:space="preserve">8438</t>
  </si>
  <si>
    <t xml:space="preserve">120-57-0</t>
  </si>
  <si>
    <t xml:space="preserve">[H]C(=O)C1=CC2=C(OCO2)C=C1</t>
  </si>
  <si>
    <t xml:space="preserve">SATCULPHIDQDRE-UHFFFAOYSA-N</t>
  </si>
  <si>
    <t xml:space="preserve">1-Nitropropane-1,2,3-triol</t>
  </si>
  <si>
    <t xml:space="preserve">HMDB0258075</t>
  </si>
  <si>
    <t xml:space="preserve">21977402</t>
  </si>
  <si>
    <t xml:space="preserve">OCC(O)C(O)[N+]([O-])=O</t>
  </si>
  <si>
    <t xml:space="preserve">UHBVTTDRNVAOJD-UHFFFAOYSA-N</t>
  </si>
  <si>
    <t xml:space="preserve">1-Mononitroglycerin</t>
  </si>
  <si>
    <t xml:space="preserve">HMDB0243950</t>
  </si>
  <si>
    <t xml:space="preserve">1585</t>
  </si>
  <si>
    <t xml:space="preserve">12211</t>
  </si>
  <si>
    <t xml:space="preserve">624-43-1</t>
  </si>
  <si>
    <t xml:space="preserve">OCC(O)CO[N+]([O-])=O</t>
  </si>
  <si>
    <t xml:space="preserve">HXWLJBVVXXBZCM-UHFFFAOYSA-N</t>
  </si>
  <si>
    <t xml:space="preserve">Ascladiol</t>
  </si>
  <si>
    <t xml:space="preserve">HMDB0029610</t>
  </si>
  <si>
    <t xml:space="preserve">131750886</t>
  </si>
  <si>
    <t xml:space="preserve">32013-85-7</t>
  </si>
  <si>
    <t xml:space="preserve">OC\C=C1\OC(=O)C(CO)=C1</t>
  </si>
  <si>
    <t xml:space="preserve">LYJDVGNTDYPSTE-LZCJLJQNSA-N</t>
  </si>
  <si>
    <t xml:space="preserve">2,3-Methyleneglutaric acid</t>
  </si>
  <si>
    <t xml:space="preserve">HMDB0059731</t>
  </si>
  <si>
    <t xml:space="preserve">89910</t>
  </si>
  <si>
    <t xml:space="preserve">123510533</t>
  </si>
  <si>
    <t xml:space="preserve">OC(=O)CC(=C)C(=C)C(O)=O</t>
  </si>
  <si>
    <t xml:space="preserve">YNNMOGWGBFSMGB-UHFFFAOYSA-N</t>
  </si>
  <si>
    <t xml:space="preserve">2,4-Dimethyl-5-vinylthiazole</t>
  </si>
  <si>
    <t xml:space="preserve">HMDB0037285</t>
  </si>
  <si>
    <t xml:space="preserve">92235</t>
  </si>
  <si>
    <t xml:space="preserve">5362563</t>
  </si>
  <si>
    <t xml:space="preserve">65505-18-2</t>
  </si>
  <si>
    <t xml:space="preserve">CC1=NC(C)=C(S1)C=C</t>
  </si>
  <si>
    <t xml:space="preserve">MLBCDQHOBLVBQD-UHFFFAOYSA-N</t>
  </si>
  <si>
    <t xml:space="preserve">24-2</t>
  </si>
  <si>
    <t xml:space="preserve">4-Pyridylethylmercaptan</t>
  </si>
  <si>
    <t xml:space="preserve">HMDB0246578</t>
  </si>
  <si>
    <t xml:space="preserve">452501</t>
  </si>
  <si>
    <t xml:space="preserve">150969</t>
  </si>
  <si>
    <t xml:space="preserve">SCCC1=CC=NC=C1</t>
  </si>
  <si>
    <t xml:space="preserve">VBAOEVKQBLGWTH-UHFFFAOYSA-N</t>
  </si>
  <si>
    <t xml:space="preserve">24-3</t>
  </si>
  <si>
    <t xml:space="preserve">4-Mercapto-ethyl-pyridine</t>
  </si>
  <si>
    <t xml:space="preserve">HMDB0246484</t>
  </si>
  <si>
    <t xml:space="preserve">19066657</t>
  </si>
  <si>
    <t xml:space="preserve">CCC1=CC(=S)C=CN1</t>
  </si>
  <si>
    <t xml:space="preserve">HIJXBFJPIKJPAF-UHFFFAOYSA-N</t>
  </si>
  <si>
    <t xml:space="preserve">2-Ethyl-2,5-dihydro-4,5-dimethylthiazole</t>
  </si>
  <si>
    <t xml:space="preserve">HMDB0037176</t>
  </si>
  <si>
    <t xml:space="preserve">92144</t>
  </si>
  <si>
    <t xml:space="preserve">5362584</t>
  </si>
  <si>
    <t xml:space="preserve">76788-46-0</t>
  </si>
  <si>
    <t xml:space="preserve">CCC1SC(C)C(C)=N1</t>
  </si>
  <si>
    <t xml:space="preserve">CSACPVARWHDAET-UHFFFAOYSA-N</t>
  </si>
  <si>
    <t xml:space="preserve">Azolines</t>
  </si>
  <si>
    <t xml:space="preserve">Thiazolines</t>
  </si>
  <si>
    <t xml:space="preserve">26-2</t>
  </si>
  <si>
    <t xml:space="preserve">1-Isothiocyanato-4-methylpentane</t>
  </si>
  <si>
    <t xml:space="preserve">HMDB0038435</t>
  </si>
  <si>
    <t xml:space="preserve">93126</t>
  </si>
  <si>
    <t xml:space="preserve">519452</t>
  </si>
  <si>
    <t xml:space="preserve">17608-07-0</t>
  </si>
  <si>
    <t xml:space="preserve">CC(C)CCCN=C=S</t>
  </si>
  <si>
    <t xml:space="preserve">CZWUENKYXFGDIG-UHFFFAOYSA-N</t>
  </si>
  <si>
    <t xml:space="preserve">Isothiocyanates</t>
  </si>
  <si>
    <t xml:space="preserve">26-3</t>
  </si>
  <si>
    <t xml:space="preserve">1-Isothiocyanatohexane</t>
  </si>
  <si>
    <t xml:space="preserve">HMDB0038432</t>
  </si>
  <si>
    <t xml:space="preserve">93123</t>
  </si>
  <si>
    <t xml:space="preserve">78120</t>
  </si>
  <si>
    <t xml:space="preserve">4404-45-9</t>
  </si>
  <si>
    <t xml:space="preserve">CCCCCCN=C=S</t>
  </si>
  <si>
    <t xml:space="preserve">WXYAXKKXIGHXDS-UHFFFAOYSA-N</t>
  </si>
  <si>
    <t xml:space="preserve">2-Methyleneglutaronitrile</t>
  </si>
  <si>
    <t xml:space="preserve">HMDB0245227</t>
  </si>
  <si>
    <t xml:space="preserve">74080</t>
  </si>
  <si>
    <t xml:space="preserve">C=C(CCC#N)C#N</t>
  </si>
  <si>
    <t xml:space="preserve">NGCJVMZXRCLPRQ-UHFFFAOYSA-N</t>
  </si>
  <si>
    <t xml:space="preserve">27-2</t>
  </si>
  <si>
    <t xml:space="preserve">Vinylpyrazine</t>
  </si>
  <si>
    <t xml:space="preserve">HMDB0303343</t>
  </si>
  <si>
    <t xml:space="preserve">C=CC1=CN=CC=N1</t>
  </si>
  <si>
    <t xml:space="preserve">KANZWHBYRHQMKZ-UHFFFAOYSA-N</t>
  </si>
  <si>
    <t xml:space="preserve">3-Hydroxy-2-oxoindole</t>
  </si>
  <si>
    <t xml:space="preserve">HMDB0240741</t>
  </si>
  <si>
    <t xml:space="preserve">64535</t>
  </si>
  <si>
    <t xml:space="preserve">C11130</t>
  </si>
  <si>
    <t xml:space="preserve">28536</t>
  </si>
  <si>
    <t xml:space="preserve">6097</t>
  </si>
  <si>
    <t xml:space="preserve">61-71-2</t>
  </si>
  <si>
    <t xml:space="preserve">OC1C(=O)NC2=CC=CC=C12</t>
  </si>
  <si>
    <t xml:space="preserve">SGZFJWQQBHYNNF-UHFFFAOYSA-N</t>
  </si>
  <si>
    <t xml:space="preserve">31-2</t>
  </si>
  <si>
    <t xml:space="preserve">5,6-Dihydroxyindole</t>
  </si>
  <si>
    <t xml:space="preserve">HMDB0004058</t>
  </si>
  <si>
    <t xml:space="preserve">7009</t>
  </si>
  <si>
    <t xml:space="preserve">C05578</t>
  </si>
  <si>
    <t xml:space="preserve">27404</t>
  </si>
  <si>
    <t xml:space="preserve">114683</t>
  </si>
  <si>
    <t xml:space="preserve">3131-52-0</t>
  </si>
  <si>
    <t xml:space="preserve">OC1=C(O)C=C2C=CNC2=C1</t>
  </si>
  <si>
    <t xml:space="preserve">SGNZYJXNUURYCH-UHFFFAOYSA-N</t>
  </si>
  <si>
    <t xml:space="preserve">Hydroxyindoles</t>
  </si>
  <si>
    <t xml:space="preserve">31-3</t>
  </si>
  <si>
    <t xml:space="preserve">(S)-4-Hydroxymandelonitrile</t>
  </si>
  <si>
    <t xml:space="preserve">HMDB0060318</t>
  </si>
  <si>
    <t xml:space="preserve">63618</t>
  </si>
  <si>
    <t xml:space="preserve">C03742</t>
  </si>
  <si>
    <t xml:space="preserve">16660</t>
  </si>
  <si>
    <t xml:space="preserve">440104</t>
  </si>
  <si>
    <t xml:space="preserve">71807-09-5</t>
  </si>
  <si>
    <t xml:space="preserve">O[C@H](C#N)C1=CC=C(O)C=C1</t>
  </si>
  <si>
    <t xml:space="preserve">HOOOPXDSCKBLFG-MRVPVSSYSA-N</t>
  </si>
  <si>
    <t xml:space="preserve">2-Amino-4-nitrophenol</t>
  </si>
  <si>
    <t xml:space="preserve">HMDB0244990</t>
  </si>
  <si>
    <t xml:space="preserve">73031</t>
  </si>
  <si>
    <t xml:space="preserve">C19321</t>
  </si>
  <si>
    <t xml:space="preserve">3613389</t>
  </si>
  <si>
    <t xml:space="preserve">99-57-0</t>
  </si>
  <si>
    <t xml:space="preserve">NC1=C(O)C=CC(=C1)[N+]([O-])=O</t>
  </si>
  <si>
    <t xml:space="preserve">VLZVIIYRNMWPSN-UHFFFAOYSA-N</t>
  </si>
  <si>
    <t xml:space="preserve">36-2</t>
  </si>
  <si>
    <t xml:space="preserve">4-Amino-2-nitrophenol</t>
  </si>
  <si>
    <t xml:space="preserve">HMDB0246341</t>
  </si>
  <si>
    <t xml:space="preserve">73033</t>
  </si>
  <si>
    <t xml:space="preserve">C19323</t>
  </si>
  <si>
    <t xml:space="preserve">3417419</t>
  </si>
  <si>
    <t xml:space="preserve">119-34-6</t>
  </si>
  <si>
    <t xml:space="preserve">NC1=CC(=C(O)C=C1)[N+]([O-])=O</t>
  </si>
  <si>
    <t xml:space="preserve">WHODQVWERNSQEO-UHFFFAOYSA-N</t>
  </si>
  <si>
    <t xml:space="preserve">5-Aminopentanoic acid</t>
  </si>
  <si>
    <t xml:space="preserve">HMDB0003355</t>
  </si>
  <si>
    <t xml:space="preserve">6902</t>
  </si>
  <si>
    <t xml:space="preserve">LMFA01100040</t>
  </si>
  <si>
    <t xml:space="preserve">C00431</t>
  </si>
  <si>
    <t xml:space="preserve">15887</t>
  </si>
  <si>
    <t xml:space="preserve">138</t>
  </si>
  <si>
    <t xml:space="preserve">660-88-8</t>
  </si>
  <si>
    <t xml:space="preserve">C(C(=O)O)CCCN</t>
  </si>
  <si>
    <t xml:space="preserve">JJMDCOVWQOJGCB-UHFFFAOYSA-N</t>
  </si>
  <si>
    <t xml:space="preserve">D-Valine</t>
  </si>
  <si>
    <t xml:space="preserve">HMDB0250806</t>
  </si>
  <si>
    <t xml:space="preserve">74879</t>
  </si>
  <si>
    <t xml:space="preserve">LMFA01100046</t>
  </si>
  <si>
    <t xml:space="preserve">C16436</t>
  </si>
  <si>
    <t xml:space="preserve">27266</t>
  </si>
  <si>
    <t xml:space="preserve">1182</t>
  </si>
  <si>
    <t xml:space="preserve">C(C(N)C(C)C)(=O)O</t>
  </si>
  <si>
    <t xml:space="preserve">KZSNJWFQEVHDMF-UHFFFAOYSA-N</t>
  </si>
  <si>
    <t xml:space="preserve">Triethylamine N-oxide</t>
  </si>
  <si>
    <t xml:space="preserve">HMDB0259192</t>
  </si>
  <si>
    <t xml:space="preserve">346536</t>
  </si>
  <si>
    <t xml:space="preserve">123168</t>
  </si>
  <si>
    <t xml:space="preserve">CC[N+]([O-])(CC)CC</t>
  </si>
  <si>
    <t xml:space="preserve">LFMTUFVYMCDPGY-UHFFFAOYSA-N</t>
  </si>
  <si>
    <t xml:space="preserve">Aminoxides</t>
  </si>
  <si>
    <t xml:space="preserve">38-2</t>
  </si>
  <si>
    <t xml:space="preserve">1-(Diethylamino)ethanol</t>
  </si>
  <si>
    <t xml:space="preserve">HMDB0247953</t>
  </si>
  <si>
    <t xml:space="preserve">15894840</t>
  </si>
  <si>
    <t xml:space="preserve">CCN(CC)C(C)O</t>
  </si>
  <si>
    <t xml:space="preserve">RQNOFUZGXHSHOT-UHFFFAOYSA-N</t>
  </si>
  <si>
    <t xml:space="preserve">38-3</t>
  </si>
  <si>
    <t xml:space="preserve">2-Diethylaminoethanol</t>
  </si>
  <si>
    <t xml:space="preserve">HMDB0033971</t>
  </si>
  <si>
    <t xml:space="preserve">89647</t>
  </si>
  <si>
    <t xml:space="preserve">52153</t>
  </si>
  <si>
    <t xml:space="preserve">7497</t>
  </si>
  <si>
    <t xml:space="preserve">100-37-8</t>
  </si>
  <si>
    <t xml:space="preserve">CCN(CC)CCO</t>
  </si>
  <si>
    <t xml:space="preserve">BFSVOASYOCHEOV-UHFFFAOYSA-N</t>
  </si>
  <si>
    <t xml:space="preserve">Indoline</t>
  </si>
  <si>
    <t xml:space="preserve">HMDB0253472</t>
  </si>
  <si>
    <t xml:space="preserve">327013</t>
  </si>
  <si>
    <t xml:space="preserve">43295</t>
  </si>
  <si>
    <t xml:space="preserve">10328</t>
  </si>
  <si>
    <t xml:space="preserve">C1CC2=CC=CC=C2N1</t>
  </si>
  <si>
    <t xml:space="preserve">LPAGFVYQRIESJQ-UHFFFAOYSA-N</t>
  </si>
  <si>
    <t xml:space="preserve">Isoindoline</t>
  </si>
  <si>
    <t xml:space="preserve">HMDB0253648</t>
  </si>
  <si>
    <t xml:space="preserve">422478</t>
  </si>
  <si>
    <t xml:space="preserve">C1NCC2=CC=CC=C12</t>
  </si>
  <si>
    <t xml:space="preserve">GWVMLCQWXVFZCN-UHFFFAOYSA-N</t>
  </si>
  <si>
    <t xml:space="preserve">Isoindoles</t>
  </si>
  <si>
    <t xml:space="preserve">N-NITROSOMORPHOLINE</t>
  </si>
  <si>
    <t xml:space="preserve">HMDB0255208</t>
  </si>
  <si>
    <t xml:space="preserve">73001</t>
  </si>
  <si>
    <t xml:space="preserve">C19283</t>
  </si>
  <si>
    <t xml:space="preserve">76326</t>
  </si>
  <si>
    <t xml:space="preserve">6046</t>
  </si>
  <si>
    <t xml:space="preserve">59-89-2</t>
  </si>
  <si>
    <t xml:space="preserve">O=NN1CCOCC1</t>
  </si>
  <si>
    <t xml:space="preserve">ZKXDGKXYMTYWTB-UHFFFAOYSA-N</t>
  </si>
  <si>
    <t xml:space="preserve">N,N'-Diacetylhydrazine</t>
  </si>
  <si>
    <t xml:space="preserve">HMDB0060496</t>
  </si>
  <si>
    <t xml:space="preserve">851</t>
  </si>
  <si>
    <t xml:space="preserve">C16622</t>
  </si>
  <si>
    <t xml:space="preserve">72884</t>
  </si>
  <si>
    <t xml:space="preserve">3148-73-0</t>
  </si>
  <si>
    <t xml:space="preserve">CC(O)=NN=C(C)O</t>
  </si>
  <si>
    <t xml:space="preserve">ZLHNYIHIHQEHJQ-UHFFFAOYSA-N</t>
  </si>
  <si>
    <t xml:space="preserve">4-Hydroxy-2-butenoic acid gamma-lactone</t>
  </si>
  <si>
    <t xml:space="preserve">HMDB0032330</t>
  </si>
  <si>
    <t xml:space="preserve">71806</t>
  </si>
  <si>
    <t xml:space="preserve">C17601</t>
  </si>
  <si>
    <t xml:space="preserve">38118</t>
  </si>
  <si>
    <t xml:space="preserve">10341</t>
  </si>
  <si>
    <t xml:space="preserve">497-23-4</t>
  </si>
  <si>
    <t xml:space="preserve">O=C1OCC=C1</t>
  </si>
  <si>
    <t xml:space="preserve">VIHAEDVKXSOUAT-UHFFFAOYSA-N</t>
  </si>
  <si>
    <t xml:space="preserve">Furanone A</t>
  </si>
  <si>
    <t xml:space="preserve">HMDB0094691</t>
  </si>
  <si>
    <t xml:space="preserve">71807</t>
  </si>
  <si>
    <t xml:space="preserve">C17602</t>
  </si>
  <si>
    <t xml:space="preserve">38120</t>
  </si>
  <si>
    <t xml:space="preserve">140765</t>
  </si>
  <si>
    <t xml:space="preserve">20825-71-2</t>
  </si>
  <si>
    <t xml:space="preserve">O=C1CC=CO1</t>
  </si>
  <si>
    <t xml:space="preserve">RHDGNLCLDBVESU-UHFFFAOYSA-N</t>
  </si>
  <si>
    <t xml:space="preserve">3-(3-Oxobutanoyloxy)butanoic acid</t>
  </si>
  <si>
    <t xml:space="preserve">HMDB0258085</t>
  </si>
  <si>
    <t xml:space="preserve">53889896</t>
  </si>
  <si>
    <t xml:space="preserve">CC(CC(O)=O)OC(=O)CC(C)=O</t>
  </si>
  <si>
    <t xml:space="preserve">HPSXWFLUQVYJDN-UHFFFAOYSA-N</t>
  </si>
  <si>
    <t xml:space="preserve">Tetrahydro-2,5-furan-diacetic acid</t>
  </si>
  <si>
    <t xml:space="preserve">HMDB0059767</t>
  </si>
  <si>
    <t xml:space="preserve">89885</t>
  </si>
  <si>
    <t xml:space="preserve">13220191</t>
  </si>
  <si>
    <t xml:space="preserve">OC(=O)CC1CCC(CC(O)=O)O1</t>
  </si>
  <si>
    <t xml:space="preserve">CVYAVSIMBYOCGA-UHFFFAOYSA-N</t>
  </si>
  <si>
    <t xml:space="preserve">(3R,4R)-3-Amino-1-hydroxy-4-methylpyrrolidin-2-one</t>
  </si>
  <si>
    <t xml:space="preserve">HMDB0243603</t>
  </si>
  <si>
    <t xml:space="preserve">14804746</t>
  </si>
  <si>
    <t xml:space="preserve">CC1CN(O)C(=O)C1N</t>
  </si>
  <si>
    <t xml:space="preserve">SKYSFPFYQBZGDC-UHFFFAOYSA-N</t>
  </si>
  <si>
    <t xml:space="preserve">L-cis-3-Amino-2-pyrrolidinecarboxylic acid</t>
  </si>
  <si>
    <t xml:space="preserve">HMDB0029396</t>
  </si>
  <si>
    <t xml:space="preserve">86241</t>
  </si>
  <si>
    <t xml:space="preserve">21998160</t>
  </si>
  <si>
    <t xml:space="preserve">25876-88-4</t>
  </si>
  <si>
    <t xml:space="preserve">NC1CCNC1C(O)=O</t>
  </si>
  <si>
    <t xml:space="preserve">VJLXSTXGGXYQCT-UHFFFAOYSA-N</t>
  </si>
  <si>
    <t xml:space="preserve">49-3</t>
  </si>
  <si>
    <t xml:space="preserve">D-1-Amino-2-pyrrolidinecarboxylic acid</t>
  </si>
  <si>
    <t xml:space="preserve">HMDB0030405</t>
  </si>
  <si>
    <t xml:space="preserve">86950</t>
  </si>
  <si>
    <t xml:space="preserve">273022</t>
  </si>
  <si>
    <t xml:space="preserve">10139-05-6</t>
  </si>
  <si>
    <t xml:space="preserve">NN1CCCC1C(O)=O</t>
  </si>
  <si>
    <t xml:space="preserve">OUCUOMVLTQBZCY-UHFFFAOYSA-N</t>
  </si>
  <si>
    <t xml:space="preserve">L-Arginine</t>
  </si>
  <si>
    <t xml:space="preserve">HMDB0000517</t>
  </si>
  <si>
    <t xml:space="preserve">13</t>
  </si>
  <si>
    <t xml:space="preserve">C00062</t>
  </si>
  <si>
    <t xml:space="preserve">16467</t>
  </si>
  <si>
    <t xml:space="preserve">6322</t>
  </si>
  <si>
    <t xml:space="preserve">74-79-3</t>
  </si>
  <si>
    <t xml:space="preserve">N[C@@H](CCCNC(N)=N)C(O)=O</t>
  </si>
  <si>
    <t xml:space="preserve">ODKSFYDXXFIFQN-BYPYZUCNSA-N</t>
  </si>
  <si>
    <t xml:space="preserve">50-2</t>
  </si>
  <si>
    <t xml:space="preserve">D-Arginine</t>
  </si>
  <si>
    <t xml:space="preserve">HMDB0003416</t>
  </si>
  <si>
    <t xml:space="preserve">6924</t>
  </si>
  <si>
    <t xml:space="preserve">C00792</t>
  </si>
  <si>
    <t xml:space="preserve">15816</t>
  </si>
  <si>
    <t xml:space="preserve">71070</t>
  </si>
  <si>
    <t xml:space="preserve">157-06-2</t>
  </si>
  <si>
    <t xml:space="preserve">N[C@H](CCCNC(N)=N)C(O)=O</t>
  </si>
  <si>
    <t xml:space="preserve">ODKSFYDXXFIFQN-SCSAIBSYSA-N</t>
  </si>
  <si>
    <t xml:space="preserve">Trigonelline</t>
  </si>
  <si>
    <t xml:space="preserve">HMDB0000875</t>
  </si>
  <si>
    <t xml:space="preserve">273</t>
  </si>
  <si>
    <t xml:space="preserve">C01004</t>
  </si>
  <si>
    <t xml:space="preserve">18123</t>
  </si>
  <si>
    <t xml:space="preserve">5570</t>
  </si>
  <si>
    <t xml:space="preserve">535-83-1</t>
  </si>
  <si>
    <t xml:space="preserve">C[N+]1=CC=CC(=C1)C([O-])=O</t>
  </si>
  <si>
    <t xml:space="preserve">WWNNZCOKKKDOPX-UHFFFAOYSA-N</t>
  </si>
  <si>
    <t xml:space="preserve">51-2</t>
  </si>
  <si>
    <t xml:space="preserve">2-Aminobenzoic acid</t>
  </si>
  <si>
    <t xml:space="preserve">HMDB0001123</t>
  </si>
  <si>
    <t xml:space="preserve">317</t>
  </si>
  <si>
    <t xml:space="preserve">C00108</t>
  </si>
  <si>
    <t xml:space="preserve">30754</t>
  </si>
  <si>
    <t xml:space="preserve">227</t>
  </si>
  <si>
    <t xml:space="preserve">118-92-3</t>
  </si>
  <si>
    <t xml:space="preserve">NC1=CC=CC=C1C(O)=O</t>
  </si>
  <si>
    <t xml:space="preserve">RWZYAGGXGHYGMB-UHFFFAOYSA-N</t>
  </si>
  <si>
    <t xml:space="preserve">51-3</t>
  </si>
  <si>
    <t xml:space="preserve">p-Aminobenzoic acid</t>
  </si>
  <si>
    <t xml:space="preserve">HMDB0001392</t>
  </si>
  <si>
    <t xml:space="preserve">3261</t>
  </si>
  <si>
    <t xml:space="preserve">C00568</t>
  </si>
  <si>
    <t xml:space="preserve">30753</t>
  </si>
  <si>
    <t xml:space="preserve">978</t>
  </si>
  <si>
    <t xml:space="preserve">150-13-0</t>
  </si>
  <si>
    <t xml:space="preserve">NC1=CC=C(C=C1)C(O)=O</t>
  </si>
  <si>
    <t xml:space="preserve">ALYNCZNDIQEVRV-UHFFFAOYSA-N</t>
  </si>
  <si>
    <t xml:space="preserve">Tyramine</t>
  </si>
  <si>
    <t xml:space="preserve">HMDB0000306</t>
  </si>
  <si>
    <t xml:space="preserve">60</t>
  </si>
  <si>
    <t xml:space="preserve">C00483</t>
  </si>
  <si>
    <t xml:space="preserve">15760</t>
  </si>
  <si>
    <t xml:space="preserve">5610</t>
  </si>
  <si>
    <t xml:space="preserve">51-67-2</t>
  </si>
  <si>
    <t xml:space="preserve">NCCC1=CC=C(O)C=C1</t>
  </si>
  <si>
    <t xml:space="preserve">DZGWFCGJZKJUFP-UHFFFAOYSA-N</t>
  </si>
  <si>
    <t xml:space="preserve">52-2</t>
  </si>
  <si>
    <t xml:space="preserve">2-Hydroxyphenethylamine</t>
  </si>
  <si>
    <t xml:space="preserve">HMDB0001065</t>
  </si>
  <si>
    <t xml:space="preserve">C02735</t>
  </si>
  <si>
    <t xml:space="preserve">16343</t>
  </si>
  <si>
    <t xml:space="preserve">1000</t>
  </si>
  <si>
    <t xml:space="preserve">7568-93-6</t>
  </si>
  <si>
    <t xml:space="preserve">NCC(O)C1=CC=CC=C1</t>
  </si>
  <si>
    <t xml:space="preserve">ULSIYEODSMZIPX-UHFFFAOYSA-N</t>
  </si>
  <si>
    <t xml:space="preserve">tetrazoline</t>
  </si>
  <si>
    <t xml:space="preserve">HMDB0258937</t>
  </si>
  <si>
    <t xml:space="preserve">18377836</t>
  </si>
  <si>
    <t xml:space="preserve">C1NNN=N1</t>
  </si>
  <si>
    <t xml:space="preserve">PZJFUNZDCRKXPZ-UHFFFAOYSA-N</t>
  </si>
  <si>
    <t xml:space="preserve">Tetrazolines</t>
  </si>
  <si>
    <t xml:space="preserve">Diazenylmethyldiazene</t>
  </si>
  <si>
    <t xml:space="preserve">HMDB0260388</t>
  </si>
  <si>
    <t xml:space="preserve">54226752</t>
  </si>
  <si>
    <t xml:space="preserve">N=NCN=N</t>
  </si>
  <si>
    <t xml:space="preserve">QGJLQLXDTUSXKS-UHFFFAOYSA-N</t>
  </si>
  <si>
    <t xml:space="preserve">Propargyl-type 1,3-dipolar organic compounds</t>
  </si>
  <si>
    <t xml:space="preserve">54-3</t>
  </si>
  <si>
    <t xml:space="preserve">N'-Amino-N-iminomethanimidamide</t>
  </si>
  <si>
    <t xml:space="preserve">HMDB0252443</t>
  </si>
  <si>
    <t xml:space="preserve">53427792</t>
  </si>
  <si>
    <t xml:space="preserve">NN=CN=N</t>
  </si>
  <si>
    <t xml:space="preserve">VMGAPWLDMVPYIA-UHFFFAOYSA-N</t>
  </si>
  <si>
    <t xml:space="preserve">3-(3-Hydroxyphenyl)propanoic acid</t>
  </si>
  <si>
    <t xml:space="preserve">HMDB0000375</t>
  </si>
  <si>
    <t xml:space="preserve">4152</t>
  </si>
  <si>
    <t xml:space="preserve">C11457</t>
  </si>
  <si>
    <t xml:space="preserve">1427</t>
  </si>
  <si>
    <t xml:space="preserve">91</t>
  </si>
  <si>
    <t xml:space="preserve">621-54-5</t>
  </si>
  <si>
    <t xml:space="preserve">OC(=O)CCC1=CC(O)=CC=C1</t>
  </si>
  <si>
    <t xml:space="preserve">QVWAEZJXDYOKEH-UHFFFAOYSA-N</t>
  </si>
  <si>
    <t xml:space="preserve">59-2</t>
  </si>
  <si>
    <t xml:space="preserve">D-Phenyllactic acid</t>
  </si>
  <si>
    <t xml:space="preserve">HMDB0000563</t>
  </si>
  <si>
    <t xml:space="preserve">3291</t>
  </si>
  <si>
    <t xml:space="preserve">C05607</t>
  </si>
  <si>
    <t xml:space="preserve">43065</t>
  </si>
  <si>
    <t xml:space="preserve">444718</t>
  </si>
  <si>
    <t xml:space="preserve">20312-36-1</t>
  </si>
  <si>
    <t xml:space="preserve">[H][C@](O)(CC1=CC=CC=C1)C(O)=O</t>
  </si>
  <si>
    <t xml:space="preserve">VOXXWSYKYCBWHO-QMMMGPOBSA-N</t>
  </si>
  <si>
    <t xml:space="preserve">59-3</t>
  </si>
  <si>
    <t xml:space="preserve">L-3-Phenyllactic acid</t>
  </si>
  <si>
    <t xml:space="preserve">HMDB0000748</t>
  </si>
  <si>
    <t xml:space="preserve">5745</t>
  </si>
  <si>
    <t xml:space="preserve">32978</t>
  </si>
  <si>
    <t xml:space="preserve">643327</t>
  </si>
  <si>
    <t xml:space="preserve">7326-19-4</t>
  </si>
  <si>
    <t xml:space="preserve">O[C@H](CC1=CC=CC=C1)C(O)=O</t>
  </si>
  <si>
    <t xml:space="preserve">VOXXWSYKYCBWHO-MRVPVSSYSA-N</t>
  </si>
  <si>
    <t xml:space="preserve">Homo-L-arginine</t>
  </si>
  <si>
    <t xml:space="preserve">HMDB0000670</t>
  </si>
  <si>
    <t xml:space="preserve">5640</t>
  </si>
  <si>
    <t xml:space="preserve">C01924</t>
  </si>
  <si>
    <t xml:space="preserve">27747</t>
  </si>
  <si>
    <t xml:space="preserve">9085</t>
  </si>
  <si>
    <t xml:space="preserve">156-86-5</t>
  </si>
  <si>
    <t xml:space="preserve">N[C@@H](CCCCNC(N)=N)C(O)=O</t>
  </si>
  <si>
    <t xml:space="preserve">QUOGESRFPZDMMT-YFKPBYRVSA-N</t>
  </si>
  <si>
    <t xml:space="preserve">60-2</t>
  </si>
  <si>
    <t xml:space="preserve">L-Targinine</t>
  </si>
  <si>
    <t xml:space="preserve">HMDB0029416</t>
  </si>
  <si>
    <t xml:space="preserve">C03884</t>
  </si>
  <si>
    <t xml:space="preserve">28229</t>
  </si>
  <si>
    <t xml:space="preserve">132862</t>
  </si>
  <si>
    <t xml:space="preserve">17035-90-4</t>
  </si>
  <si>
    <t xml:space="preserve">CNC(=N)NCCC[C@H](N)C(O)=O</t>
  </si>
  <si>
    <t xml:space="preserve">NTNWOCRCBQPEKQ-YFKPBYRVSA-N</t>
  </si>
  <si>
    <t xml:space="preserve">Methyleugenol</t>
  </si>
  <si>
    <t xml:space="preserve">HMDB0031864</t>
  </si>
  <si>
    <t xml:space="preserve">68336</t>
  </si>
  <si>
    <t xml:space="preserve">C10454</t>
  </si>
  <si>
    <t xml:space="preserve">4918</t>
  </si>
  <si>
    <t xml:space="preserve">7127</t>
  </si>
  <si>
    <t xml:space="preserve">93-15-2</t>
  </si>
  <si>
    <t xml:space="preserve">COC1=C(OC)C=C(CC=C)C=C1</t>
  </si>
  <si>
    <t xml:space="preserve">ZYEMGPIYFIJGTP-UHFFFAOYSA-N</t>
  </si>
  <si>
    <t xml:space="preserve">62-2</t>
  </si>
  <si>
    <t xml:space="preserve">Methylisoeugenol</t>
  </si>
  <si>
    <t xml:space="preserve">HMDB0041553</t>
  </si>
  <si>
    <t xml:space="preserve">C10478</t>
  </si>
  <si>
    <t xml:space="preserve">50550</t>
  </si>
  <si>
    <t xml:space="preserve">1549045</t>
  </si>
  <si>
    <t xml:space="preserve">6379-72-2</t>
  </si>
  <si>
    <t xml:space="preserve">COC1=C(OC)C=C(\C=C/C)C=C1</t>
  </si>
  <si>
    <t xml:space="preserve">NNWHUJCUHAELCL-PLNGDYQASA-N</t>
  </si>
  <si>
    <t xml:space="preserve">62-3</t>
  </si>
  <si>
    <t xml:space="preserve">3-Phenylpropyl acetate</t>
  </si>
  <si>
    <t xml:space="preserve">HMDB0033386</t>
  </si>
  <si>
    <t xml:space="preserve">71846</t>
  </si>
  <si>
    <t xml:space="preserve">C17663</t>
  </si>
  <si>
    <t xml:space="preserve">81257</t>
  </si>
  <si>
    <t xml:space="preserve">31226</t>
  </si>
  <si>
    <t xml:space="preserve">122-72-5</t>
  </si>
  <si>
    <t xml:space="preserve">CC(=O)OCCCC1=CC=CC=C1</t>
  </si>
  <si>
    <t xml:space="preserve">JRJGKUTZNBZHNK-UHFFFAOYSA-N</t>
  </si>
  <si>
    <t xml:space="preserve">Zedoarol</t>
  </si>
  <si>
    <t xml:space="preserve">HMDB0038202</t>
  </si>
  <si>
    <t xml:space="preserve">C17490</t>
  </si>
  <si>
    <t xml:space="preserve">75144776</t>
  </si>
  <si>
    <t xml:space="preserve">103994-22-5</t>
  </si>
  <si>
    <t xml:space="preserve">CC1CCC2C(=C)CC3=C(C(C)=CO3)C(=O)C12O</t>
  </si>
  <si>
    <t xml:space="preserve">CKDRPCYJCDMPFO-UHFFFAOYSA-N</t>
  </si>
  <si>
    <t xml:space="preserve">Loxoprofen</t>
  </si>
  <si>
    <t xml:space="preserve">HMDB0041920</t>
  </si>
  <si>
    <t xml:space="preserve">1039</t>
  </si>
  <si>
    <t xml:space="preserve">D08149</t>
  </si>
  <si>
    <t xml:space="preserve">76172</t>
  </si>
  <si>
    <t xml:space="preserve">3965</t>
  </si>
  <si>
    <t xml:space="preserve">80382-23-6</t>
  </si>
  <si>
    <t xml:space="preserve">CC(C(O)=O)C1=CC=C(CC2CCCC2=O)C=C1</t>
  </si>
  <si>
    <t xml:space="preserve">YMBXTVYHTMGZDW-UHFFFAOYSA-N</t>
  </si>
  <si>
    <t xml:space="preserve">Mycorradicin</t>
  </si>
  <si>
    <t xml:space="preserve">HMDB0302033</t>
  </si>
  <si>
    <t xml:space="preserve">C20426</t>
  </si>
  <si>
    <t xml:space="preserve">6444309</t>
  </si>
  <si>
    <t xml:space="preserve">C\C(\C=C\C(O)=O)=C/C=C/C=C(\C)/C=C/C(O)=O</t>
  </si>
  <si>
    <t xml:space="preserve">UXBCAWHJMZPSBQ-HBPHNZTASA-N</t>
  </si>
  <si>
    <t xml:space="preserve">79-2</t>
  </si>
  <si>
    <t xml:space="preserve">Prenyl cis-caffeate</t>
  </si>
  <si>
    <t xml:space="preserve">HMDB0041140</t>
  </si>
  <si>
    <t xml:space="preserve">68358</t>
  </si>
  <si>
    <t xml:space="preserve">C10487</t>
  </si>
  <si>
    <t xml:space="preserve">8393</t>
  </si>
  <si>
    <t xml:space="preserve">5281790</t>
  </si>
  <si>
    <t xml:space="preserve">118971-61-2</t>
  </si>
  <si>
    <t xml:space="preserve">CC(C)=CCOC(=O)\C=C\C1=CC=C(O)C(O)=C1</t>
  </si>
  <si>
    <t xml:space="preserve">TTYOHMFLCXENHR-GQCTYLIASA-N</t>
  </si>
  <si>
    <t xml:space="preserve">9H-Purin-6-ol, 2-((phenylmethyl)amino)-</t>
  </si>
  <si>
    <t xml:space="preserve">HMDB0246978</t>
  </si>
  <si>
    <t xml:space="preserve">5271885</t>
  </si>
  <si>
    <t xml:space="preserve">O=C1NC(NCC2=CC=CC=C2)=NC2=C1NC=N2</t>
  </si>
  <si>
    <t xml:space="preserve">XWNJMSJGJFSGRY-UHFFFAOYSA-N</t>
  </si>
  <si>
    <t xml:space="preserve">83-2</t>
  </si>
  <si>
    <t xml:space="preserve">o6-Benzylguanine</t>
  </si>
  <si>
    <t xml:space="preserve">HMDB0255878</t>
  </si>
  <si>
    <t xml:space="preserve">448971</t>
  </si>
  <si>
    <t xml:space="preserve">4578</t>
  </si>
  <si>
    <t xml:space="preserve">N=C1NC2=C(N=CN2)C(OCC2=CC=CC=C2)=N1</t>
  </si>
  <si>
    <t xml:space="preserve">KRWMERLEINMZFT-UHFFFAOYSA-N</t>
  </si>
  <si>
    <t xml:space="preserve">83-3</t>
  </si>
  <si>
    <t xml:space="preserve">Peldesine</t>
  </si>
  <si>
    <t xml:space="preserve">HMDB0256208</t>
  </si>
  <si>
    <t xml:space="preserve">419846</t>
  </si>
  <si>
    <t xml:space="preserve">135413525</t>
  </si>
  <si>
    <t xml:space="preserve">NC1=NC(=O)C2=C(N1)C(CC1=CN=CC=C1)=CN2</t>
  </si>
  <si>
    <t xml:space="preserve">DOHVAKFYAHLCJP-UHFFFAOYSA-N</t>
  </si>
  <si>
    <t xml:space="preserve">Pyrrolopyrimidines</t>
  </si>
  <si>
    <t xml:space="preserve">Serylthreonine</t>
  </si>
  <si>
    <t xml:space="preserve">HMDB0029049</t>
  </si>
  <si>
    <t xml:space="preserve">141393</t>
  </si>
  <si>
    <t xml:space="preserve">54027404</t>
  </si>
  <si>
    <t xml:space="preserve">61043-85-4</t>
  </si>
  <si>
    <t xml:space="preserve">C[C@@H](O)[C@H](NC(=O)[C@@H](N)CO)C(O)=O</t>
  </si>
  <si>
    <t xml:space="preserve">LDEBVRIURYMKQS-WISUUJSJSA-N</t>
  </si>
  <si>
    <t xml:space="preserve">86-2</t>
  </si>
  <si>
    <t xml:space="preserve">Threonylserine</t>
  </si>
  <si>
    <t xml:space="preserve">HMDB0029070</t>
  </si>
  <si>
    <t xml:space="preserve">23808</t>
  </si>
  <si>
    <t xml:space="preserve">73664</t>
  </si>
  <si>
    <t xml:space="preserve">7016064</t>
  </si>
  <si>
    <t xml:space="preserve">61043-86-5</t>
  </si>
  <si>
    <t xml:space="preserve">C[C@@H](O)[C@H](N)C(=O)N[C@@H](CO)C(O)=O</t>
  </si>
  <si>
    <t xml:space="preserve">GXDLGHLJTHMDII-WISUUJSJSA-N</t>
  </si>
  <si>
    <t xml:space="preserve">86-3</t>
  </si>
  <si>
    <t xml:space="preserve">(2S)-2-Amino-3-[(2S,3R)-2-amino-3-hydroxybutanoyl]oxypropanoic acid</t>
  </si>
  <si>
    <t xml:space="preserve">HMDB0257561</t>
  </si>
  <si>
    <t xml:space="preserve">CC(O)C(N)C(=O)OCC(N)C(O)=O</t>
  </si>
  <si>
    <t xml:space="preserve">HYSIMHWTLUDZPY-UHFFFAOYSA-N</t>
  </si>
  <si>
    <t xml:space="preserve">Alantolactone</t>
  </si>
  <si>
    <t xml:space="preserve">HMDB0035906</t>
  </si>
  <si>
    <t xml:space="preserve">C09289</t>
  </si>
  <si>
    <t xml:space="preserve">2540</t>
  </si>
  <si>
    <t xml:space="preserve">327378</t>
  </si>
  <si>
    <t xml:space="preserve">546-43-0</t>
  </si>
  <si>
    <t xml:space="preserve">CC1CCCC2(C)CC3OC(=O)C(=C)C3C=C12</t>
  </si>
  <si>
    <t xml:space="preserve">PXOYOCNNSUAQNS-UHFFFAOYSA-N</t>
  </si>
  <si>
    <t xml:space="preserve">94-2</t>
  </si>
  <si>
    <t xml:space="preserve">Isoalantolactone</t>
  </si>
  <si>
    <t xml:space="preserve">HMDB0035934</t>
  </si>
  <si>
    <t xml:space="preserve">C09484</t>
  </si>
  <si>
    <t xml:space="preserve">605266</t>
  </si>
  <si>
    <t xml:space="preserve">470-17-7</t>
  </si>
  <si>
    <t xml:space="preserve">CC12CCCC(=C)C1CC1C(C2)OC(=O)C1=C</t>
  </si>
  <si>
    <t xml:space="preserve">CVUANYCQTOGILD-UHFFFAOYSA-N</t>
  </si>
  <si>
    <t xml:space="preserve">94-3</t>
  </si>
  <si>
    <t xml:space="preserve">Costunolide</t>
  </si>
  <si>
    <t xml:space="preserve">HMDB0036688</t>
  </si>
  <si>
    <t xml:space="preserve">C09382</t>
  </si>
  <si>
    <t xml:space="preserve">5367559</t>
  </si>
  <si>
    <t xml:space="preserve">553-21-9</t>
  </si>
  <si>
    <t xml:space="preserve">C\C1=C\CC\C(C)=C/C2OC(=O)C(=C)C2CC1</t>
  </si>
  <si>
    <t xml:space="preserve">HRYLQFBHBWLLLL-GYIATTAWSA-N</t>
  </si>
  <si>
    <t xml:space="preserve">Bis(2,5-dioxopyrrolidin-1-yl) carbonate</t>
  </si>
  <si>
    <t xml:space="preserve">HMDB0247347</t>
  </si>
  <si>
    <t xml:space="preserve">O=C(ON1C(=O)CCC1=O)ON1C(=O)CCC1=O</t>
  </si>
  <si>
    <t xml:space="preserve">PFYXSUNOLOJMDX-UHFFFAOYSA-N</t>
  </si>
  <si>
    <t xml:space="preserve">95-2</t>
  </si>
  <si>
    <t xml:space="preserve">Bis(2,5-dihydroxypyrrol-1-yl) carbonate</t>
  </si>
  <si>
    <t xml:space="preserve">HMDB0260371</t>
  </si>
  <si>
    <t xml:space="preserve">53830932</t>
  </si>
  <si>
    <t xml:space="preserve">OC1=CC=C(O)N1OC(=O)ON1C(O)=CC=C1O</t>
  </si>
  <si>
    <t xml:space="preserve">GCJMLPAIVSMUEG-UHFFFAOYSA-N</t>
  </si>
  <si>
    <t xml:space="preserve">Pinocembrin</t>
  </si>
  <si>
    <t xml:space="preserve">HMDB0030808</t>
  </si>
  <si>
    <t xml:space="preserve">44418</t>
  </si>
  <si>
    <t xml:space="preserve">LMPK12140214</t>
  </si>
  <si>
    <t xml:space="preserve">C09827</t>
  </si>
  <si>
    <t xml:space="preserve">28157</t>
  </si>
  <si>
    <t xml:space="preserve">68071</t>
  </si>
  <si>
    <t xml:space="preserve">480-39-7</t>
  </si>
  <si>
    <t xml:space="preserve">C1(O)C=C2O[C@]([H])(C3C=CC=CC=3)CC(=O)C2=C(O)C=1</t>
  </si>
  <si>
    <t xml:space="preserve">URFCJEUYXNAHFI-ZDUSSCGKSA-N</t>
  </si>
  <si>
    <t xml:space="preserve">Liquiritigenin</t>
  </si>
  <si>
    <t xml:space="preserve">HMDB0029519</t>
  </si>
  <si>
    <t xml:space="preserve">52551</t>
  </si>
  <si>
    <t xml:space="preserve">LMPK12140061</t>
  </si>
  <si>
    <t xml:space="preserve">C09762</t>
  </si>
  <si>
    <t xml:space="preserve">28777</t>
  </si>
  <si>
    <t xml:space="preserve">114829</t>
  </si>
  <si>
    <t xml:space="preserve">578-86-9</t>
  </si>
  <si>
    <t xml:space="preserve">C1(O)C=C2O[C@]([H])(C3C=CC(O)=CC=3)CC(=O)C2=CC=1</t>
  </si>
  <si>
    <t xml:space="preserve">FURUXTVZLHCCNA-AWEZNQCLSA-N</t>
  </si>
  <si>
    <t xml:space="preserve">Isoliquiritigenin</t>
  </si>
  <si>
    <t xml:space="preserve">HMDB0037316</t>
  </si>
  <si>
    <t xml:space="preserve">44115</t>
  </si>
  <si>
    <t xml:space="preserve">LMPK12120096</t>
  </si>
  <si>
    <t xml:space="preserve">C08650</t>
  </si>
  <si>
    <t xml:space="preserve">310312</t>
  </si>
  <si>
    <t xml:space="preserve">638278</t>
  </si>
  <si>
    <t xml:space="preserve">961-29-5</t>
  </si>
  <si>
    <t xml:space="preserve">C1(O)=CC=C(C(=O)/C=C/C2C=CC(O)=CC=2)C(O)=C1</t>
  </si>
  <si>
    <t xml:space="preserve">DXDRHHKMWQZJHT-FPYGCLRLSA-N</t>
  </si>
  <si>
    <t xml:space="preserve">Histidinyl-Cysteine</t>
  </si>
  <si>
    <t xml:space="preserve">HMDB0304780</t>
  </si>
  <si>
    <t xml:space="preserve">85788</t>
  </si>
  <si>
    <t xml:space="preserve">174374</t>
  </si>
  <si>
    <t xml:space="preserve">21839149</t>
  </si>
  <si>
    <t xml:space="preserve">NC(CC1=CN=CN1)C(O)=NC(CS)C(O)=O</t>
  </si>
  <si>
    <t xml:space="preserve">MAJYPBAJPNUFPV-UHFFFAOYSA-N</t>
  </si>
  <si>
    <t xml:space="preserve">Cysteinyl-Histidine</t>
  </si>
  <si>
    <t xml:space="preserve">HMDB0028777</t>
  </si>
  <si>
    <t xml:space="preserve">18218196</t>
  </si>
  <si>
    <t xml:space="preserve">NC(CS)C(=O)NC(CC1=CN=CN1)C(O)=O</t>
  </si>
  <si>
    <t xml:space="preserve">LVNMAAGSAUGNIC-UHFFFAOYSA-N</t>
  </si>
  <si>
    <t xml:space="preserve">97-3</t>
  </si>
  <si>
    <t xml:space="preserve">Histidylcysteine</t>
  </si>
  <si>
    <t xml:space="preserve">HMDB0028882</t>
  </si>
  <si>
    <t xml:space="preserve">23651</t>
  </si>
  <si>
    <t xml:space="preserve">15294281</t>
  </si>
  <si>
    <t xml:space="preserve">116833-93-3</t>
  </si>
  <si>
    <t xml:space="preserve">N[C@@H](CC1=CNC=N1)C(=O)N[C@@H](CS)C(O)=O</t>
  </si>
  <si>
    <t xml:space="preserve">MAJYPBAJPNUFPV-BQBZGAKWSA-N</t>
  </si>
  <si>
    <t xml:space="preserve">N-Sulfo-D-glucosamine</t>
  </si>
  <si>
    <t xml:space="preserve">HMDB0001481</t>
  </si>
  <si>
    <t xml:space="preserve">6267</t>
  </si>
  <si>
    <t xml:space="preserve">C01075</t>
  </si>
  <si>
    <t xml:space="preserve">16702</t>
  </si>
  <si>
    <t xml:space="preserve">439388</t>
  </si>
  <si>
    <t xml:space="preserve">909257-48-3</t>
  </si>
  <si>
    <t xml:space="preserve">OC[C@H]1O[C@@H](O)[C@H](NS(O)(=O)=O)[C@@H](O)[C@@H]1O</t>
  </si>
  <si>
    <t xml:space="preserve">PRDZVHCOEWJPOB-QZABAPFNSA-N</t>
  </si>
  <si>
    <t xml:space="preserve">Glucosamine 6-sulfate</t>
  </si>
  <si>
    <t xml:space="preserve">HMDB0000592</t>
  </si>
  <si>
    <t xml:space="preserve">5571</t>
  </si>
  <si>
    <t xml:space="preserve">C04132</t>
  </si>
  <si>
    <t xml:space="preserve">133343</t>
  </si>
  <si>
    <t xml:space="preserve">72361</t>
  </si>
  <si>
    <t xml:space="preserve">91674-26-9</t>
  </si>
  <si>
    <t xml:space="preserve">N[C@H]1[C@H](O)O[C@H](COS(O)(=O)=O)[C@@H](O)[C@@H]1O</t>
  </si>
  <si>
    <t xml:space="preserve">MTDHILKWIRSIHB-QZABAPFNSA-N</t>
  </si>
  <si>
    <t xml:space="preserve">Dihydrotanshinone</t>
  </si>
  <si>
    <t xml:space="preserve">HMDB0251332</t>
  </si>
  <si>
    <t xml:space="preserve">85014</t>
  </si>
  <si>
    <t xml:space="preserve">5316743</t>
  </si>
  <si>
    <t xml:space="preserve">87205-99-0</t>
  </si>
  <si>
    <t xml:space="preserve">CC1COC2=C1C(=O)C(=O)C1=C3C=CC=C(C)C3=CC=C21</t>
  </si>
  <si>
    <t xml:space="preserve">HARGZZNYNSYSGJ-UHFFFAOYSA-N</t>
  </si>
  <si>
    <t xml:space="preserve">Methylenetanshinquinone</t>
  </si>
  <si>
    <t xml:space="preserve">HMDB0254643</t>
  </si>
  <si>
    <t xml:space="preserve">105118</t>
  </si>
  <si>
    <t xml:space="preserve">CC1=COC2=C1C(=O)C(=O)C1=C3CCCC(=C)C3=CC=C21</t>
  </si>
  <si>
    <t xml:space="preserve">QDFFAXSMLUUJSG-UHFFFAOYSA-N</t>
  </si>
  <si>
    <t xml:space="preserve">99-3</t>
  </si>
  <si>
    <t xml:space="preserve">1,2-Dihydrotanshinquinone</t>
  </si>
  <si>
    <t xml:space="preserve">HMDB0244078</t>
  </si>
  <si>
    <t xml:space="preserve">105119</t>
  </si>
  <si>
    <t xml:space="preserve">CC1=COC2=C1C(=O)C(=O)C1=C2C=CC2=C1CCC=C2C</t>
  </si>
  <si>
    <t xml:space="preserve">OYOSADAKNZWZGA-UHFFFAOYSA-N</t>
  </si>
  <si>
    <t xml:space="preserve">Histidyllysine</t>
  </si>
  <si>
    <t xml:space="preserve">HMDB0028890</t>
  </si>
  <si>
    <t xml:space="preserve">23848</t>
  </si>
  <si>
    <t xml:space="preserve">74052</t>
  </si>
  <si>
    <t xml:space="preserve">148224</t>
  </si>
  <si>
    <t xml:space="preserve">37700-85-9</t>
  </si>
  <si>
    <t xml:space="preserve">NCCCC[C@H](NC(=O)[C@@H](N)CC1=CNC=N1)C(O)=O</t>
  </si>
  <si>
    <t xml:space="preserve">CZVQSYNVUHAILZ-UWVGGRQHSA-N</t>
  </si>
  <si>
    <t xml:space="preserve">Lysylhistidine</t>
  </si>
  <si>
    <t xml:space="preserve">HMDB0028953</t>
  </si>
  <si>
    <t xml:space="preserve">85855</t>
  </si>
  <si>
    <t xml:space="preserve">9857010</t>
  </si>
  <si>
    <t xml:space="preserve">35170-01-5</t>
  </si>
  <si>
    <t xml:space="preserve">NCCCC[C@H](N)C(=O)N[C@@H](CC1=CN=CN1)C(O)=O</t>
  </si>
  <si>
    <t xml:space="preserve">IGRMTQMIDNDFAA-UWVGGRQHSA-N</t>
  </si>
  <si>
    <t xml:space="preserve">Cadralazine</t>
  </si>
  <si>
    <t xml:space="preserve">HMDB0041845</t>
  </si>
  <si>
    <t xml:space="preserve">96157</t>
  </si>
  <si>
    <t xml:space="preserve">2515</t>
  </si>
  <si>
    <t xml:space="preserve">64241-34-5</t>
  </si>
  <si>
    <t xml:space="preserve">CCOC(O)=NNC1=NN=C(C=C1)N(CC)CC(C)O</t>
  </si>
  <si>
    <t xml:space="preserve">QLTVVOATEHFXLT-UHFFFAOYSA-N</t>
  </si>
  <si>
    <t xml:space="preserve">Luteolinidin</t>
  </si>
  <si>
    <t xml:space="preserve">HMDB0029249</t>
  </si>
  <si>
    <t xml:space="preserve">86126</t>
  </si>
  <si>
    <t xml:space="preserve">C08652</t>
  </si>
  <si>
    <t xml:space="preserve">6584</t>
  </si>
  <si>
    <t xml:space="preserve">441701</t>
  </si>
  <si>
    <t xml:space="preserve">1154-78-5</t>
  </si>
  <si>
    <t xml:space="preserve">OC1=CC2=[O+]C(=CC=C2C(O)=C1)C1=CC=C(O)C(O)=C1</t>
  </si>
  <si>
    <t xml:space="preserve">GDNIGMNXEKGFIP-UHFFFAOYSA-O</t>
  </si>
  <si>
    <t xml:space="preserve">103-2</t>
  </si>
  <si>
    <t xml:space="preserve">Pelargonidin</t>
  </si>
  <si>
    <t xml:space="preserve">HMDB0003263</t>
  </si>
  <si>
    <t xml:space="preserve">3399</t>
  </si>
  <si>
    <t xml:space="preserve">LMPK12010003</t>
  </si>
  <si>
    <t xml:space="preserve">C05904</t>
  </si>
  <si>
    <t xml:space="preserve">25863</t>
  </si>
  <si>
    <t xml:space="preserve">440832</t>
  </si>
  <si>
    <t xml:space="preserve">7690-51-9</t>
  </si>
  <si>
    <t xml:space="preserve">C1(O)C=C2[O+]=C(C3=CC=C(O)C=C3)C(O)=CC2=C(O)C=1</t>
  </si>
  <si>
    <t xml:space="preserve">XVFMGWDSJLBXDZ-UHFFFAOYSA-O</t>
  </si>
  <si>
    <t xml:space="preserve">Alprenolol</t>
  </si>
  <si>
    <t xml:space="preserve">HMDB0015004</t>
  </si>
  <si>
    <t xml:space="preserve">44522</t>
  </si>
  <si>
    <t xml:space="preserve">51211</t>
  </si>
  <si>
    <t xml:space="preserve">13655-52-2</t>
  </si>
  <si>
    <t xml:space="preserve">CC(C)NCC(O)COC1=CC=CC=C1CC=C</t>
  </si>
  <si>
    <t xml:space="preserve">PAZJSJFMUHDSTF-UHFFFAOYSA-N</t>
  </si>
  <si>
    <t xml:space="preserve">105-2</t>
  </si>
  <si>
    <t xml:space="preserve">N,O-Didesmethylvenlafaxine</t>
  </si>
  <si>
    <t xml:space="preserve">HMDB0060852</t>
  </si>
  <si>
    <t xml:space="preserve">83529</t>
  </si>
  <si>
    <t xml:space="preserve">3451347</t>
  </si>
  <si>
    <t xml:space="preserve">135308-74-6</t>
  </si>
  <si>
    <t xml:space="preserve">CNCC(C1=CC=C(O)C=C1)C1(O)CCCCC1</t>
  </si>
  <si>
    <t xml:space="preserve">MMSWXJSQCAEDLK-UHFFFAOYSA-N</t>
  </si>
  <si>
    <t xml:space="preserve">105-3</t>
  </si>
  <si>
    <t xml:space="preserve">O-Desmethyltramadol</t>
  </si>
  <si>
    <t xml:space="preserve">HMDB0060997</t>
  </si>
  <si>
    <t xml:space="preserve">9838803</t>
  </si>
  <si>
    <t xml:space="preserve">144830-14-8</t>
  </si>
  <si>
    <t xml:space="preserve">CN(C)C[C@H]1CCCC[C@]1(O)C1=CC(O)=CC=C1</t>
  </si>
  <si>
    <t xml:space="preserve">UWJUQVWARXYRCG-HIFRSBDPSA-N</t>
  </si>
  <si>
    <t xml:space="preserve">Cyclohexylphenols</t>
  </si>
  <si>
    <t xml:space="preserve">Nomifensine</t>
  </si>
  <si>
    <t xml:space="preserve">HMDB0255702</t>
  </si>
  <si>
    <t xml:space="preserve">44345</t>
  </si>
  <si>
    <t xml:space="preserve">116225</t>
  </si>
  <si>
    <t xml:space="preserve">4528</t>
  </si>
  <si>
    <t xml:space="preserve">32795-47-4</t>
  </si>
  <si>
    <t xml:space="preserve">CN1CC(C2=CC=CC=C2)C2=C(C1)C(N)=CC=C2</t>
  </si>
  <si>
    <t xml:space="preserve">XXPANQJNYNUNES-UHFFFAOYSA-N</t>
  </si>
  <si>
    <t xml:space="preserve">Metapramine</t>
  </si>
  <si>
    <t xml:space="preserve">HMDB0254506</t>
  </si>
  <si>
    <t xml:space="preserve">CNC1CC2=CC=CC=C2N(C)C2=CC=CC=C12</t>
  </si>
  <si>
    <t xml:space="preserve">YXVZOBVWVRFPTE-UHFFFAOYSA-N</t>
  </si>
  <si>
    <t xml:space="preserve">110-3</t>
  </si>
  <si>
    <t xml:space="preserve">4-(4-Aminophenyl)-5,6,7,8-tetrahydronaphthalen-1-amine</t>
  </si>
  <si>
    <t xml:space="preserve">HMDB0257898</t>
  </si>
  <si>
    <t xml:space="preserve">54391106</t>
  </si>
  <si>
    <t xml:space="preserve">NC1=CC=C(C=C1)C1=C2CCCCC2=C(N)C=C1</t>
  </si>
  <si>
    <t xml:space="preserve">VGRSZFFLBZRCLL-UHFFFAOYSA-N</t>
  </si>
  <si>
    <t xml:space="preserve">Caffeoylmalic acid</t>
  </si>
  <si>
    <t xml:space="preserve">HMDB0029318</t>
  </si>
  <si>
    <t xml:space="preserve">493262</t>
  </si>
  <si>
    <t xml:space="preserve">6124299</t>
  </si>
  <si>
    <t xml:space="preserve">53755-04-7</t>
  </si>
  <si>
    <t xml:space="preserve">OC(=O)CC(OC(=O)\C=C\C1=CC=C(O)C(O)=C1)C(O)=O</t>
  </si>
  <si>
    <t xml:space="preserve">PMKQSEYPLQIEAY-DUXPYHPUSA-N</t>
  </si>
  <si>
    <t xml:space="preserve">111-2</t>
  </si>
  <si>
    <t xml:space="preserve">cis-Coutaric acid</t>
  </si>
  <si>
    <t xml:space="preserve">HMDB0034620</t>
  </si>
  <si>
    <t xml:space="preserve">90083</t>
  </si>
  <si>
    <t xml:space="preserve">69968525</t>
  </si>
  <si>
    <t xml:space="preserve">67920-37-0</t>
  </si>
  <si>
    <t xml:space="preserve">OC(C(OC(=O)\C=C/C1=CC=C(O)C=C1)C(O)=O)C(O)=O</t>
  </si>
  <si>
    <t xml:space="preserve">INYJZRKTYXTZHP-UTCJRWHESA-N</t>
  </si>
  <si>
    <t xml:space="preserve">111-3</t>
  </si>
  <si>
    <t xml:space="preserve">2-O-Feruloyltartronic acid</t>
  </si>
  <si>
    <t xml:space="preserve">HMDB0032957</t>
  </si>
  <si>
    <t xml:space="preserve">88856</t>
  </si>
  <si>
    <t xml:space="preserve">174811</t>
  </si>
  <si>
    <t xml:space="preserve">131751352</t>
  </si>
  <si>
    <t xml:space="preserve">95519-25-8</t>
  </si>
  <si>
    <t xml:space="preserve">COC1=C(O)C=CC(\C=C\C(=O)OC(C(O)=O)C(O)=O)=C1</t>
  </si>
  <si>
    <t xml:space="preserve">ZWXOJLRXYPVVQY-HWKANZROSA-N</t>
  </si>
  <si>
    <t xml:space="preserve">Myrigalone E</t>
  </si>
  <si>
    <t xml:space="preserve">HMDB0030755</t>
  </si>
  <si>
    <t xml:space="preserve">52291</t>
  </si>
  <si>
    <t xml:space="preserve">LMPK12120488</t>
  </si>
  <si>
    <t xml:space="preserve">15747330</t>
  </si>
  <si>
    <t xml:space="preserve">65349-37-3</t>
  </si>
  <si>
    <t xml:space="preserve">C1(OC)C=C(OC)C(C(=O)CCC2C=CC=CC=2)=C(O)C=1C</t>
  </si>
  <si>
    <t xml:space="preserve">ACLIVQJKNNTVHO-UHFFFAOYSA-N</t>
  </si>
  <si>
    <t xml:space="preserve">112-2</t>
  </si>
  <si>
    <t xml:space="preserve">Myrigalon B</t>
  </si>
  <si>
    <t xml:space="preserve">HMDB0037246</t>
  </si>
  <si>
    <t xml:space="preserve">52293</t>
  </si>
  <si>
    <t xml:space="preserve">LMPK12120490</t>
  </si>
  <si>
    <t xml:space="preserve">10086169</t>
  </si>
  <si>
    <t xml:space="preserve">34328-55-7</t>
  </si>
  <si>
    <t xml:space="preserve">C1(OC)C(C)=C(O)C(C(=O)CCC2C=CC=CC=2)=C(O)C=1C</t>
  </si>
  <si>
    <t xml:space="preserve">SGSWJLOWQDDBPP-UHFFFAOYSA-N</t>
  </si>
  <si>
    <t xml:space="preserve">112-3</t>
  </si>
  <si>
    <t xml:space="preserve">Myrigalone A</t>
  </si>
  <si>
    <t xml:space="preserve">HMDB0037245</t>
  </si>
  <si>
    <t xml:space="preserve">52396</t>
  </si>
  <si>
    <t xml:space="preserve">LMPK12120594</t>
  </si>
  <si>
    <t xml:space="preserve">11722329</t>
  </si>
  <si>
    <t xml:space="preserve">34328-57-9</t>
  </si>
  <si>
    <t xml:space="preserve">C1(=O)C(C)(C)C(=O)C(C(=O)CCC2C=CC=CC=2)C(=O)C1C</t>
  </si>
  <si>
    <t xml:space="preserve">CTSXBYQFSBUGKB-UHFFFAOYSA-N</t>
  </si>
  <si>
    <t xml:space="preserve">Glutaminylhistidine</t>
  </si>
  <si>
    <t xml:space="preserve">HMDB0028799</t>
  </si>
  <si>
    <t xml:space="preserve">85713</t>
  </si>
  <si>
    <t xml:space="preserve">9814348</t>
  </si>
  <si>
    <t xml:space="preserve">104018-08-8</t>
  </si>
  <si>
    <t xml:space="preserve">[H][C@](N)(CCC(O)=N)C(O)=N[C@@]([H])(CC1=CN=CN1)C(O)=O</t>
  </si>
  <si>
    <t xml:space="preserve">JZOYFBPIEHCDFV-YUMQZZPRSA-N</t>
  </si>
  <si>
    <t xml:space="preserve">Histidylglutamine</t>
  </si>
  <si>
    <t xml:space="preserve">HMDB0028883</t>
  </si>
  <si>
    <t xml:space="preserve">23820</t>
  </si>
  <si>
    <t xml:space="preserve">9900427</t>
  </si>
  <si>
    <t xml:space="preserve">224638-13-5</t>
  </si>
  <si>
    <t xml:space="preserve">N[C@@H](CC1=CNC=N1)C(=O)N[C@@H](CCC(N)=O)C(O)=O</t>
  </si>
  <si>
    <t xml:space="preserve">CTCFZNBRZBNKAX-YUMQZZPRSA-N</t>
  </si>
  <si>
    <t xml:space="preserve">113-3</t>
  </si>
  <si>
    <t xml:space="preserve">Histidinyl-Gamma-glutamate</t>
  </si>
  <si>
    <t xml:space="preserve">HMDB0028899</t>
  </si>
  <si>
    <t xml:space="preserve">85805</t>
  </si>
  <si>
    <t xml:space="preserve">169018</t>
  </si>
  <si>
    <t xml:space="preserve">131750770</t>
  </si>
  <si>
    <t xml:space="preserve">NC(CCC(=O)NC(=O)C(N)CC1=CN=CN1)C(O)=O</t>
  </si>
  <si>
    <t xml:space="preserve">PFZUBGMULASFDW-UHFFFAOYSA-N</t>
  </si>
  <si>
    <t xml:space="preserve">arabinosyl-2-fluoroadenine</t>
  </si>
  <si>
    <t xml:space="preserve">HMDB0248556</t>
  </si>
  <si>
    <t xml:space="preserve">NC1=NC(F)=NC2=C1NC(=N2)C1OCC(O)C(O)C1O</t>
  </si>
  <si>
    <t xml:space="preserve">LQJONUIZHVUVGO-UHFFFAOYSA-N</t>
  </si>
  <si>
    <t xml:space="preserve">116-2</t>
  </si>
  <si>
    <t xml:space="preserve">2-Fluoroadenosine</t>
  </si>
  <si>
    <t xml:space="preserve">HMDB0245130</t>
  </si>
  <si>
    <t xml:space="preserve">3367</t>
  </si>
  <si>
    <t xml:space="preserve">NC1=NC(F)=NC2=C1N=CN2C1OC(CO)C(O)C1O</t>
  </si>
  <si>
    <t xml:space="preserve">HBUBKKRHXORPQB-UHFFFAOYSA-N</t>
  </si>
  <si>
    <t xml:space="preserve">trans-3,4-Dihydro-3,4-dihydroxy-7,12-dimethylbenz[a]anthracene</t>
  </si>
  <si>
    <t xml:space="preserve">HMDB0060517</t>
  </si>
  <si>
    <t xml:space="preserve">73184</t>
  </si>
  <si>
    <t xml:space="preserve">C19490</t>
  </si>
  <si>
    <t xml:space="preserve">82518</t>
  </si>
  <si>
    <t xml:space="preserve">156317</t>
  </si>
  <si>
    <t xml:space="preserve">68162-13-0</t>
  </si>
  <si>
    <t xml:space="preserve">CC1=C2C=CC3=C(C=C[C@H](O)[C@H]3O)C2=C(C)C2=CC=CC=C12</t>
  </si>
  <si>
    <t xml:space="preserve">YZIIKMBFHLJAFT-ICSRJNTNSA-N</t>
  </si>
  <si>
    <t xml:space="preserve">Phenanthrols</t>
  </si>
  <si>
    <t xml:space="preserve">120-2</t>
  </si>
  <si>
    <t xml:space="preserve">trans-5,6-Dihydro-5,6-dihydroxy-7,12-dimethylbenz[a]anthracene</t>
  </si>
  <si>
    <t xml:space="preserve">HMDB0060519</t>
  </si>
  <si>
    <t xml:space="preserve">C19607</t>
  </si>
  <si>
    <t xml:space="preserve">12778780</t>
  </si>
  <si>
    <t xml:space="preserve">16644-15-8</t>
  </si>
  <si>
    <t xml:space="preserve">CC1=C2[C@H](O)[C@@H](O)C3=CC=CC=C3C2=C(C)C2=CC=CC=C12</t>
  </si>
  <si>
    <t xml:space="preserve">SGVWCDYKBWRHKJ-PMACEKPBSA-N</t>
  </si>
  <si>
    <t xml:space="preserve">5-Hexyl-2-furanoctanoic acid</t>
  </si>
  <si>
    <t xml:space="preserve">HMDB0112099</t>
  </si>
  <si>
    <t xml:space="preserve">74896</t>
  </si>
  <si>
    <t xml:space="preserve">LMFA01150001</t>
  </si>
  <si>
    <t xml:space="preserve">34491</t>
  </si>
  <si>
    <t xml:space="preserve">395943</t>
  </si>
  <si>
    <t xml:space="preserve">C1C=C(CCCCCCCC(=O)O)OC=1CCCCCC</t>
  </si>
  <si>
    <t xml:space="preserve">SZNVIDWMWMWUCY-UHFFFAOYSA-N</t>
  </si>
  <si>
    <t xml:space="preserve">13-OxoODE</t>
  </si>
  <si>
    <t xml:space="preserve">HMDB0004668</t>
  </si>
  <si>
    <t xml:space="preserve">36023</t>
  </si>
  <si>
    <t xml:space="preserve">LMFA02000016</t>
  </si>
  <si>
    <t xml:space="preserve">C14765</t>
  </si>
  <si>
    <t xml:space="preserve">68947</t>
  </si>
  <si>
    <t xml:space="preserve">6446027</t>
  </si>
  <si>
    <t xml:space="preserve">54739-30-9</t>
  </si>
  <si>
    <t xml:space="preserve">C(CCCCCCC/C=C\C=C\C(=O)CCCCC)(=O)O</t>
  </si>
  <si>
    <t xml:space="preserve">JHXAZBBVQSRKJR-BSZOFBHHSA-N</t>
  </si>
  <si>
    <t xml:space="preserve">122-3</t>
  </si>
  <si>
    <t xml:space="preserve">9-OxoODE</t>
  </si>
  <si>
    <t xml:space="preserve">HMDB0004669</t>
  </si>
  <si>
    <t xml:space="preserve">35860</t>
  </si>
  <si>
    <t xml:space="preserve">LMFA02000274</t>
  </si>
  <si>
    <t xml:space="preserve">C14766</t>
  </si>
  <si>
    <t xml:space="preserve">72842</t>
  </si>
  <si>
    <t xml:space="preserve">9839084</t>
  </si>
  <si>
    <t xml:space="preserve">54232-59-6</t>
  </si>
  <si>
    <t xml:space="preserve">OC(=O)CCCCCCCC(=O)/C=C/C=C\CCCCC</t>
  </si>
  <si>
    <t xml:space="preserve">LUZSWWYKKLTDHU-ZJHFMPGASA-N</t>
  </si>
  <si>
    <t xml:space="preserve">5-[(4-Hydroxypheny)ethenyl]-2-(3-methyl-1-butenyl)-1,3-benzenediol</t>
  </si>
  <si>
    <t xml:space="preserve">HMDB0030599</t>
  </si>
  <si>
    <t xml:space="preserve">87087</t>
  </si>
  <si>
    <t xml:space="preserve">172526</t>
  </si>
  <si>
    <t xml:space="preserve">131751056</t>
  </si>
  <si>
    <t xml:space="preserve">CC(C)\C=C\C1=C(O)C=C(\C=C/C2=CC=C(O)C=C2)C=C1O</t>
  </si>
  <si>
    <t xml:space="preserve">XTDKVQYWANHUFS-MZTCIMCMSA-N</t>
  </si>
  <si>
    <t xml:space="preserve">124-2</t>
  </si>
  <si>
    <t xml:space="preserve">Parakmerin A</t>
  </si>
  <si>
    <t xml:space="preserve">HMDB0033950</t>
  </si>
  <si>
    <t xml:space="preserve">89637</t>
  </si>
  <si>
    <t xml:space="preserve">174823</t>
  </si>
  <si>
    <t xml:space="preserve">14213226</t>
  </si>
  <si>
    <t xml:space="preserve">119555-99-6</t>
  </si>
  <si>
    <t xml:space="preserve">COC1=C(O)C=CC(=C1)C1OC2=C(C=C(\C=C\C)C=C2)C1C</t>
  </si>
  <si>
    <t xml:space="preserve">FCFVMNGCSPIORZ-SNAWJCMRSA-N</t>
  </si>
  <si>
    <t xml:space="preserve">124-3</t>
  </si>
  <si>
    <t xml:space="preserve">Cryptotanshinone</t>
  </si>
  <si>
    <t xml:space="preserve">HMDB0035220</t>
  </si>
  <si>
    <t xml:space="preserve">90535</t>
  </si>
  <si>
    <t xml:space="preserve">496348</t>
  </si>
  <si>
    <t xml:space="preserve">35825-57-1</t>
  </si>
  <si>
    <t xml:space="preserve">CC1COC2=C1C(=O)C(=O)C1=C2C=CC2=C1CCCC2(C)C</t>
  </si>
  <si>
    <t xml:space="preserve">GVKKJJOMQCNPGB-UHFFFAOYSA-N</t>
  </si>
  <si>
    <t xml:space="preserve">2-(3-carboxy-3-(trimethylammonio)propyl)-L-histidine</t>
  </si>
  <si>
    <t xml:space="preserve">HMDB0059617</t>
  </si>
  <si>
    <t xml:space="preserve">96237</t>
  </si>
  <si>
    <t xml:space="preserve">71464657</t>
  </si>
  <si>
    <t xml:space="preserve">[H][C@](N)(CC1=CN=C(CCC([H])(C(O)=O)[N+](C)(C)C)N1)C(O)=O</t>
  </si>
  <si>
    <t xml:space="preserve">CBQVLMCHMFGPMX-RGURZIINSA-O</t>
  </si>
  <si>
    <t xml:space="preserve">126-2</t>
  </si>
  <si>
    <t xml:space="preserve">Diphthine</t>
  </si>
  <si>
    <t xml:space="preserve">HMDB0060474</t>
  </si>
  <si>
    <t xml:space="preserve">23657814</t>
  </si>
  <si>
    <t xml:space="preserve">C[N+](C)(C)[C@H](CCC1=NC=C(C[C@H](N)C(O)=O)N1)C(O)=O</t>
  </si>
  <si>
    <t xml:space="preserve">CBQVLMCHMFGPMX-VHSXEESVSA-O</t>
  </si>
  <si>
    <t xml:space="preserve">2-Piperidinecarboxamide, 1-butyl-N-(4-hydroxy-2,6-dimethylphenyl)-</t>
  </si>
  <si>
    <t xml:space="preserve">HMDB0246631</t>
  </si>
  <si>
    <t xml:space="preserve">1414</t>
  </si>
  <si>
    <t xml:space="preserve">162660</t>
  </si>
  <si>
    <t xml:space="preserve">51989-47-0</t>
  </si>
  <si>
    <t xml:space="preserve">CCCCN1CCCCC1C(=O)NC1=C(C)C=C(O)C=C1C</t>
  </si>
  <si>
    <t xml:space="preserve">YVPPHAUZYVAQNM-UHFFFAOYSA-N</t>
  </si>
  <si>
    <t xml:space="preserve">Vadocaine</t>
  </si>
  <si>
    <t xml:space="preserve">HMDB0259736</t>
  </si>
  <si>
    <t xml:space="preserve">68912</t>
  </si>
  <si>
    <t xml:space="preserve">COC1=CC(C)=CC(C)=C1NC(=O)CCN1CCCCC1C</t>
  </si>
  <si>
    <t xml:space="preserve">UJCARUGFZOJPMI-UHFFFAOYSA-N</t>
  </si>
  <si>
    <t xml:space="preserve">MG(0:0)</t>
  </si>
  <si>
    <t xml:space="preserve">HMDB0072844</t>
  </si>
  <si>
    <t xml:space="preserve">51416799</t>
  </si>
  <si>
    <t xml:space="preserve">[H][C@@](O)(CO)COC(=O)CCCCCCCCCCCCC(C)C</t>
  </si>
  <si>
    <t xml:space="preserve">UJXZLNLZBUWQKD-GOSISDBHSA-N</t>
  </si>
  <si>
    <t xml:space="preserve">Monoradylglycerols</t>
  </si>
  <si>
    <t xml:space="preserve">132-2</t>
  </si>
  <si>
    <t xml:space="preserve">3-Palmitoyl-sn-glycerol</t>
  </si>
  <si>
    <t xml:space="preserve">HMDB0245964</t>
  </si>
  <si>
    <t xml:space="preserve">24076</t>
  </si>
  <si>
    <t xml:space="preserve">LMGL01010001</t>
  </si>
  <si>
    <t xml:space="preserve">69081</t>
  </si>
  <si>
    <t xml:space="preserve">14900</t>
  </si>
  <si>
    <t xml:space="preserve">542-44-9</t>
  </si>
  <si>
    <t xml:space="preserve">OCC([H])(O)COC(CCCCCCCCCCCCCCC)=O</t>
  </si>
  <si>
    <t xml:space="preserve">QHZLMUACJMDIAE-UHFFFAOYSA-N</t>
  </si>
  <si>
    <t xml:space="preserve">132-3</t>
  </si>
  <si>
    <t xml:space="preserve">MG(16:0)</t>
  </si>
  <si>
    <t xml:space="preserve">HMDB0011533</t>
  </si>
  <si>
    <t xml:space="preserve">62317</t>
  </si>
  <si>
    <t xml:space="preserve">LMGL01010025</t>
  </si>
  <si>
    <t xml:space="preserve">75455</t>
  </si>
  <si>
    <t xml:space="preserve">123409</t>
  </si>
  <si>
    <t xml:space="preserve">OC[C@]([H])(OC(CCCCCCCCCCCCCCC)=O)CO</t>
  </si>
  <si>
    <t xml:space="preserve">BBNYCLAREVXOSG-UHFFFAOYSA-N</t>
  </si>
  <si>
    <t xml:space="preserve">Isomugineic acid</t>
  </si>
  <si>
    <t xml:space="preserve">HMDB0033555</t>
  </si>
  <si>
    <t xml:space="preserve">89365</t>
  </si>
  <si>
    <t xml:space="preserve">175088</t>
  </si>
  <si>
    <t xml:space="preserve">3085404</t>
  </si>
  <si>
    <t xml:space="preserve">74281-81-5</t>
  </si>
  <si>
    <t xml:space="preserve">OC(CN1CCC1C(O)=O)C(NCCC(O)C(O)=O)C(O)=O</t>
  </si>
  <si>
    <t xml:space="preserve">GJRGEVKCJPPZIT-UHFFFAOYSA-N</t>
  </si>
  <si>
    <t xml:space="preserve">136-2</t>
  </si>
  <si>
    <t xml:space="preserve">D-Fructosazine</t>
  </si>
  <si>
    <t xml:space="preserve">HMDB0035284</t>
  </si>
  <si>
    <t xml:space="preserve">90590</t>
  </si>
  <si>
    <t xml:space="preserve">175089</t>
  </si>
  <si>
    <t xml:space="preserve">11956719</t>
  </si>
  <si>
    <t xml:space="preserve">13185-73-4</t>
  </si>
  <si>
    <t xml:space="preserve">OCC(O)C(O)C(O)C1=CN=C(C=N1)C(O)C(O)C(O)CO</t>
  </si>
  <si>
    <t xml:space="preserve">NPWQIVOYGNUVEB-UHFFFAOYSA-N</t>
  </si>
  <si>
    <t xml:space="preserve">S-6-Hydroxywarfarin</t>
  </si>
  <si>
    <t xml:space="preserve">HMDB0013880</t>
  </si>
  <si>
    <t xml:space="preserve">13427218</t>
  </si>
  <si>
    <t xml:space="preserve">[H][C@](CC(C)=O)(C1=CC=CC=C1)C1=C(O)OC2=CC=C(O)C=C2C1=O</t>
  </si>
  <si>
    <t xml:space="preserve">JFCOGWFGPAUYNK-AWEZNQCLSA-N</t>
  </si>
  <si>
    <t xml:space="preserve">Homoisoflavonoids</t>
  </si>
  <si>
    <t xml:space="preserve">Homoisoflavones</t>
  </si>
  <si>
    <t xml:space="preserve">137-2</t>
  </si>
  <si>
    <t xml:space="preserve">S-4'-Hydroxywarfarin</t>
  </si>
  <si>
    <t xml:space="preserve">HMDB0013881</t>
  </si>
  <si>
    <t xml:space="preserve">6935999</t>
  </si>
  <si>
    <t xml:space="preserve">[H][C@](CC(C)=O)(C1=CC=C(O)C=C1)C1=C(O)OC2=CC=CC=C2C1=O</t>
  </si>
  <si>
    <t xml:space="preserve">UNTPHJKCRGFOFJ-HNNXBMFYSA-N</t>
  </si>
  <si>
    <t xml:space="preserve">137-3</t>
  </si>
  <si>
    <t xml:space="preserve">R-4'-Hydroxywarfarin</t>
  </si>
  <si>
    <t xml:space="preserve">HMDB0013882</t>
  </si>
  <si>
    <t xml:space="preserve">6936000</t>
  </si>
  <si>
    <t xml:space="preserve">[H][C@@](CC(C)=O)(C1=CC=C(O)C=C1)C1=C(O)OC2=CC=CC=C2C1=O</t>
  </si>
  <si>
    <t xml:space="preserve">UNTPHJKCRGFOFJ-OAHLLOKOSA-N</t>
  </si>
  <si>
    <t xml:space="preserve">5-Pyrimidinecarboxylic acid, 1,4-dihydro-2-((2-(2-methylpropoxy)phenyl)amino)-4-oxo-</t>
  </si>
  <si>
    <t xml:space="preserve">HMDB0243486</t>
  </si>
  <si>
    <t xml:space="preserve">127154</t>
  </si>
  <si>
    <t xml:space="preserve">CCC(C)OC1=CC=CC=C1NC1=NC=C(C(O)=O)C(=O)N1</t>
  </si>
  <si>
    <t xml:space="preserve">GPASXNHOXQCREW-UHFFFAOYSA-N</t>
  </si>
  <si>
    <t xml:space="preserve">139-2</t>
  </si>
  <si>
    <t xml:space="preserve">Indoleacetyl glutamine</t>
  </si>
  <si>
    <t xml:space="preserve">HMDB0013240</t>
  </si>
  <si>
    <t xml:space="preserve">70811</t>
  </si>
  <si>
    <t xml:space="preserve">25200879</t>
  </si>
  <si>
    <t xml:space="preserve">6899-04-3</t>
  </si>
  <si>
    <t xml:space="preserve">NC(=O)CCC(NC(=O)CC1=CNC2=CC=CC=C12)C(O)=O</t>
  </si>
  <si>
    <t xml:space="preserve">DVJIJAYHBZALOJ-UHFFFAOYSA-N</t>
  </si>
  <si>
    <t xml:space="preserve">Indenopyridine</t>
  </si>
  <si>
    <t xml:space="preserve">HMDB0253454</t>
  </si>
  <si>
    <t xml:space="preserve">10086446</t>
  </si>
  <si>
    <t xml:space="preserve">CCN1CCC2C(C1)C1=C(C=C(C)C=C1)C2C1=CC=C(C)C=C1</t>
  </si>
  <si>
    <t xml:space="preserve">AYJJTPLDSZAGGA-UHFFFAOYSA-N</t>
  </si>
  <si>
    <t xml:space="preserve">141-2</t>
  </si>
  <si>
    <t xml:space="preserve">Nonyl acridine</t>
  </si>
  <si>
    <t xml:space="preserve">HMDB0255711</t>
  </si>
  <si>
    <t xml:space="preserve">22239671</t>
  </si>
  <si>
    <t xml:space="preserve">CCCCCCCCCC1=CC=CC2=NC3=CC=CC=C3C=C12</t>
  </si>
  <si>
    <t xml:space="preserve">VAXNMTMRMVMKLU-UHFFFAOYSA-N</t>
  </si>
  <si>
    <t xml:space="preserve">Avocadyne</t>
  </si>
  <si>
    <t xml:space="preserve">HMDB0035473</t>
  </si>
  <si>
    <t xml:space="preserve">43517</t>
  </si>
  <si>
    <t xml:space="preserve">LMFA05000643</t>
  </si>
  <si>
    <t xml:space="preserve">3015189</t>
  </si>
  <si>
    <t xml:space="preserve">129099-96-3</t>
  </si>
  <si>
    <t xml:space="preserve">C#CCCCCCCCCCCCC(O)CC(O)CO</t>
  </si>
  <si>
    <t xml:space="preserve">OHLQBKZXSJYBMK-UHFFFAOYSA-N</t>
  </si>
  <si>
    <t xml:space="preserve">143-2</t>
  </si>
  <si>
    <t xml:space="preserve">Muricatacin</t>
  </si>
  <si>
    <t xml:space="preserve">HMDB0038685</t>
  </si>
  <si>
    <t xml:space="preserve">93340</t>
  </si>
  <si>
    <t xml:space="preserve">LMFA05000682</t>
  </si>
  <si>
    <t xml:space="preserve">10016749</t>
  </si>
  <si>
    <t xml:space="preserve">134698-86-5</t>
  </si>
  <si>
    <t xml:space="preserve">CCCCCCCCCCCCC(C1OC(CC1)=O)O</t>
  </si>
  <si>
    <t xml:space="preserve">VFLQJBVJJLGBKM-UHFFFAOYSA-N</t>
  </si>
  <si>
    <t xml:space="preserve">143-3</t>
  </si>
  <si>
    <t xml:space="preserve">2-Tetradecylglycidate</t>
  </si>
  <si>
    <t xml:space="preserve">HMDB0245318</t>
  </si>
  <si>
    <t xml:space="preserve">56614422</t>
  </si>
  <si>
    <t xml:space="preserve">CCCCCCCCCCCCC(C)OC(=O)C1CO1</t>
  </si>
  <si>
    <t xml:space="preserve">VLMGXWFUALFDKF-UHFFFAOYSA-N</t>
  </si>
  <si>
    <t xml:space="preserve">Fructose 6-phosphate</t>
  </si>
  <si>
    <t xml:space="preserve">HMDB0000124</t>
  </si>
  <si>
    <t xml:space="preserve">146</t>
  </si>
  <si>
    <t xml:space="preserve">C00085</t>
  </si>
  <si>
    <t xml:space="preserve">15946</t>
  </si>
  <si>
    <t xml:space="preserve">69507</t>
  </si>
  <si>
    <t xml:space="preserve">643-13-0</t>
  </si>
  <si>
    <t xml:space="preserve">OCC(=O)[C@@H](O)[C@H](O)[C@H](O)COP(O)(O)=O</t>
  </si>
  <si>
    <t xml:space="preserve">GSXOAOHZAIYLCY-HSUXUTPPSA-N</t>
  </si>
  <si>
    <t xml:space="preserve">147-2</t>
  </si>
  <si>
    <t xml:space="preserve">Galactose 1-phosphate</t>
  </si>
  <si>
    <t xml:space="preserve">HMDB0000645</t>
  </si>
  <si>
    <t xml:space="preserve">5618</t>
  </si>
  <si>
    <t xml:space="preserve">C00446</t>
  </si>
  <si>
    <t xml:space="preserve">17973</t>
  </si>
  <si>
    <t xml:space="preserve">123912</t>
  </si>
  <si>
    <t xml:space="preserve">2255-14-3</t>
  </si>
  <si>
    <t xml:space="preserve">OC[C@H]1O[C@H](OP(O)(O)=O)[C@H](O)[C@@H](O)[C@H]1O</t>
  </si>
  <si>
    <t xml:space="preserve">HXXFSFRBOHSIMQ-FPRJBGLDSA-N</t>
  </si>
  <si>
    <t xml:space="preserve">147-3</t>
  </si>
  <si>
    <t xml:space="preserve">myo-Inositol 1-phosphate</t>
  </si>
  <si>
    <t xml:space="preserve">HMDB0000213</t>
  </si>
  <si>
    <t xml:space="preserve">359</t>
  </si>
  <si>
    <t xml:space="preserve">C01177</t>
  </si>
  <si>
    <t xml:space="preserve">18297</t>
  </si>
  <si>
    <t xml:space="preserve">15421-51-9</t>
  </si>
  <si>
    <t xml:space="preserve">O[C@H]1[C@H](O)[C@@H](O)[C@H](OP(O)(O)=O)[C@H](O)[C@@H]1O</t>
  </si>
  <si>
    <t xml:space="preserve">INAPMGSXUVUWAF-UOTPTPDRSA-N</t>
  </si>
  <si>
    <t xml:space="preserve">3-Methyl-5-pentyl-2-furanundecanoic acid</t>
  </si>
  <si>
    <t xml:space="preserve">HMDB0031005</t>
  </si>
  <si>
    <t xml:space="preserve">87343</t>
  </si>
  <si>
    <t xml:space="preserve">LMFA01150013</t>
  </si>
  <si>
    <t xml:space="preserve">11056824</t>
  </si>
  <si>
    <t xml:space="preserve">57818-37-8</t>
  </si>
  <si>
    <t xml:space="preserve">C(CC)CCC1=CC(C)=C(CCCCCCCCCCC(=O)O)O1</t>
  </si>
  <si>
    <t xml:space="preserve">QDTBMEGPXZUECM-UHFFFAOYSA-N</t>
  </si>
  <si>
    <t xml:space="preserve">149-2</t>
  </si>
  <si>
    <t xml:space="preserve">5-Butyl-3,4-dimethyl-2-furanundecanoic acid</t>
  </si>
  <si>
    <t xml:space="preserve">HMDB0112072</t>
  </si>
  <si>
    <t xml:space="preserve">LMFA01150021</t>
  </si>
  <si>
    <t xml:space="preserve">13963852</t>
  </si>
  <si>
    <t xml:space="preserve">107473-41-6</t>
  </si>
  <si>
    <t xml:space="preserve">C(C)CCC1=C(C)C(C)=C(CCCCCCCCCCC(=O)O)O1</t>
  </si>
  <si>
    <t xml:space="preserve">HHLJTVKQHLQNRZ-UHFFFAOYSA-N</t>
  </si>
  <si>
    <t xml:space="preserve">149-3</t>
  </si>
  <si>
    <t xml:space="preserve">3,4-Dimethyl-5-pentyl-2-furandecanoic acid</t>
  </si>
  <si>
    <t xml:space="preserve">HMDB0112067</t>
  </si>
  <si>
    <t xml:space="preserve">LMFA01150029</t>
  </si>
  <si>
    <t xml:space="preserve">85564630</t>
  </si>
  <si>
    <t xml:space="preserve">116627-45-3</t>
  </si>
  <si>
    <t xml:space="preserve">C(CC)CCC1=C(C)C(C)=C(CCCCCCCCCC(=O)O)O1</t>
  </si>
  <si>
    <t xml:space="preserve">SWOLPSUMESXJAB-UHFFFAOYSA-N</t>
  </si>
  <si>
    <t xml:space="preserve">Aranidipine</t>
  </si>
  <si>
    <t xml:space="preserve">HMDB0248563</t>
  </si>
  <si>
    <t xml:space="preserve">321687</t>
  </si>
  <si>
    <t xml:space="preserve">2225</t>
  </si>
  <si>
    <t xml:space="preserve">COC(=O)C1=C(C)NC(C)=C(C1C1=CC=CC=C1[N+]([O-])=O)C(=O)OCC(C)=O</t>
  </si>
  <si>
    <t xml:space="preserve">NCUCGYYHUFIYNU-UHFFFAOYSA-N</t>
  </si>
  <si>
    <t xml:space="preserve">172-2</t>
  </si>
  <si>
    <t xml:space="preserve">3-O-Methyl 5-O-(2-oxopropyl) 2,6-dimethyl-4-(2-nitrophenyl)-3,4-dihydropyridine-3,5-dicarboxylate</t>
  </si>
  <si>
    <t xml:space="preserve">HMDB0260254</t>
  </si>
  <si>
    <t xml:space="preserve">54302981</t>
  </si>
  <si>
    <t xml:space="preserve">COC(=O)C1C(C2=CC=CC=C2[N+]([O-])=O)C(C(=O)OCC(C)=O)=C(C)N=C1C</t>
  </si>
  <si>
    <t xml:space="preserve">SFNSAGXFTUBWBC-UHFFFAOYSA-N</t>
  </si>
  <si>
    <t xml:space="preserve">5-(3,4-Dimethyl-5-pentylfuran-2-yl)pentanoylcarnitine</t>
  </si>
  <si>
    <t xml:space="preserve">HMDB0241845</t>
  </si>
  <si>
    <t xml:space="preserve">CCCCCC1=C(C)C(C)=C(CCCCC(=O)OC(CC([O-])=O)C[N+](C)(C)C)O1</t>
  </si>
  <si>
    <t xml:space="preserve">WRRXGVCJQHRUIW-UHFFFAOYSA-N</t>
  </si>
  <si>
    <t xml:space="preserve">174-2</t>
  </si>
  <si>
    <t xml:space="preserve">6-(5-Hexylfuran-2-yl)hexanoylcarnitine</t>
  </si>
  <si>
    <t xml:space="preserve">HMDB0241848</t>
  </si>
  <si>
    <t xml:space="preserve">CCCCCCC1=CC=C(CCCCCC(=O)OC(CC([O-])=O)C[N+](C)(C)C)O1</t>
  </si>
  <si>
    <t xml:space="preserve">PMKWXVYIIIGJAV-UHFFFAOYSA-N</t>
  </si>
  <si>
    <t xml:space="preserve">174-3</t>
  </si>
  <si>
    <t xml:space="preserve">7-(3,4-Dimethyl-5-propylfuran-2-yl)heptanoylcarnitine</t>
  </si>
  <si>
    <t xml:space="preserve">HMDB0241849</t>
  </si>
  <si>
    <t xml:space="preserve">CCCC1=C(C)C(C)=C(CCCCCCC(=O)OC(CC([O-])=O)C[N+](C)(C)C)O1</t>
  </si>
  <si>
    <t xml:space="preserve">ARBRWHXTRUCFTM-UHFFFAOYSA-N</t>
  </si>
  <si>
    <t xml:space="preserve">Glyceryl monolinoleate</t>
  </si>
  <si>
    <t xml:space="preserve">HMDB0242115</t>
  </si>
  <si>
    <t xml:space="preserve">4252</t>
  </si>
  <si>
    <t xml:space="preserve">LMGL01010006</t>
  </si>
  <si>
    <t xml:space="preserve">75565</t>
  </si>
  <si>
    <t xml:space="preserve">5283469</t>
  </si>
  <si>
    <t xml:space="preserve">26545-74-4</t>
  </si>
  <si>
    <t xml:space="preserve">OCC([H])(O)COC(CCCCCCC/C=C\C/C=C\CCCCC)=O</t>
  </si>
  <si>
    <t xml:space="preserve">WECGLUPZRHILCT-HZJYTTRNSA-N</t>
  </si>
  <si>
    <t xml:space="preserve">MG(18:2)</t>
  </si>
  <si>
    <t xml:space="preserve">HMDB0011538</t>
  </si>
  <si>
    <t xml:space="preserve">62322</t>
  </si>
  <si>
    <t xml:space="preserve">LMGL01010033</t>
  </si>
  <si>
    <t xml:space="preserve">75457</t>
  </si>
  <si>
    <t xml:space="preserve">5365676</t>
  </si>
  <si>
    <t xml:space="preserve">OC[C@]([H])(OC(CCCCCCC/C=C\C/C=C\CCCCC)=O)CO</t>
  </si>
  <si>
    <t xml:space="preserve">IEPGNWMPIFDNSD-HZJYTTRNSA-N</t>
  </si>
  <si>
    <t xml:space="preserve">5-[[Pyridin-3-yl-[3-(trifluoromethyl)phenyl]methylidene]amino]oxypentanoic acid</t>
  </si>
  <si>
    <t xml:space="preserve">HMDB0256278</t>
  </si>
  <si>
    <t xml:space="preserve">OC(=O)CCCCON=C(C1=CN=CC=C1)C1=CC(=CC=C1)C(F)(F)F</t>
  </si>
  <si>
    <t xml:space="preserve">GLLPUTYLZIKEGF-UHFFFAOYSA-N</t>
  </si>
  <si>
    <t xml:space="preserve">186-2</t>
  </si>
  <si>
    <t xml:space="preserve">Ridogrel</t>
  </si>
  <si>
    <t xml:space="preserve">HMDB0015338</t>
  </si>
  <si>
    <t xml:space="preserve">85477</t>
  </si>
  <si>
    <t xml:space="preserve">127439</t>
  </si>
  <si>
    <t xml:space="preserve">5362391</t>
  </si>
  <si>
    <t xml:space="preserve">110140-89-1</t>
  </si>
  <si>
    <t xml:space="preserve">OC(=O)CCCCO\N=C(\C1=CN=CC=C1)C1=CC(=CC=C1)C(F)(F)F</t>
  </si>
  <si>
    <t xml:space="preserve">GLLPUTYLZIKEGF-HAVVHWLPSA-N</t>
  </si>
  <si>
    <t xml:space="preserve">Marinobufagenin</t>
  </si>
  <si>
    <t xml:space="preserve">HMDB0254337</t>
  </si>
  <si>
    <t xml:space="preserve">615793</t>
  </si>
  <si>
    <t xml:space="preserve">CC12CCC3C(CCC4(O)CC(O)CCC34C)C11OC1CC2C1=COC(=O)C=C1</t>
  </si>
  <si>
    <t xml:space="preserve">JMNQTHQLNRILMH-UHFFFAOYSA-N</t>
  </si>
  <si>
    <t xml:space="preserve">Lucidone B</t>
  </si>
  <si>
    <t xml:space="preserve">HMDB0035834</t>
  </si>
  <si>
    <t xml:space="preserve">91055</t>
  </si>
  <si>
    <t xml:space="preserve">131751870</t>
  </si>
  <si>
    <t xml:space="preserve">97653-93-5</t>
  </si>
  <si>
    <t xml:space="preserve">CC(=O)C1CC(=O)C2(C)C3=C(C(=O)CC12C)C1(C)CCC(=O)C(C)(C)C1CC3O</t>
  </si>
  <si>
    <t xml:space="preserve">AJULRUMEMZKBQI-UHFFFAOYSA-N</t>
  </si>
  <si>
    <t xml:space="preserve">Oxosteroids</t>
  </si>
  <si>
    <t xml:space="preserve">190-3</t>
  </si>
  <si>
    <t xml:space="preserve">Nevskin</t>
  </si>
  <si>
    <t xml:space="preserve">HMDB0030162</t>
  </si>
  <si>
    <t xml:space="preserve">86765</t>
  </si>
  <si>
    <t xml:space="preserve">175980</t>
  </si>
  <si>
    <t xml:space="preserve">495442</t>
  </si>
  <si>
    <t xml:space="preserve">61490-17-3</t>
  </si>
  <si>
    <t xml:space="preserve">CC1(O)CCC2C(C)(C)C(O)CCC2(C)C1COC1=CC2=C(C=CC(=O)O2)C=C1</t>
  </si>
  <si>
    <t xml:space="preserve">WNANPKYNOALKIV-UHFFFAOYSA-N</t>
  </si>
  <si>
    <t xml:space="preserve">Bedoradrine</t>
  </si>
  <si>
    <t xml:space="preserve">HMDB0248928</t>
  </si>
  <si>
    <t xml:space="preserve">23287809</t>
  </si>
  <si>
    <t xml:space="preserve">CN(C)C(=O)COC1=CC2=C(CCC(C2)NCC(O)C2=CC(CCO)=C(O)C=C2)C=C1</t>
  </si>
  <si>
    <t xml:space="preserve">OANCEOSLKSTLTA-UHFFFAOYSA-N</t>
  </si>
  <si>
    <t xml:space="preserve">192-2</t>
  </si>
  <si>
    <t xml:space="preserve">Falipamil</t>
  </si>
  <si>
    <t xml:space="preserve">HMDB0252160</t>
  </si>
  <si>
    <t xml:space="preserve">71222</t>
  </si>
  <si>
    <t xml:space="preserve">COC1=C(OC)C=C(CCN(C)CCCN2CC3=CC(OC)=C(OC)C=C3C2=O)C=C1</t>
  </si>
  <si>
    <t xml:space="preserve">UUMGNNQOCVDZDG-UHFFFAOYSA-N</t>
  </si>
  <si>
    <t xml:space="preserve">4alpha-Carboxy-5alpha-cholesta-8-en-3beta-ol</t>
  </si>
  <si>
    <t xml:space="preserve">HMDB0012166</t>
  </si>
  <si>
    <t xml:space="preserve">25200718</t>
  </si>
  <si>
    <t xml:space="preserve">CC(C)CCCC(C)C1CCC2C3=C(CC[C@]12C)[C@@]1(C)CC[C@H](O)[C@H](C1CC3)C(O)=O</t>
  </si>
  <si>
    <t xml:space="preserve">RODBXVVNKJCWQR-KLZNZPMLSA-N</t>
  </si>
  <si>
    <t xml:space="preserve">193-2</t>
  </si>
  <si>
    <t xml:space="preserve">4α-carboxy-5α-cholesta-8-en-3β-ol</t>
  </si>
  <si>
    <t xml:space="preserve">HMDB0062386</t>
  </si>
  <si>
    <t xml:space="preserve">57667</t>
  </si>
  <si>
    <t xml:space="preserve">LMST01010228</t>
  </si>
  <si>
    <t xml:space="preserve">87293</t>
  </si>
  <si>
    <t xml:space="preserve">44263318</t>
  </si>
  <si>
    <t xml:space="preserve">C12CC[C@@]3([H])[C@H](C(=O)O)[C@@H](O)CC[C@]3(C)C=1CC[C@]1(C)[C@@]([H])([C@@](C)([H])CCCC(C)C)CC[C@@]21[H]</t>
  </si>
  <si>
    <t xml:space="preserve">RODBXVVNKJCWQR-GSQAGGHASA-N</t>
  </si>
  <si>
    <t xml:space="preserve">Smilagenone</t>
  </si>
  <si>
    <t xml:space="preserve">HMDB0036941</t>
  </si>
  <si>
    <t xml:space="preserve">91929</t>
  </si>
  <si>
    <t xml:space="preserve">313275</t>
  </si>
  <si>
    <t xml:space="preserve">512-07-2</t>
  </si>
  <si>
    <t xml:space="preserve">CC1C2C(CC3C4CCC5CC(=O)CCC5(C)C4CCC23C)OC11CCC(C)CO1</t>
  </si>
  <si>
    <t xml:space="preserve">CIBAPVLFORANSS-UHFFFAOYSA-N</t>
  </si>
  <si>
    <t xml:space="preserve">Setariol</t>
  </si>
  <si>
    <t xml:space="preserve">HMDB0041583</t>
  </si>
  <si>
    <t xml:space="preserve">131753169</t>
  </si>
  <si>
    <t xml:space="preserve">142942-85-6</t>
  </si>
  <si>
    <t xml:space="preserve">CC(CO)CCCC(=C)C1CCC2(O)C3=CCC4CC(O)CCC44CC34CCC12C</t>
  </si>
  <si>
    <t xml:space="preserve">LHQZNTIWWWUEJH-UHFFFAOYSA-N</t>
  </si>
  <si>
    <t xml:space="preserve">195-3</t>
  </si>
  <si>
    <t xml:space="preserve">((1R,2R,5R)-2-(2,6-Dimethoxy-4-(2-methyloctan-2-yl)phenyl)-7,7-dimethyl-4-bicyclo(3.1.1)hept-3-enyl) methanol</t>
  </si>
  <si>
    <t xml:space="preserve">HMDB0242225</t>
  </si>
  <si>
    <t xml:space="preserve">20764337</t>
  </si>
  <si>
    <t xml:space="preserve">CCCCCCC(C)(C)C1=CC(OC)=C(C2C=C(CO)C3CC2C3(C)C)C(OC)=C1</t>
  </si>
  <si>
    <t xml:space="preserve">CFMRIVODIXTERW-UHFFFAOYSA-N</t>
  </si>
  <si>
    <t xml:space="preserve">Solanocardinol</t>
  </si>
  <si>
    <t xml:space="preserve">HMDB0038836</t>
  </si>
  <si>
    <t xml:space="preserve">93471</t>
  </si>
  <si>
    <t xml:space="preserve">73802037</t>
  </si>
  <si>
    <t xml:space="preserve">138665-46-0</t>
  </si>
  <si>
    <t xml:space="preserve">CC1CNC2C(C)C3C(CC4C5CCC6CC(O)CCC6(C)C5CCC34C)OC2(O)C1</t>
  </si>
  <si>
    <t xml:space="preserve">ZHFCFFSSVSIEIR-UHFFFAOYSA-N</t>
  </si>
  <si>
    <t xml:space="preserve">Steroidal alkaloids</t>
  </si>
  <si>
    <t xml:space="preserve">206-2</t>
  </si>
  <si>
    <t xml:space="preserve">Peimine</t>
  </si>
  <si>
    <t xml:space="preserve">HMDB0256205</t>
  </si>
  <si>
    <t xml:space="preserve">3727034</t>
  </si>
  <si>
    <t xml:space="preserve">CC1CCC2N(C1)CC1C3CC4C(CC(O)C5CC(O)CCC45C)C3CCC1C2(C)O</t>
  </si>
  <si>
    <t xml:space="preserve">IUKLSMSEHKDIIP-UHFFFAOYSA-N</t>
  </si>
  <si>
    <t xml:space="preserve">206-3</t>
  </si>
  <si>
    <t xml:space="preserve">N-Stearoyl phenylalanine</t>
  </si>
  <si>
    <t xml:space="preserve">HMDB0062342</t>
  </si>
  <si>
    <t xml:space="preserve">75475</t>
  </si>
  <si>
    <t xml:space="preserve">LMFA08020093</t>
  </si>
  <si>
    <t xml:space="preserve">6710071</t>
  </si>
  <si>
    <t xml:space="preserve">C1(C=CC=CC=1)C[C@]([H])(NC(CCCCCCCCCCCCCCCCC)=O)C(=O)O</t>
  </si>
  <si>
    <t xml:space="preserve">PHZQULSGYVCYNC-VWLOTQADSA-N</t>
  </si>
  <si>
    <t xml:space="preserve">3-Hydroxylinoleoylcarnitine</t>
  </si>
  <si>
    <t xml:space="preserve">HMDB0240768</t>
  </si>
  <si>
    <t xml:space="preserve">LMFA07070042</t>
  </si>
  <si>
    <t xml:space="preserve">73075</t>
  </si>
  <si>
    <t xml:space="preserve">71464556</t>
  </si>
  <si>
    <t xml:space="preserve">C(C([O-])=O)C(OC(CC(O)CCCCC/C=C\C/C=C\CCCCC)=O)C[N+](C)(C)C</t>
  </si>
  <si>
    <t xml:space="preserve">WQYXCASYXUFNSI-UTJQPWESSA-N</t>
  </si>
  <si>
    <t xml:space="preserve">214-2</t>
  </si>
  <si>
    <t xml:space="preserve">(9Z,12Z)-6-Hydroxyoctadeca-9,12-dienoylcarnitine</t>
  </si>
  <si>
    <t xml:space="preserve">HMDB0241543</t>
  </si>
  <si>
    <t xml:space="preserve">CCCCCC=CCC=CCCC(O)CCCCC(=O)OC(CC([O-])=O)C[N+](C)(C)C</t>
  </si>
  <si>
    <t xml:space="preserve">CLELUHOHSFDURZ-UHFFFAOYSA-N</t>
  </si>
  <si>
    <t xml:space="preserve">214-3</t>
  </si>
  <si>
    <t xml:space="preserve">(11E,13Z)-10-Hydroxyoctadeca-11,13-dienoylcarnitine</t>
  </si>
  <si>
    <t xml:space="preserve">HMDB0241544</t>
  </si>
  <si>
    <t xml:space="preserve">CCCCC=CC=CC(O)CCCCCCCCC(=O)OC(CC([O-])=O)C[N+](C)(C)C</t>
  </si>
  <si>
    <t xml:space="preserve">PGOWXCBADQKSCL-UHFFFAOYSA-N</t>
  </si>
  <si>
    <t xml:space="preserve">(-)-Epicatechin 3-O-gallate</t>
  </si>
  <si>
    <t xml:space="preserve">HMDB0037944</t>
  </si>
  <si>
    <t xml:space="preserve">43599</t>
  </si>
  <si>
    <t xml:space="preserve">LMPK12020090</t>
  </si>
  <si>
    <t xml:space="preserve">70255</t>
  </si>
  <si>
    <t xml:space="preserve">107905</t>
  </si>
  <si>
    <t xml:space="preserve">1257-08-5</t>
  </si>
  <si>
    <t xml:space="preserve">C1(O)C=C2O[C@H](C3C=C(O)C(O)=CC=3)[C@H](OC(C3C=C(O)C(O)=C(O)C=3)=O)CC2=C(O)C=1</t>
  </si>
  <si>
    <t xml:space="preserve">LSHVYAFMTMFKBA-TZIWHRDSSA-N</t>
  </si>
  <si>
    <t xml:space="preserve">218-2</t>
  </si>
  <si>
    <t xml:space="preserve">(-)-Catechin 3-O-gallate</t>
  </si>
  <si>
    <t xml:space="preserve">HMDB0029255</t>
  </si>
  <si>
    <t xml:space="preserve">47307</t>
  </si>
  <si>
    <t xml:space="preserve">LMPK12020091</t>
  </si>
  <si>
    <t xml:space="preserve">76131</t>
  </si>
  <si>
    <t xml:space="preserve">6419835</t>
  </si>
  <si>
    <t xml:space="preserve">130405-40-2</t>
  </si>
  <si>
    <t xml:space="preserve">C1(O)C=C2O[C@@H](C3C=C(O)C(O)=CC=3)[C@H](OC(C3C=C(O)C(O)=C(O)C=3)=O)CC2=C(O)C=1</t>
  </si>
  <si>
    <t xml:space="preserve">LSHVYAFMTMFKBA-CTNGQTDRSA-N</t>
  </si>
  <si>
    <t xml:space="preserve">218-3</t>
  </si>
  <si>
    <t xml:space="preserve">Epicatechin-3-gallate</t>
  </si>
  <si>
    <t xml:space="preserve">HMDB0240514</t>
  </si>
  <si>
    <t xml:space="preserve">47308</t>
  </si>
  <si>
    <t xml:space="preserve">LMPK12020092</t>
  </si>
  <si>
    <t xml:space="preserve">76126</t>
  </si>
  <si>
    <t xml:space="preserve">65056</t>
  </si>
  <si>
    <t xml:space="preserve">C1(O)C=C2O[C@@H](C3C=C(O)C(O)=CC=3)[C@@H](OC(C3C=C(O)C(O)=C(O)C=3)=O)CC2=C(O)C=1</t>
  </si>
  <si>
    <t xml:space="preserve">LSHVYAFMTMFKBA-FPOVZHCZSA-N</t>
  </si>
  <si>
    <t xml:space="preserve">11-Deacetylvaltrate 11-(3-hydroxy-3-methylbutanoate)</t>
  </si>
  <si>
    <t xml:space="preserve">HMDB0033654</t>
  </si>
  <si>
    <t xml:space="preserve">89453</t>
  </si>
  <si>
    <t xml:space="preserve">175765</t>
  </si>
  <si>
    <t xml:space="preserve">131751475</t>
  </si>
  <si>
    <t xml:space="preserve">96681-66-2</t>
  </si>
  <si>
    <t xml:space="preserve">CC(C)CC(=O)OC1C=C2C(C(OC(=O)CC(C)C)OC=C2COC(=O)CC(C)(C)O)C11CO1</t>
  </si>
  <si>
    <t xml:space="preserve">QHYRSOLVOPZTHU-UHFFFAOYSA-N</t>
  </si>
  <si>
    <t xml:space="preserve">219-2</t>
  </si>
  <si>
    <t xml:space="preserve">4-Propanoyl-HT2 toxin</t>
  </si>
  <si>
    <t xml:space="preserve">HMDB0036161</t>
  </si>
  <si>
    <t xml:space="preserve">91312</t>
  </si>
  <si>
    <t xml:space="preserve">131751921</t>
  </si>
  <si>
    <t xml:space="preserve">104903-80-2</t>
  </si>
  <si>
    <t xml:space="preserve">CCC(=O)OC1C(O)C2OC3C=C(C)C(CC3(COC(C)=O)C1(C)C21CO1)OC(=O)CC(C)C</t>
  </si>
  <si>
    <t xml:space="preserve">HHSVPRXLNYVHLR-UHFFFAOYSA-N</t>
  </si>
  <si>
    <t xml:space="preserve">(10Z)-Heptadec-10-enoylcarnitine</t>
  </si>
  <si>
    <t xml:space="preserve">HMDB0241517</t>
  </si>
  <si>
    <t xml:space="preserve">CCCCCCC=CCCCCCCCCC(=O)OC(CC([O-])=O)C[N+](C)(C)C</t>
  </si>
  <si>
    <t xml:space="preserve">SKPHYNUKADBZMQ-UHFFFAOYSA-N</t>
  </si>
  <si>
    <t xml:space="preserve">(9E)-Heptadec-9-enoylcarnitine</t>
  </si>
  <si>
    <t xml:space="preserve">HMDB0241516</t>
  </si>
  <si>
    <t xml:space="preserve">CCCCCCCC=CCCCCCCCC(=O)OC(CC([O-])=O)C[N+](C)(C)C</t>
  </si>
  <si>
    <t xml:space="preserve">HZMKCRJXXVHZKT-UHFFFAOYSA-N</t>
  </si>
  <si>
    <t xml:space="preserve">Involucrin</t>
  </si>
  <si>
    <t xml:space="preserve">HMDB0253506</t>
  </si>
  <si>
    <t xml:space="preserve">104982</t>
  </si>
  <si>
    <t xml:space="preserve">COC1=CC(=CC(OC)=C1OC)C(=O)OC1C2OC2(C)CCC=C(C)CC(OC(C)=O)C1C(C)C</t>
  </si>
  <si>
    <t xml:space="preserve">FSBLXTAIINGBJY-UHFFFAOYSA-N</t>
  </si>
  <si>
    <t xml:space="preserve">229-2</t>
  </si>
  <si>
    <t xml:space="preserve">Lucidenic acid J</t>
  </si>
  <si>
    <t xml:space="preserve">HMDB0035700</t>
  </si>
  <si>
    <t xml:space="preserve">90960</t>
  </si>
  <si>
    <t xml:space="preserve">286498</t>
  </si>
  <si>
    <t xml:space="preserve">CC(CCC(O)=O)C1CC(=O)C2(C)C3=C(C(=O)C(O)C12C)C1(C)CCC(O)C(C)(CO)C1CC3=O</t>
  </si>
  <si>
    <t xml:space="preserve">HAVMVUFJSIMVDG-UHFFFAOYSA-N</t>
  </si>
  <si>
    <t xml:space="preserve">3,7,11,15,23-Pentaoxolanost-8-en-26-oic acid</t>
  </si>
  <si>
    <t xml:space="preserve">HMDB0035980</t>
  </si>
  <si>
    <t xml:space="preserve">91166</t>
  </si>
  <si>
    <t xml:space="preserve">74028537</t>
  </si>
  <si>
    <t xml:space="preserve">98665-14-6</t>
  </si>
  <si>
    <t xml:space="preserve">CC(CC(=O)CC(C)C(O)=O)C1CC(=O)C2(C)C3=C(C(=O)CC12C)C1(C)CCC(=O)C(C)(C)C1CC3=O</t>
  </si>
  <si>
    <t xml:space="preserve">VBGDQDJVTLQGNO-UHFFFAOYSA-N</t>
  </si>
  <si>
    <t xml:space="preserve">Ganoderenic acid D</t>
  </si>
  <si>
    <t xml:space="preserve">HMDB0036059</t>
  </si>
  <si>
    <t xml:space="preserve">131751909</t>
  </si>
  <si>
    <t xml:space="preserve">100665-43-8</t>
  </si>
  <si>
    <t xml:space="preserve">CC(CC(=O)\C=C(\C)C1CC(=O)C2(C)C3=C(C(=O)CC12C)C1(C)CCC(=O)C(C)(C)C1CC3O)C(O)=O</t>
  </si>
  <si>
    <t xml:space="preserve">JGWQYLZHPPFHEH-GDNBJRDFSA-N</t>
  </si>
  <si>
    <t xml:space="preserve">Ganosporelactone A</t>
  </si>
  <si>
    <t xml:space="preserve">HMDB0036406</t>
  </si>
  <si>
    <t xml:space="preserve">91548</t>
  </si>
  <si>
    <t xml:space="preserve">78384957</t>
  </si>
  <si>
    <t xml:space="preserve">138008-04-5</t>
  </si>
  <si>
    <t xml:space="preserve">CC1CC2(CC(C)C(=O)O2)C2C1C1(C)C(O)C(=O)C3=C(C(O)CC4C(C)(C)C(=O)CCC34C)C1(C)C2=O</t>
  </si>
  <si>
    <t xml:space="preserve">BINIQAMAYCKIRZ-UHFFFAOYSA-N</t>
  </si>
  <si>
    <t xml:space="preserve">(2,5-Dihydroxypyrrol-1-yl) 3',6'-dihydroxy-1-oxospiro[2-benzofuran-3,9'-xanthene]-5-carboxylate</t>
  </si>
  <si>
    <t xml:space="preserve">HMDB0242488</t>
  </si>
  <si>
    <t xml:space="preserve">54363199</t>
  </si>
  <si>
    <t xml:space="preserve">OC1=CC=C(O)N1OC(=O)C1=CC2=C(C=C1)C(=O)OC21C2=C(OC3=C1C=CC(O)=C3)C=C(O)C=C2</t>
  </si>
  <si>
    <t xml:space="preserve">UNYDXPRSNNDRDK-UHFFFAOYSA-N</t>
  </si>
  <si>
    <t xml:space="preserve">233-2</t>
  </si>
  <si>
    <t xml:space="preserve">6-Carboxyfluorescein N-succinimidyl ester</t>
  </si>
  <si>
    <t xml:space="preserve">HMDB0247661</t>
  </si>
  <si>
    <t xml:space="preserve">451817</t>
  </si>
  <si>
    <t xml:space="preserve">132203</t>
  </si>
  <si>
    <t xml:space="preserve">2762614</t>
  </si>
  <si>
    <t xml:space="preserve">OC1=CC2=C(C=C1)C1(OC(=O)C3=C1C=C(C=C3)C(=O)ON1C(=O)CCC1=O)C1=C(O2)C=C(O)C=C1</t>
  </si>
  <si>
    <t xml:space="preserve">VDABVNMGKGUPEY-UHFFFAOYSA-N</t>
  </si>
  <si>
    <t xml:space="preserve">233-3</t>
  </si>
  <si>
    <t xml:space="preserve">(2,5-Dihydroxypyrrol-1-yl) 3',6'-dihydroxy-3-oxospiro[2-benzofuran-1,9'-xanthene]-4-carboxylate</t>
  </si>
  <si>
    <t xml:space="preserve">HMDB0242489</t>
  </si>
  <si>
    <t xml:space="preserve">53658517</t>
  </si>
  <si>
    <t xml:space="preserve">OC1=CC=C(O)N1OC(=O)C1=C2C(=O)OC3(C2=CC=C1)C1=C(OC2=C3C=CC(O)=C2)C=C(O)C=C1</t>
  </si>
  <si>
    <t xml:space="preserve">AROXVHWEMBAKAH-UHFFFAOYSA-N</t>
  </si>
  <si>
    <t xml:space="preserve">Clupanodonyl carnitine</t>
  </si>
  <si>
    <t xml:space="preserve">HMDB0006496</t>
  </si>
  <si>
    <t xml:space="preserve">58428</t>
  </si>
  <si>
    <t xml:space="preserve">LMFA07070058</t>
  </si>
  <si>
    <t xml:space="preserve">134424</t>
  </si>
  <si>
    <t xml:space="preserve">53477839</t>
  </si>
  <si>
    <t xml:space="preserve">C(=O)([O-])CC(OC(=O)CC/C=C/CC/C=C/CC/C=C/C/C=C/CC/C=C/CC)C[N+](C)(C)C</t>
  </si>
  <si>
    <t xml:space="preserve">AOSDFVDGMYPTHD-NQXOOMTHSA-N</t>
  </si>
  <si>
    <t xml:space="preserve">235-2</t>
  </si>
  <si>
    <t xml:space="preserve">Docosa-4,7,10,13,16-pentaenoyl carnitine</t>
  </si>
  <si>
    <t xml:space="preserve">HMDB0006321</t>
  </si>
  <si>
    <t xml:space="preserve">58392</t>
  </si>
  <si>
    <t xml:space="preserve">LMFA07070061</t>
  </si>
  <si>
    <t xml:space="preserve">134423</t>
  </si>
  <si>
    <t xml:space="preserve">53477825</t>
  </si>
  <si>
    <t xml:space="preserve">O(C(=O)CC/C=C/C/C=C/C/C=C/C/C=C/C/C=C/CCCCC)C(C[N+](C)(C)C)CC(=O)[O-]</t>
  </si>
  <si>
    <t xml:space="preserve">KRXOUZZWQXTUIB-IDERWEGCSA-N</t>
  </si>
  <si>
    <t xml:space="preserve">235-3</t>
  </si>
  <si>
    <t xml:space="preserve">23-Acetoxysoladulcidine</t>
  </si>
  <si>
    <t xml:space="preserve">HMDB0031402</t>
  </si>
  <si>
    <t xml:space="preserve">131751167</t>
  </si>
  <si>
    <t xml:space="preserve">152128-85-3</t>
  </si>
  <si>
    <t xml:space="preserve">CC1C2C(CC3C4CCC5CC(O)CCC5(C)C4CCC23C)OC11NCC(C)CC1OC(C)=O</t>
  </si>
  <si>
    <t xml:space="preserve">HQJSCXYJQVACQR-UHFFFAOYSA-N</t>
  </si>
  <si>
    <t xml:space="preserve">alpha-D-Xylopyranosyl-(1-&gt;6)-beta-D-glucopyranosyl-(1-&gt;4)-D-glucose</t>
  </si>
  <si>
    <t xml:space="preserve">HMDB0039705</t>
  </si>
  <si>
    <t xml:space="preserve">94260</t>
  </si>
  <si>
    <t xml:space="preserve">74428025</t>
  </si>
  <si>
    <t xml:space="preserve">69637-98-5</t>
  </si>
  <si>
    <t xml:space="preserve">OCC1OC(O)C(O)C(O)C1OC1OC(COC2OCC(O)C(O)C2O)C(O)C(O)C1O</t>
  </si>
  <si>
    <t xml:space="preserve">BSCUNSVAACYEAI-UHFFFAOYSA-N</t>
  </si>
  <si>
    <t xml:space="preserve">238-2</t>
  </si>
  <si>
    <t xml:space="preserve">D-Galactopyranosyl-(1-&gt;3)-D-galactopyranosyl-(1-&gt;3)-L-arabinose</t>
  </si>
  <si>
    <t xml:space="preserve">HMDB0038862</t>
  </si>
  <si>
    <t xml:space="preserve">93491</t>
  </si>
  <si>
    <t xml:space="preserve">131752481</t>
  </si>
  <si>
    <t xml:space="preserve">79043-15-5</t>
  </si>
  <si>
    <t xml:space="preserve">OCC1OC(OC2C(O)C(CO)OC(OC3C(O)COC(O)C3O)C2O)C(O)C(O)C1O</t>
  </si>
  <si>
    <t xml:space="preserve">USDVNAMKKXRXGK-UHFFFAOYSA-N</t>
  </si>
  <si>
    <t xml:space="preserve">238-3</t>
  </si>
  <si>
    <t xml:space="preserve">a-L-Arabinofuranosyl-(1-&gt;2)-[a-D-mannopyranosyl-(1-&gt;6)]-D-mannose</t>
  </si>
  <si>
    <t xml:space="preserve">HMDB0039818</t>
  </si>
  <si>
    <t xml:space="preserve">94366</t>
  </si>
  <si>
    <t xml:space="preserve">76376878</t>
  </si>
  <si>
    <t xml:space="preserve">OCC1OC(OC2C(O)OC(COC3OC(CO)C(O)C(O)C3O)C(O)C2O)C(O)C1O</t>
  </si>
  <si>
    <t xml:space="preserve">KXPJZDSXKZWJBT-UHFFFAOYSA-N</t>
  </si>
  <si>
    <t xml:space="preserve">12-Methyldocosanoylcarnitine</t>
  </si>
  <si>
    <t xml:space="preserve">HMDB0240948</t>
  </si>
  <si>
    <t xml:space="preserve">CCCCCCCCCCC(C)CCCCCCCCCCC(=O)OC(CC([O-])=O)C[N+](C)(C)C</t>
  </si>
  <si>
    <t xml:space="preserve">SGQXIHQBPPOXCR-UHFFFAOYSA-N</t>
  </si>
  <si>
    <t xml:space="preserve">242-2</t>
  </si>
  <si>
    <t xml:space="preserve">19-Methyldocosanoylcarnitine</t>
  </si>
  <si>
    <t xml:space="preserve">HMDB0240949</t>
  </si>
  <si>
    <t xml:space="preserve">CCCC(C)CCCCCCCCCCCCCCCCCC(=O)OC(CC([O-])=O)C[N+](C)(C)C</t>
  </si>
  <si>
    <t xml:space="preserve">PNLRIJVUFCQGGT-UHFFFAOYSA-N</t>
  </si>
  <si>
    <t xml:space="preserve">242-3</t>
  </si>
  <si>
    <t xml:space="preserve">21-Methyldocosanoylcarnitine</t>
  </si>
  <si>
    <t xml:space="preserve">HMDB0240950</t>
  </si>
  <si>
    <t xml:space="preserve">CC(C)CCCCCCCCCCCCCCCCCCCC(=O)OC(CC([O-])=O)C[N+](C)(C)C</t>
  </si>
  <si>
    <t xml:space="preserve">PWNJHEMPMIBWIN-UHFFFAOYSA-N</t>
  </si>
  <si>
    <t xml:space="preserve">(3beta,11alpha,13beta)-3,11,13-Oleananetriol</t>
  </si>
  <si>
    <t xml:space="preserve">HMDB0034521</t>
  </si>
  <si>
    <t xml:space="preserve">89992</t>
  </si>
  <si>
    <t xml:space="preserve">168506</t>
  </si>
  <si>
    <t xml:space="preserve">131751573</t>
  </si>
  <si>
    <t xml:space="preserve">85643-69-2</t>
  </si>
  <si>
    <t xml:space="preserve">CC1(C)CCC2(C)CCC3(C)C4(C)CCC5C(C)(C)C(O)CCC5(C)C4C(O)CC3(O)C2C1</t>
  </si>
  <si>
    <t xml:space="preserve">PVMLWBWORNCCPQ-UHFFFAOYSA-N</t>
  </si>
  <si>
    <t xml:space="preserve">245-2</t>
  </si>
  <si>
    <t xml:space="preserve">Betulafolienetriol</t>
  </si>
  <si>
    <t xml:space="preserve">HMDB0035777</t>
  </si>
  <si>
    <t xml:space="preserve">91016</t>
  </si>
  <si>
    <t xml:space="preserve">131751864</t>
  </si>
  <si>
    <t xml:space="preserve">CC(C)=CCCC(C)(O)C1CCC2(C)C1C(O)CC1C3(C)CCC(O)C(C)(C)C3CCC21C</t>
  </si>
  <si>
    <t xml:space="preserve">PYXFVCFISTUSOO-UHFFFAOYSA-N</t>
  </si>
  <si>
    <t xml:space="preserve">245-3</t>
  </si>
  <si>
    <t xml:space="preserve">Schleicherastatin 2</t>
  </si>
  <si>
    <t xml:space="preserve">HMDB0035803</t>
  </si>
  <si>
    <t xml:space="preserve">85089354</t>
  </si>
  <si>
    <t xml:space="preserve">256445-50-8</t>
  </si>
  <si>
    <t xml:space="preserve">CCC(CC(O)C(C)C1CCC2C3C(OC)C=C4CC(O)CCC4(C)C3CCC12C)C(C)C</t>
  </si>
  <si>
    <t xml:space="preserve">GDNMTUAJVKFDCM-UHFFFAOYSA-N</t>
  </si>
  <si>
    <t xml:space="preserve">Diflunisal glucuronide ester</t>
  </si>
  <si>
    <t xml:space="preserve">HMDB0251263</t>
  </si>
  <si>
    <t xml:space="preserve">78178655</t>
  </si>
  <si>
    <t xml:space="preserve">OC1C(O)C(OC(=O)C2=C(O)C=CC(=C2)C2=C(F)C=C(F)C=C2)OC(C1O)C(O)=O</t>
  </si>
  <si>
    <t xml:space="preserve">HDNSISKAKJZJPR-UHFFFAOYSA-N</t>
  </si>
  <si>
    <t xml:space="preserve">Diflunisal glucuronide ether</t>
  </si>
  <si>
    <t xml:space="preserve">HMDB0251264</t>
  </si>
  <si>
    <t xml:space="preserve">78302010</t>
  </si>
  <si>
    <t xml:space="preserve">OC1C(O)C(OC2=C(C=C(C=C2)C2=C(F)C=C(F)C=C2)C(O)=O)OC(C1O)C(O)=O</t>
  </si>
  <si>
    <t xml:space="preserve">RBZXVQOCMCPTHC-UHFFFAOYSA-N</t>
  </si>
  <si>
    <t xml:space="preserve">rac-4-Hydroxy-4-O-(beta-D-glucuronide)-all-trans-retinyl acetate</t>
  </si>
  <si>
    <t xml:space="preserve">HMDB0060141</t>
  </si>
  <si>
    <t xml:space="preserve">131769845</t>
  </si>
  <si>
    <t xml:space="preserve">CC(=O)OC\C=C(/C)\C=C\C=C(/C)\C=C\C1=C(C)[C@@H](CCC1(C)C)O[C@@H]1O[C@H]([C@@H](O)[C@@H](O)[C@H]1O)C(O)=O</t>
  </si>
  <si>
    <t xml:space="preserve">LFXATGINAILLFU-BSJULFBXSA-N</t>
  </si>
  <si>
    <t xml:space="preserve">251-2</t>
  </si>
  <si>
    <t xml:space="preserve">Withaperuvin D</t>
  </si>
  <si>
    <t xml:space="preserve">HMDB0030116</t>
  </si>
  <si>
    <t xml:space="preserve">131750960</t>
  </si>
  <si>
    <t xml:space="preserve">87749-17-5</t>
  </si>
  <si>
    <t xml:space="preserve">CC1=C(C)C(=O)OC(C1)C(C)(O)C1(O)CCC2(O)C3CC4OC5CC(=O)C(C)(C3CCC12C)C4(O)C5O</t>
  </si>
  <si>
    <t xml:space="preserve">DMAZCUJZFYKTRY-UHFFFAOYSA-N</t>
  </si>
  <si>
    <t xml:space="preserve">(11Z,14Z)-Henicosa-11,14-dienoylcarnitine</t>
  </si>
  <si>
    <t xml:space="preserve">HMDB0241598</t>
  </si>
  <si>
    <t xml:space="preserve">CCCCCCC=CCC=CCCCCCCCCCC(=O)OC(CC([O-])=O)C[N+](C)(C)C</t>
  </si>
  <si>
    <t xml:space="preserve">BSMGLDUXGGPTQC-UHFFFAOYSA-N</t>
  </si>
  <si>
    <t xml:space="preserve">(8Z,11Z)-Henicosa-8,11-dienoylcarnitine</t>
  </si>
  <si>
    <t xml:space="preserve">HMDB0241597</t>
  </si>
  <si>
    <t xml:space="preserve">CCCCCCCCCC=CCC=CCCCCCCC(=O)OC(CC([O-])=O)C[N+](C)(C)C</t>
  </si>
  <si>
    <t xml:space="preserve">MRAJMQMHDBJHBV-UHFFFAOYSA-N</t>
  </si>
  <si>
    <t xml:space="preserve">11-cis-Retinyl palmitate</t>
  </si>
  <si>
    <t xml:space="preserve">HMDB0060338</t>
  </si>
  <si>
    <t xml:space="preserve">53832</t>
  </si>
  <si>
    <t xml:space="preserve">LMPR01090052</t>
  </si>
  <si>
    <t xml:space="preserve">C03455</t>
  </si>
  <si>
    <t xml:space="preserve">16254</t>
  </si>
  <si>
    <t xml:space="preserve">5459829</t>
  </si>
  <si>
    <t xml:space="preserve">51249-33-3</t>
  </si>
  <si>
    <t xml:space="preserve">C1(C(C)(C)CCCC=1C)/C=C/C(/C)=C/C=C\C(\C)=C\COC(=O)CCCCCCCCCCCCCCC</t>
  </si>
  <si>
    <t xml:space="preserve">VYGQUTWHTHXGQB-SXFSSFKVSA-N</t>
  </si>
  <si>
    <t xml:space="preserve">261-2</t>
  </si>
  <si>
    <t xml:space="preserve">Retinyl palmitate</t>
  </si>
  <si>
    <t xml:space="preserve">HMDB0003648</t>
  </si>
  <si>
    <t xml:space="preserve">6970</t>
  </si>
  <si>
    <t xml:space="preserve">LMPR01090013</t>
  </si>
  <si>
    <t xml:space="preserve">C02588</t>
  </si>
  <si>
    <t xml:space="preserve">17616</t>
  </si>
  <si>
    <t xml:space="preserve">5280531</t>
  </si>
  <si>
    <t xml:space="preserve">79-81-2</t>
  </si>
  <si>
    <t xml:space="preserve">C1C(C)(C)C(/C=C/C(=C/C=C/C(=C/COC(CCCCCCCCCCCCCCC)=O)/C)/C)=C(C)CC1</t>
  </si>
  <si>
    <t xml:space="preserve">VYGQUTWHTHXGQB-FFHKNEKCSA-N</t>
  </si>
  <si>
    <t xml:space="preserve">gamma-Glutamylisoleucine</t>
  </si>
  <si>
    <t xml:space="preserve">HMDB0011170</t>
  </si>
  <si>
    <t xml:space="preserve">62019</t>
  </si>
  <si>
    <t xml:space="preserve">68434</t>
  </si>
  <si>
    <t xml:space="preserve">22885096</t>
  </si>
  <si>
    <t xml:space="preserve">23632-83-9</t>
  </si>
  <si>
    <t xml:space="preserve">CC[C@H](C)[C@H](NC(=O)CC[C@H](N)C(O)=O)C(O)=O</t>
  </si>
  <si>
    <t xml:space="preserve">SNCKGJWJABDZHI-ZKWXMUAHSA-N</t>
  </si>
  <si>
    <t xml:space="preserve">278-2</t>
  </si>
  <si>
    <t xml:space="preserve">Glutamylisoleucine</t>
  </si>
  <si>
    <t xml:space="preserve">HMDB0028822</t>
  </si>
  <si>
    <t xml:space="preserve">141436</t>
  </si>
  <si>
    <t xml:space="preserve">9813855</t>
  </si>
  <si>
    <t xml:space="preserve">5879-22-1</t>
  </si>
  <si>
    <t xml:space="preserve">CC[C@H](C)[C@H](NC(=O)[C@@H](N)CCC(O)=O)C(O)=O</t>
  </si>
  <si>
    <t xml:space="preserve">SNFUTDLOCQQRQD-ZKWXMUAHSA-N</t>
  </si>
  <si>
    <t xml:space="preserve">278-3</t>
  </si>
  <si>
    <t xml:space="preserve">gamma-Glutamylleucine</t>
  </si>
  <si>
    <t xml:space="preserve">HMDB0011171</t>
  </si>
  <si>
    <t xml:space="preserve">23750</t>
  </si>
  <si>
    <t xml:space="preserve">68433</t>
  </si>
  <si>
    <t xml:space="preserve">151023</t>
  </si>
  <si>
    <t xml:space="preserve">2566-39-4</t>
  </si>
  <si>
    <t xml:space="preserve">CC(C)C[C@H](NC(=O)CC[C@H](N)C(O)=O)C(O)=O</t>
  </si>
  <si>
    <t xml:space="preserve">MYFMARDICOWMQP-YUMQZZPRSA-N</t>
  </si>
  <si>
    <t xml:space="preserve">26-Methyl nigranoate</t>
  </si>
  <si>
    <t xml:space="preserve">HMDB0033409</t>
  </si>
  <si>
    <t xml:space="preserve">89249</t>
  </si>
  <si>
    <t xml:space="preserve">131751418</t>
  </si>
  <si>
    <t xml:space="preserve">212830-20-1</t>
  </si>
  <si>
    <t xml:space="preserve">COC(=O)C(\C)=C/CCC(C)C1CCC2(C)C3CCC(C(C)=C)C4(CCC(O)=O)CC34CCC12C</t>
  </si>
  <si>
    <t xml:space="preserve">IVXMRCQSVUIHRC-YVNNLAQVSA-N</t>
  </si>
  <si>
    <t xml:space="preserve">3b,18b-3-Methoxy-11-oxo-12-oleanen-30-oic acid</t>
  </si>
  <si>
    <t xml:space="preserve">HMDB0034516</t>
  </si>
  <si>
    <t xml:space="preserve">89988</t>
  </si>
  <si>
    <t xml:space="preserve">175775</t>
  </si>
  <si>
    <t xml:space="preserve">629042</t>
  </si>
  <si>
    <t xml:space="preserve">1477-44-7</t>
  </si>
  <si>
    <t xml:space="preserve">COC(=O)C1(C)CCC2(C)CCC3(C)C(=CC(=O)C4C5(C)CCC(O)C(C)(C)C5CCC34C)C2C1</t>
  </si>
  <si>
    <t xml:space="preserve">RMIVRCBSQPCSCQ-UHFFFAOYSA-N</t>
  </si>
  <si>
    <t xml:space="preserve">281-3</t>
  </si>
  <si>
    <t xml:space="preserve">Methyl 3b,24-dihydroxy-11,13(18)-oleanadien-30-oate</t>
  </si>
  <si>
    <t xml:space="preserve">HMDB0035257</t>
  </si>
  <si>
    <t xml:space="preserve">90565</t>
  </si>
  <si>
    <t xml:space="preserve">168651</t>
  </si>
  <si>
    <t xml:space="preserve">131751692</t>
  </si>
  <si>
    <t xml:space="preserve">98063-17-3</t>
  </si>
  <si>
    <t xml:space="preserve">COC(=O)C1(C)CCC2(C)CCC3(C)C(C=CC4C5(C)CCC(O)C(C)(CO)C5CCC34C)=C2C1</t>
  </si>
  <si>
    <t xml:space="preserve">YAXQAGGRDUKRGH-UHFFFAOYSA-N</t>
  </si>
  <si>
    <t xml:space="preserve">Kaempferol 3-O-acetyl-glucoside</t>
  </si>
  <si>
    <t xml:space="preserve">HMDB0301694</t>
  </si>
  <si>
    <t xml:space="preserve">LMPK12111783</t>
  </si>
  <si>
    <t xml:space="preserve">10435673</t>
  </si>
  <si>
    <t xml:space="preserve">C1(O)=CC2OC(C3C=CC(O)=CC=3)=C(O[C@H]3[C@H](O)[C@@H](O)[C@H](O)[C@@H](COC(C)=O)O3)C(=O)C=2C(O)=C1</t>
  </si>
  <si>
    <t xml:space="preserve">AKENCGNASJPQNR-LNNZMUSMSA-N</t>
  </si>
  <si>
    <t xml:space="preserve">289-2</t>
  </si>
  <si>
    <t xml:space="preserve">Quercetin 3-O-acetyl-rhamnoside</t>
  </si>
  <si>
    <t xml:space="preserve">HMDB0301688</t>
  </si>
  <si>
    <t xml:space="preserve">LMPK12112257</t>
  </si>
  <si>
    <t xml:space="preserve">6324952</t>
  </si>
  <si>
    <t xml:space="preserve">C1C=C(O)C(O)=CC=1C1=C(O[C@H]2[C@H](OC(=O)C)[C@H](O)[C@@H](O)[C@H](C)O2)C(=O)C2C(O)=CC(O)=CC=2O1</t>
  </si>
  <si>
    <t xml:space="preserve">QYSPPPJDISHVRH-ZKLNTULWSA-N</t>
  </si>
  <si>
    <t xml:space="preserve">289-3</t>
  </si>
  <si>
    <t xml:space="preserve">Kaempferol 3-(6-acetylgalactoside)</t>
  </si>
  <si>
    <t xml:space="preserve">HMDB0035466</t>
  </si>
  <si>
    <t xml:space="preserve">90751</t>
  </si>
  <si>
    <t xml:space="preserve">74978029</t>
  </si>
  <si>
    <t xml:space="preserve">CC(=O)OCC1OC(OC2=C(OC3=CC(O)=CC(O)=C3C2=O)C2=CC=C(O)C=C2)C(O)C(O)C1O</t>
  </si>
  <si>
    <t xml:space="preserve">AKENCGNASJPQNR-UHFFFAOYSA-N</t>
  </si>
  <si>
    <t xml:space="preserve">valeryl 4-hydroxy valsartan</t>
  </si>
  <si>
    <t xml:space="preserve">HMDB0259747</t>
  </si>
  <si>
    <t xml:space="preserve">CCCCC(=O)N(CC1=CC=C(C=C1)C1=CC=CC=C1C1=NNN=N1)C(C(C)CO)(C(O)=O)C(=O)CCCC</t>
  </si>
  <si>
    <t xml:space="preserve">JXPAKNRYZWHNII-UHFFFAOYSA-N</t>
  </si>
  <si>
    <t xml:space="preserve">295-2</t>
  </si>
  <si>
    <t xml:space="preserve">Ergoloid</t>
  </si>
  <si>
    <t xml:space="preserve">HMDB0240271</t>
  </si>
  <si>
    <t xml:space="preserve">57059722</t>
  </si>
  <si>
    <t xml:space="preserve">[H][C@@]12CCCN1C(=O)[C@H](C)N1C(=O)[C@](NC(=O)[C@H]3CN(C)[C@]4([H])CC5=CNC6=CC=CC(=C56)[C@@]4([H])C3)(O[C@@]21O)C(C)C</t>
  </si>
  <si>
    <t xml:space="preserve">MCGIZFOPUJLDEN-ZUQOLAOUSA-N</t>
  </si>
  <si>
    <t xml:space="preserve">(7E,10E,13E,16E)-3-Hydroxydocosa-7,10,13,16-tetraenoylcarnitine</t>
  </si>
  <si>
    <t xml:space="preserve">HMDB0241607</t>
  </si>
  <si>
    <t xml:space="preserve">CCCCCC=CCC=CCC=CCC=CCCCC(O)CC(=O)OC(CC([O-])=O)C[N+](C)(C)C</t>
  </si>
  <si>
    <t xml:space="preserve">VNDDHCLZKGIEPZ-UHFFFAOYSA-N</t>
  </si>
  <si>
    <t xml:space="preserve">296-2</t>
  </si>
  <si>
    <t xml:space="preserve">(10E)-11-(3,4-Dimethyl-5-pentylfuran-2-yl)undec-10-enoylcarnitine</t>
  </si>
  <si>
    <t xml:space="preserve">HMDB0241829</t>
  </si>
  <si>
    <t xml:space="preserve">CCCCCC1=C(C)C(C)=C(O1)C=CCCCCCCCCC(=O)OC(CC([O-])=O)C[N+](C)(C)C</t>
  </si>
  <si>
    <t xml:space="preserve">SOOWSWAUNDRVKV-UHFFFAOYSA-N</t>
  </si>
  <si>
    <t xml:space="preserve">296-3</t>
  </si>
  <si>
    <t xml:space="preserve">11-{3,4-Dimethyl-5-[(1E)-pent-1-en-1-yl]furan-2-yl}undecanoylcarnitine</t>
  </si>
  <si>
    <t xml:space="preserve">HMDB0241833</t>
  </si>
  <si>
    <t xml:space="preserve">CCCC=CC1=C(C)C(C)=C(CCCCCCCCCCC(=O)OC(CC([O-])=O)C[N+](C)(C)C)O1</t>
  </si>
  <si>
    <t xml:space="preserve">ZOKGJZKYKVENGW-UHFFFAOYSA-N</t>
  </si>
  <si>
    <t xml:space="preserve">erythro-8,10-Pentatriacontanediol</t>
  </si>
  <si>
    <t xml:space="preserve">HMDB0031275</t>
  </si>
  <si>
    <t xml:space="preserve">87545</t>
  </si>
  <si>
    <t xml:space="preserve">85739786</t>
  </si>
  <si>
    <t xml:space="preserve">193419-80-6</t>
  </si>
  <si>
    <t xml:space="preserve">CCCCCCCCCCCCCCCCCCCCCCCCCC(O)CC(O)CCCCCCC</t>
  </si>
  <si>
    <t xml:space="preserve">MFPJMDCXGYIZMF-UHFFFAOYSA-N</t>
  </si>
  <si>
    <t xml:space="preserve">308-2</t>
  </si>
  <si>
    <t xml:space="preserve">erythro-6,8-Pentatriacontanediol</t>
  </si>
  <si>
    <t xml:space="preserve">HMDB0041074</t>
  </si>
  <si>
    <t xml:space="preserve">95507</t>
  </si>
  <si>
    <t xml:space="preserve">73087500</t>
  </si>
  <si>
    <t xml:space="preserve">155800-92-3</t>
  </si>
  <si>
    <t xml:space="preserve">CCCCCCCCCCCCCCCCCCCCCCCCCCCC(O)CC(O)CCCCC</t>
  </si>
  <si>
    <t xml:space="preserve">ALIQGMLANZVJJZ-UHFFFAOYSA-N</t>
  </si>
  <si>
    <t xml:space="preserve">(2S)-2-Cyclopentyl-2-[4-[(2,4-dimethylpyrido[2,3-b]indol-9-yl)methyl]phenyl]-N-[(1S)-2-hydroxy-1-phenylethyl]acetamide</t>
  </si>
  <si>
    <t xml:space="preserve">HMDB0258043</t>
  </si>
  <si>
    <t xml:space="preserve">11526623</t>
  </si>
  <si>
    <t xml:space="preserve">CC1=NC2=C(C3=CC=CC=C3N2CC2=CC=C(C=C2)C(C2CCCC2)C(=O)NC(CO)C2=CC=CC=C2)C(C)=C1</t>
  </si>
  <si>
    <t xml:space="preserve">KIMRCJZMVARVSU-UHFFFAOYSA-N</t>
  </si>
  <si>
    <t xml:space="preserve">Implitapide</t>
  </si>
  <si>
    <t xml:space="preserve">HMDB0259646</t>
  </si>
  <si>
    <t xml:space="preserve">CC1=NC2=C(C3=CC=CC=C3N2CC2=CC(=CC=C2)C(C2CCCC2)C(=O)NC(CO)C2=CC=CC=C2)C(C)=C1</t>
  </si>
  <si>
    <t xml:space="preserve">AMNXBQPRODZJQR-UHFFFAOYSA-N</t>
  </si>
  <si>
    <t xml:space="preserve">Actodigin</t>
  </si>
  <si>
    <t xml:space="preserve">HMDB0247988</t>
  </si>
  <si>
    <t xml:space="preserve">37595</t>
  </si>
  <si>
    <t xml:space="preserve">CC12CCC3C(CCC4CC(CCC34C)OC3OC(CO)C(O)C(O)C3O)C1(O)CCC2C1=CCOC1=O</t>
  </si>
  <si>
    <t xml:space="preserve">ACLJAFRNPZVVIW-UHFFFAOYSA-N</t>
  </si>
  <si>
    <t xml:space="preserve">319-2</t>
  </si>
  <si>
    <t xml:space="preserve">Corchorosol A</t>
  </si>
  <si>
    <t xml:space="preserve">HMDB0041137</t>
  </si>
  <si>
    <t xml:space="preserve">95566</t>
  </si>
  <si>
    <t xml:space="preserve">4254782</t>
  </si>
  <si>
    <t xml:space="preserve">23838-13-3</t>
  </si>
  <si>
    <t xml:space="preserve">CC1OC(CC(O)C1O)OC1CCC2(CO)C3CCC4(C)C(CCC4(O)C3CCC2(O)C1)C1=CC(=O)OC1</t>
  </si>
  <si>
    <t xml:space="preserve">KISYRRMFQYIIFQ-UHFFFAOYSA-N</t>
  </si>
  <si>
    <t xml:space="preserve">5-(N-Hexadecanoyl)aminofluorescin</t>
  </si>
  <si>
    <t xml:space="preserve">HMDB0246734</t>
  </si>
  <si>
    <t xml:space="preserve">52745</t>
  </si>
  <si>
    <t xml:space="preserve">44140606</t>
  </si>
  <si>
    <t xml:space="preserve">CCCCCCCCCCCCCCCC(=O)NC1=CC(C(O)=O)=C(C=C1)C1=C2C=CC(=O)C=C2OC2=C1C=CC(O)=C2</t>
  </si>
  <si>
    <t xml:space="preserve">NIOAQWNBYGPMHJ-UHFFFAOYSA-N</t>
  </si>
  <si>
    <t xml:space="preserve">5-Hexadecanoylaminofluorescein</t>
  </si>
  <si>
    <t xml:space="preserve">HMDB0248041</t>
  </si>
  <si>
    <t xml:space="preserve">126322</t>
  </si>
  <si>
    <t xml:space="preserve">CCCCCCCCCCCCCCCC(=O)NC1=CC2=C(C=C1)C1(OC2=O)C2=C(OC3=C1C=CC(O)=C3)C=C(O)C=C2</t>
  </si>
  <si>
    <t xml:space="preserve">QWSRVJGBAIRGMP-UHFFFAOYSA-N</t>
  </si>
  <si>
    <t xml:space="preserve">Evodenoson</t>
  </si>
  <si>
    <t xml:space="preserve">HMDB0252137</t>
  </si>
  <si>
    <t xml:space="preserve">59716279</t>
  </si>
  <si>
    <t xml:space="preserve">COC(=O)N1CCC(CC#CC2=NC3=C(N=CN3C3OC(C(O)C3O)C(=O)NC3CC3)C(N)=N2)CC1</t>
  </si>
  <si>
    <t xml:space="preserve">SQJXTUJMBYVDBB-UHFFFAOYSA-N</t>
  </si>
  <si>
    <t xml:space="preserve">328-2</t>
  </si>
  <si>
    <t xml:space="preserve">2-(4-(2-Carboxyethyl)phenethylamino)-5'-N-ethylcarboxamidoadenosine</t>
  </si>
  <si>
    <t xml:space="preserve">HMDB0249866</t>
  </si>
  <si>
    <t xml:space="preserve">91896</t>
  </si>
  <si>
    <t xml:space="preserve">2691</t>
  </si>
  <si>
    <t xml:space="preserve">CCNC(=O)C1OC(C(O)C1O)N1C=NC2=C1N=C(NCCC1=CC=C(CCC(O)=O)C=C1)N=C2N</t>
  </si>
  <si>
    <t xml:space="preserve">PAOANWZGLPPROA-UHFFFAOYSA-N</t>
  </si>
  <si>
    <t xml:space="preserve">Monoglutamyl folate</t>
  </si>
  <si>
    <t xml:space="preserve">HMDB0254856</t>
  </si>
  <si>
    <t xml:space="preserve">NC(CCC(O)=O)C(=O)OC(=O)CCC(NC(=O)C1=CC=C(NCC2=CN=C3N=C(N)NC(=O)C3=N2)C=C1)C(O)=O</t>
  </si>
  <si>
    <t xml:space="preserve">FJUSJWBIWLXZEN-UHFFFAOYSA-N</t>
  </si>
  <si>
    <t xml:space="preserve">335-2</t>
  </si>
  <si>
    <t xml:space="preserve">Monoglutamyl folic acid</t>
  </si>
  <si>
    <t xml:space="preserve">HMDB0254857</t>
  </si>
  <si>
    <t xml:space="preserve">NC(CCC(O)=O)C(=O)C(CC(NC(=O)C1=CC=C(NCC2=CN=C3N=C(N)NC(=O)C3=N2)C=C1)C(O)=O)C(O)=O</t>
  </si>
  <si>
    <t xml:space="preserve">BHGFSXDBVBWAGV-UHFFFAOYSA-N</t>
  </si>
  <si>
    <t xml:space="preserve">335-3</t>
  </si>
  <si>
    <t xml:space="preserve">Diopterin</t>
  </si>
  <si>
    <t xml:space="preserve">HMDB0251432</t>
  </si>
  <si>
    <t xml:space="preserve">115384</t>
  </si>
  <si>
    <t xml:space="preserve">NC1=NC2=NC=C(CNC3=CC=C(C=C3)C(=O)NC(CCC(O)=O)C(=O)NC(CCC(O)=O)C(O)=O)N=C2C(=O)N1</t>
  </si>
  <si>
    <t xml:space="preserve">JOXCYXFULIKANJ-UHFFFAOYSA-N</t>
  </si>
  <si>
    <t xml:space="preserve">Robustocin</t>
  </si>
  <si>
    <t xml:space="preserve">HMDB0035898</t>
  </si>
  <si>
    <t xml:space="preserve">91101</t>
  </si>
  <si>
    <t xml:space="preserve">131751881</t>
  </si>
  <si>
    <t xml:space="preserve">CCCCCCCCCCCCCCC(O)C1CCC(O1)C1CCC(CCCCCCCC2=CC(C)OC2=O)O1</t>
  </si>
  <si>
    <t xml:space="preserve">XINHKDZHJWEKBB-UHFFFAOYSA-N</t>
  </si>
  <si>
    <t xml:space="preserve">342-2</t>
  </si>
  <si>
    <t xml:space="preserve">DG(32:3)</t>
  </si>
  <si>
    <t xml:space="preserve">HMDB0007017</t>
  </si>
  <si>
    <t xml:space="preserve">58652</t>
  </si>
  <si>
    <t xml:space="preserve">88808</t>
  </si>
  <si>
    <t xml:space="preserve">53477953</t>
  </si>
  <si>
    <t xml:space="preserve">[H][C@](CO)(COC(=O)CCCCCCCCCCCCC)OC(=O)CCCC\C=C/C\C=C/C\C=C/CCCCC</t>
  </si>
  <si>
    <t xml:space="preserve">IAIYEYSEKAMSAJ-ANQMXWCJSA-N</t>
  </si>
  <si>
    <t xml:space="preserve">Isotheaflavin</t>
  </si>
  <si>
    <t xml:space="preserve">HMDB0029483</t>
  </si>
  <si>
    <t xml:space="preserve">154729469</t>
  </si>
  <si>
    <t xml:space="preserve">31701-93-6</t>
  </si>
  <si>
    <t xml:space="preserve">O[C@@H]1CC2=C(O)C=C(O)C=C2O[C@@H]1C1=CC(O)=C(O)C2=C(O)C(=O)C=C(C=C12)[C@H]1OC2=C(C[C@@H]1O)C(O)=CC(O)=C2</t>
  </si>
  <si>
    <t xml:space="preserve">IPMYMEWFZKHGAX-XDPYCTQPSA-N</t>
  </si>
  <si>
    <t xml:space="preserve">Theaflavin</t>
  </si>
  <si>
    <t xml:space="preserve">HMDB0005788</t>
  </si>
  <si>
    <t xml:space="preserve">136609</t>
  </si>
  <si>
    <t xml:space="preserve">114777</t>
  </si>
  <si>
    <t xml:space="preserve">4670-05-7</t>
  </si>
  <si>
    <t xml:space="preserve">O[C@@H]1CC2=C(O)C=C(O)C=C2O[C@@H]1C1=CC(O)=C(O)C2=C(O)C(=O)C=C(C=C12)[C@H]1OC2=C(C[C@H]1O)C(O)=CC(O)=C2</t>
  </si>
  <si>
    <t xml:space="preserve">IPMYMEWFZKHGAX-ZKSIBHASSA-N</t>
  </si>
  <si>
    <t xml:space="preserve">344-3</t>
  </si>
  <si>
    <t xml:space="preserve">Isoneotheaflavin</t>
  </si>
  <si>
    <t xml:space="preserve">HMDB0029256</t>
  </si>
  <si>
    <t xml:space="preserve">86131</t>
  </si>
  <si>
    <t xml:space="preserve">131750829</t>
  </si>
  <si>
    <t xml:space="preserve">O[C@H]1CC2=C(OC1C1=CC(O)=C(O)C3=C1C=C(C=C(O)C3=O)C1OC3=C(C[C@@H]1O)C(O)=CC(O)=C3)C=C(O)C=C2O</t>
  </si>
  <si>
    <t xml:space="preserve">IPMYMEWFZKHGAX-YFVLFDEISA-N</t>
  </si>
  <si>
    <t xml:space="preserve">DG(32:2)</t>
  </si>
  <si>
    <t xml:space="preserve">HMDB0007016</t>
  </si>
  <si>
    <t xml:space="preserve">58651</t>
  </si>
  <si>
    <t xml:space="preserve">LMGL02010385</t>
  </si>
  <si>
    <t xml:space="preserve">84392</t>
  </si>
  <si>
    <t xml:space="preserve">14275352</t>
  </si>
  <si>
    <t xml:space="preserve">OC[C@]([H])(OC(CCCCCCC/C=C\C/C=C\CCCCC)=O)COC(CCCCCCCCCCCCC)=O</t>
  </si>
  <si>
    <t xml:space="preserve">WVBVUWWRPSWGDS-JWVBYZEHSA-N</t>
  </si>
  <si>
    <t xml:space="preserve">345-2</t>
  </si>
  <si>
    <t xml:space="preserve">Annotemoyin 1</t>
  </si>
  <si>
    <t xml:space="preserve">HMDB0031390</t>
  </si>
  <si>
    <t xml:space="preserve">87643</t>
  </si>
  <si>
    <t xml:space="preserve">176064</t>
  </si>
  <si>
    <t xml:space="preserve">73029717</t>
  </si>
  <si>
    <t xml:space="preserve">180892-69-7</t>
  </si>
  <si>
    <t xml:space="preserve">CCCCCCCCCCC(O)C1CCC(O1)C(O)CCCCCCCCCCCCCCC1=CC(C)OC1=O</t>
  </si>
  <si>
    <t xml:space="preserve">YWTXVAUUCWGHSO-UHFFFAOYSA-N</t>
  </si>
  <si>
    <t xml:space="preserve">345-3</t>
  </si>
  <si>
    <t xml:space="preserve">Panatellin</t>
  </si>
  <si>
    <t xml:space="preserve">HMDB0032094</t>
  </si>
  <si>
    <t xml:space="preserve">88178</t>
  </si>
  <si>
    <t xml:space="preserve">176065</t>
  </si>
  <si>
    <t xml:space="preserve">73107670</t>
  </si>
  <si>
    <t xml:space="preserve">205439-32-3</t>
  </si>
  <si>
    <t xml:space="preserve">CCCCCCCCCCCCCCC(O)C1CCC(O1)C(O)CCCCCCCCCCC1=CC(C)OC1=O</t>
  </si>
  <si>
    <t xml:space="preserve">UYZAPRRSXWLQCO-UHFFFAOYSA-N</t>
  </si>
  <si>
    <t xml:space="preserve">6-Thioinosinic acid</t>
  </si>
  <si>
    <t xml:space="preserve">HMDB0060791</t>
  </si>
  <si>
    <t xml:space="preserve">313872</t>
  </si>
  <si>
    <t xml:space="preserve">676166</t>
  </si>
  <si>
    <t xml:space="preserve">OC[C@H]1O[C@H]([C@H](O)[C@@H]1O)N1C=NC2=C1N=CN=C2S</t>
  </si>
  <si>
    <t xml:space="preserve">NKGPJODWTZCHGF-KQYNXXCUSA-N</t>
  </si>
  <si>
    <t xml:space="preserve">348-2</t>
  </si>
  <si>
    <t xml:space="preserve">6-Thioinosine</t>
  </si>
  <si>
    <t xml:space="preserve">HMDB0255798</t>
  </si>
  <si>
    <t xml:space="preserve">2861016</t>
  </si>
  <si>
    <t xml:space="preserve">OCC1OC(C(O)C1O)N1C=NC2=C1NC=NC2=S</t>
  </si>
  <si>
    <t xml:space="preserve">NKGPJODWTZCHGF-UHFFFAOYSA-N</t>
  </si>
  <si>
    <t xml:space="preserve">Luteolin 7-glucoside 3'-glucuronide</t>
  </si>
  <si>
    <t xml:space="preserve">HMDB0301956</t>
  </si>
  <si>
    <t xml:space="preserve">49142</t>
  </si>
  <si>
    <t xml:space="preserve">44258136</t>
  </si>
  <si>
    <t xml:space="preserve">[H]C1(CO)O[C@@]([H])(OC2=CC(O)=C3C(=O)C=C(OC3=C2)C2=CC(O[C@]3([H])OC([H])(C(O)=O)[C@@]([H])(O)[C@]([H])(O)C3([H])O)=C(O)C=C2)C([H])(O)[C@@]([H])(O)[C@]1([H])O</t>
  </si>
  <si>
    <t xml:space="preserve">XSWBHFPDOTXBBV-ZXJFBCABSA-N</t>
  </si>
  <si>
    <t xml:space="preserve">349-2</t>
  </si>
  <si>
    <t xml:space="preserve">Quercetin 7-glucuronide 3-rhamnoside</t>
  </si>
  <si>
    <t xml:space="preserve">HMDB0036264</t>
  </si>
  <si>
    <t xml:space="preserve">91409</t>
  </si>
  <si>
    <t xml:space="preserve">131751924</t>
  </si>
  <si>
    <t xml:space="preserve">CC1OC(OC2=C(OC3=CC(OC4OC(C(O)C(O)C4O)C(O)=O)=CC(O)=C3C2=O)C2=CC(O)=C(O)C=C2)C(O)C(O)C1O</t>
  </si>
  <si>
    <t xml:space="preserve">WKPJKGBJWOCOIM-UHFFFAOYSA-N</t>
  </si>
  <si>
    <t xml:space="preserve">349-3</t>
  </si>
  <si>
    <t xml:space="preserve">Luteolin 4'-glucoside 7-galacturonide</t>
  </si>
  <si>
    <t xml:space="preserve">HMDB0038809</t>
  </si>
  <si>
    <t xml:space="preserve">93450</t>
  </si>
  <si>
    <t xml:space="preserve">14769209</t>
  </si>
  <si>
    <t xml:space="preserve">126207-52-1</t>
  </si>
  <si>
    <t xml:space="preserve">OCC1OC(OC2=C(O)C=C(C=C2)C2=CC(=O)C3=C(O)C=C(OC4OC(C(O)C(O)C4O)C(O)=O)C=C3O2)C(O)C(O)C1O</t>
  </si>
  <si>
    <t xml:space="preserve">DUNZXXOAZWJFBE-UHFFFAOYSA-N</t>
  </si>
  <si>
    <t xml:space="preserve">Hericenone F</t>
  </si>
  <si>
    <t xml:space="preserve">HMDB0039593</t>
  </si>
  <si>
    <t xml:space="preserve">94151</t>
  </si>
  <si>
    <t xml:space="preserve">176109</t>
  </si>
  <si>
    <t xml:space="preserve">11757751</t>
  </si>
  <si>
    <t xml:space="preserve">141996-36-3</t>
  </si>
  <si>
    <t xml:space="preserve">CCCCCCCCCCCCCCCC(=O)OCC1=CC(OC)=C2CCC(C)(CC(=O)C=C(C)C)OC2=C1C=O</t>
  </si>
  <si>
    <t xml:space="preserve">ACYSSVIUKOTZQD-UHFFFAOYSA-N</t>
  </si>
  <si>
    <t xml:space="preserve">Hericenone C</t>
  </si>
  <si>
    <t xml:space="preserve">HMDB0039138</t>
  </si>
  <si>
    <t xml:space="preserve">93735</t>
  </si>
  <si>
    <t xml:space="preserve">172745</t>
  </si>
  <si>
    <t xml:space="preserve">15658905</t>
  </si>
  <si>
    <t xml:space="preserve">137592-03-1</t>
  </si>
  <si>
    <t xml:space="preserve">CCCCCCCCCCCCCCCC(=O)OCC1=CC(OC)=C(C\C=C(/C)CC(=O)C=C(C)C)C(O)=C1C=O</t>
  </si>
  <si>
    <t xml:space="preserve">OGYBKWUOLWCQDS-VFCFBJKWSA-N</t>
  </si>
  <si>
    <t xml:space="preserve">Momordicoside G</t>
  </si>
  <si>
    <t xml:space="preserve">HMDB0035821</t>
  </si>
  <si>
    <t xml:space="preserve">131751869</t>
  </si>
  <si>
    <t xml:space="preserve">81371-54-2</t>
  </si>
  <si>
    <t xml:space="preserve">COC(C)(C)\C=C\CC(C)C1CCC2(C)C3C=CC45OCC3(CCC12C)C4CCC(OC1OC(CO)C(O)C(O)C1O)C5(C)C</t>
  </si>
  <si>
    <t xml:space="preserve">MQGABSJZVJOSCX-OQLLNIDSSA-N</t>
  </si>
  <si>
    <t xml:space="preserve">28-Glucopyranosyl-3-methyloleanolic acid</t>
  </si>
  <si>
    <t xml:space="preserve">HMDB0036966</t>
  </si>
  <si>
    <t xml:space="preserve">91954</t>
  </si>
  <si>
    <t xml:space="preserve">176262</t>
  </si>
  <si>
    <t xml:space="preserve">131752118</t>
  </si>
  <si>
    <t xml:space="preserve">51996-63-5</t>
  </si>
  <si>
    <t xml:space="preserve">COC1CCC2(C)C(CCC3(C)C2CC=C2C4CC(C)(C)CCC4(CCC32C)C(=O)OC2OC(CO)C(O)C(O)C2O)C1(C)C</t>
  </si>
  <si>
    <t xml:space="preserve">RMYQUHMJDCWPQR-UHFFFAOYSA-N</t>
  </si>
  <si>
    <t xml:space="preserve">DG(34:2)</t>
  </si>
  <si>
    <t xml:space="preserve">HMDB0007022</t>
  </si>
  <si>
    <t xml:space="preserve">58657</t>
  </si>
  <si>
    <t xml:space="preserve">LMGL02010390</t>
  </si>
  <si>
    <t xml:space="preserve">88796</t>
  </si>
  <si>
    <t xml:space="preserve">53477957</t>
  </si>
  <si>
    <t xml:space="preserve">OC[C@]([H])(OC(CCCCCCCCC/C=C\C/C=C\CCCCC)=O)COC(CCCCCCCCCCCCC)=O</t>
  </si>
  <si>
    <t xml:space="preserve">YGOMWJXISJKIPY-CJZWHCSYSA-N</t>
  </si>
  <si>
    <t xml:space="preserve">355-2</t>
  </si>
  <si>
    <t xml:space="preserve">cis-Uvariamicin IB</t>
  </si>
  <si>
    <t xml:space="preserve">HMDB0032714</t>
  </si>
  <si>
    <t xml:space="preserve">88644</t>
  </si>
  <si>
    <t xml:space="preserve">176175</t>
  </si>
  <si>
    <t xml:space="preserve">14759336</t>
  </si>
  <si>
    <t xml:space="preserve">CCCCCCCCCCCCCCC(O)C1CCC(O1)C(O)CCCCCCCCCCCCC1=CC(C)OC1=O</t>
  </si>
  <si>
    <t xml:space="preserve">UXILAQXAZFVOFT-UHFFFAOYSA-N</t>
  </si>
  <si>
    <t xml:space="preserve">355-3</t>
  </si>
  <si>
    <t xml:space="preserve">Reticulatain 2</t>
  </si>
  <si>
    <t xml:space="preserve">HMDB0034302</t>
  </si>
  <si>
    <t xml:space="preserve">89832</t>
  </si>
  <si>
    <t xml:space="preserve">176176</t>
  </si>
  <si>
    <t xml:space="preserve">131751543</t>
  </si>
  <si>
    <t xml:space="preserve">166022-36-2</t>
  </si>
  <si>
    <t xml:space="preserve">CCCCCCCCCCC(O)C1CCC(COCCCCCCCCCCCCCCCCC2=CC(C)OC2=O)O1</t>
  </si>
  <si>
    <t xml:space="preserve">VVRFLFPCWOLOIF-UHFFFAOYSA-N</t>
  </si>
  <si>
    <t xml:space="preserve">6'-Sialyllactose</t>
  </si>
  <si>
    <t xml:space="preserve">HMDB0006569</t>
  </si>
  <si>
    <t xml:space="preserve">58463</t>
  </si>
  <si>
    <t xml:space="preserve">643987</t>
  </si>
  <si>
    <t xml:space="preserve">35890-39-2</t>
  </si>
  <si>
    <t xml:space="preserve">[H][C@]1(O[C@@](C[C@H](O)[C@H]1NC(C)=O)(OC[C@H]1O[C@@H](O[C@H]([C@H](O)CO)[C@H](O)[C@@H](O)C=O)[C@H](O)[C@@H](O)[C@H]1O)C(O)=O)[C@H](O)[C@H](O)CO</t>
  </si>
  <si>
    <t xml:space="preserve">VMWYCXKMRSTDSP-GIGDJUIZSA-N</t>
  </si>
  <si>
    <t xml:space="preserve">356-2</t>
  </si>
  <si>
    <t xml:space="preserve">Neu5NAcalpha2-&gt;6lactose</t>
  </si>
  <si>
    <t xml:space="preserve">HMDB0255553</t>
  </si>
  <si>
    <t xml:space="preserve">4302459</t>
  </si>
  <si>
    <t xml:space="preserve">CC(O)=NC1C(O)CC(OCC2OC(OC3C(CO)OC(O)C(O)C3O)C(O)C(O)C2O)(OC1C(O)C(O)CO)C(O)=O</t>
  </si>
  <si>
    <t xml:space="preserve">TYALNJQZQRNQNQ-UHFFFAOYSA-N</t>
  </si>
  <si>
    <t xml:space="preserve">356-3</t>
  </si>
  <si>
    <t xml:space="preserve">3'-Sialyllactose</t>
  </si>
  <si>
    <t xml:space="preserve">HMDB0000825</t>
  </si>
  <si>
    <t xml:space="preserve">5788</t>
  </si>
  <si>
    <t xml:space="preserve">123914</t>
  </si>
  <si>
    <t xml:space="preserve">35890-38-1</t>
  </si>
  <si>
    <t xml:space="preserve">[H][C@]1(O[C@@](C[C@H](O)[C@H]1NC(C)=O)(O[C@H]1[C@@H](O)[C@@H](CO)O[C@@H](O[C@H]([C@H](O)CO)[C@H](O)[C@@H](O)C=O)[C@@H]1O)C(O)=O)[C@H](O)[C@H](O)CO</t>
  </si>
  <si>
    <t xml:space="preserve">OIZGSVFYNBZVIK-FHHHURIISA-N</t>
  </si>
  <si>
    <t xml:space="preserve">Glycerol 1-(9Z-octadecenoate) 2-tetradecanoate 3-phosphate</t>
  </si>
  <si>
    <t xml:space="preserve">HMDB0031131</t>
  </si>
  <si>
    <t xml:space="preserve">87431</t>
  </si>
  <si>
    <t xml:space="preserve">170137</t>
  </si>
  <si>
    <t xml:space="preserve">131751138</t>
  </si>
  <si>
    <t xml:space="preserve">CCCCCCCCCCCCCC(=O)OC(COC(=O)CCCCCCC\C=C\CCCCCCCC)COP(O)(O)=O</t>
  </si>
  <si>
    <t xml:space="preserve">SOEWBJRWWSGRKM-WUKNDPDISA-N</t>
  </si>
  <si>
    <t xml:space="preserve">PA(32:1)</t>
  </si>
  <si>
    <t xml:space="preserve">HMDB0114855</t>
  </si>
  <si>
    <t xml:space="preserve">81371</t>
  </si>
  <si>
    <t xml:space="preserve">LMGP10010205</t>
  </si>
  <si>
    <t xml:space="preserve">52928798</t>
  </si>
  <si>
    <t xml:space="preserve">[C@](COP(=O)(O)O)([H])(OC(CCCCCCCCCCCCCCC)=O)COC(CCCCCCC/C=C\CCCCCC)=O</t>
  </si>
  <si>
    <t xml:space="preserve">RCNDQKSBSIYZCH-AVKQKRQHSA-N</t>
  </si>
  <si>
    <t xml:space="preserve">Methyl 3,4,6-tri-O-galloyl-beta-D-glucopyranoside</t>
  </si>
  <si>
    <t xml:space="preserve">HMDB0039183</t>
  </si>
  <si>
    <t xml:space="preserve">93776</t>
  </si>
  <si>
    <t xml:space="preserve">13270027</t>
  </si>
  <si>
    <t xml:space="preserve">89927-26-4</t>
  </si>
  <si>
    <t xml:space="preserve">COC1OC(COC(=O)C2=CC(O)=C(O)C(O)=C2)C(OC(=O)C2=CC(O)=C(O)C(O)=C2)C(OC(=O)C2=CC(O)=C(O)C(O)=C2)C1O</t>
  </si>
  <si>
    <t xml:space="preserve">DXMITXYQZDSXOV-UHFFFAOYSA-N</t>
  </si>
  <si>
    <t xml:space="preserve">371-2</t>
  </si>
  <si>
    <t xml:space="preserve">Methyl 2,3,6-tri-O-galloyl-beta-D-glucopyranoside</t>
  </si>
  <si>
    <t xml:space="preserve">HMDB0039184</t>
  </si>
  <si>
    <t xml:space="preserve">93777</t>
  </si>
  <si>
    <t xml:space="preserve">78407221</t>
  </si>
  <si>
    <t xml:space="preserve">COC1OC(COC(=O)C2=CC(O)=C(O)C(O)=C2)C(O)C(OC(=O)C2=CC(O)=C(O)C(O)=C2)C1OC(=O)C1=CC(O)=C(O)C(O)=C1</t>
  </si>
  <si>
    <t xml:space="preserve">ITRFLIAWJCCQTF-UHFFFAOYSA-N</t>
  </si>
  <si>
    <t xml:space="preserve">CE(5D5)</t>
  </si>
  <si>
    <t xml:space="preserve">HMDB0112214</t>
  </si>
  <si>
    <t xml:space="preserve">131819657</t>
  </si>
  <si>
    <t xml:space="preserve">CCCCCC1=C(C)C(C)=C(CCCCC(=O)OC2CCC3(C)C4CCC5(C)C(CCC5C4CC=C3C2)C(C)CCCC(C)C)O1</t>
  </si>
  <si>
    <t xml:space="preserve">YCJJGFRFRQSJCX-UHFFFAOYSA-N</t>
  </si>
  <si>
    <t xml:space="preserve">373-2</t>
  </si>
  <si>
    <t xml:space="preserve">CE(6F6)</t>
  </si>
  <si>
    <t xml:space="preserve">HMDB0112217</t>
  </si>
  <si>
    <t xml:space="preserve">131819660</t>
  </si>
  <si>
    <t xml:space="preserve">CCCCCCC1=CC=C(CCCCCC(=O)OC2CCC3(C)C4CCC5(C)C(CCC5C4CC=C3C2)C(C)CCCC(C)C)O1</t>
  </si>
  <si>
    <t xml:space="preserve">DVCZIGGEBQPRCU-UHFFFAOYSA-N</t>
  </si>
  <si>
    <t xml:space="preserve">373-3</t>
  </si>
  <si>
    <t xml:space="preserve">CE(7D3)</t>
  </si>
  <si>
    <t xml:space="preserve">HMDB0112218</t>
  </si>
  <si>
    <t xml:space="preserve">131819661</t>
  </si>
  <si>
    <t xml:space="preserve">CCCC1=C(C)C(C)=C(CCCCCCC(=O)OC2CCC3(C)C4CCC5(C)C(CCC5C4CC=C3C2)C(C)CCCC(C)C)O1</t>
  </si>
  <si>
    <t xml:space="preserve">TWGJAWLEECMYLP-UHFFFAOYSA-N</t>
  </si>
  <si>
    <t xml:space="preserve">Bolasterone</t>
  </si>
  <si>
    <t xml:space="preserve">HMDB0006048</t>
  </si>
  <si>
    <t xml:space="preserve">41841</t>
  </si>
  <si>
    <t xml:space="preserve">LMST02020017</t>
  </si>
  <si>
    <t xml:space="preserve">C14475</t>
  </si>
  <si>
    <t xml:space="preserve">529021</t>
  </si>
  <si>
    <t xml:space="preserve">102146</t>
  </si>
  <si>
    <t xml:space="preserve">1605-89-6</t>
  </si>
  <si>
    <t xml:space="preserve">C1[C@]2(C)[C@@]3([H])CC[C@]4(C)[C@@](C)(O)CC[C@@]4([H])[C@]3([H])[C@H](C)CC2=CC(=O)C1</t>
  </si>
  <si>
    <t xml:space="preserve">IVFYLRMMHVYGJH-VLOLGRDOSA-N</t>
  </si>
  <si>
    <t xml:space="preserve">Pregnenolone</t>
  </si>
  <si>
    <t xml:space="preserve">HMDB0000253</t>
  </si>
  <si>
    <t xml:space="preserve">24078</t>
  </si>
  <si>
    <t xml:space="preserve">LMST02030088</t>
  </si>
  <si>
    <t xml:space="preserve">C01953</t>
  </si>
  <si>
    <t xml:space="preserve">16581</t>
  </si>
  <si>
    <t xml:space="preserve">8955</t>
  </si>
  <si>
    <t xml:space="preserve">145-13-1</t>
  </si>
  <si>
    <t xml:space="preserve">[C@]12(CC=C3C[C@@H](O)CC[C@]3(C)[C@@]1([H])CC[C@]1(C)[C@@H](C(=O)C)CC[C@@]21[H])[H]</t>
  </si>
  <si>
    <t xml:space="preserve">ORNBQBCIOKFOEO-QGVNFLHTSA-N</t>
  </si>
  <si>
    <t xml:space="preserve">382-3</t>
  </si>
  <si>
    <t xml:space="preserve">5-beta-pregnan-3,20 dione</t>
  </si>
  <si>
    <t xml:space="preserve">HMDB0304221</t>
  </si>
  <si>
    <t xml:space="preserve">57844</t>
  </si>
  <si>
    <t xml:space="preserve">LMST02030146</t>
  </si>
  <si>
    <t xml:space="preserve">C05479</t>
  </si>
  <si>
    <t xml:space="preserve">30154</t>
  </si>
  <si>
    <t xml:space="preserve">92745</t>
  </si>
  <si>
    <t xml:space="preserve">C1C[C@]2(C)[C@@H](C(=O)C)CC[C@@]2([H])[C@]2([H])CC[C@]3([H])CC(CC[C@]3(C)[C@]21[H])=O</t>
  </si>
  <si>
    <t xml:space="preserve">XMRPGKVKISIQBV-XWOJZHJZSA-N</t>
  </si>
  <si>
    <t xml:space="preserve">2,4,12-Octadecatrienoic acid isobutylamide</t>
  </si>
  <si>
    <t xml:space="preserve">HMDB0032033</t>
  </si>
  <si>
    <t xml:space="preserve">88135</t>
  </si>
  <si>
    <t xml:space="preserve">25221579</t>
  </si>
  <si>
    <t xml:space="preserve">151391-69-4</t>
  </si>
  <si>
    <t xml:space="preserve">CCCCC\C=C/CCCCCC\C=C\C=C\C(=O)NCC(C)C</t>
  </si>
  <si>
    <t xml:space="preserve">PCWWIOUZYOPZHT-VBUSEHTESA-N</t>
  </si>
  <si>
    <t xml:space="preserve">389-2</t>
  </si>
  <si>
    <t xml:space="preserve">n-arachidonylethanolamine</t>
  </si>
  <si>
    <t xml:space="preserve">HMDB0255084</t>
  </si>
  <si>
    <t xml:space="preserve">54036647</t>
  </si>
  <si>
    <t xml:space="preserve">CCCCCC=CCC=CCC=CCC=CCCCCNCCO</t>
  </si>
  <si>
    <t xml:space="preserve">LJKYKFRQAQCNIN-UHFFFAOYSA-N</t>
  </si>
  <si>
    <t xml:space="preserve">6,8-Heneicosanedione</t>
  </si>
  <si>
    <t xml:space="preserve">HMDB0035570</t>
  </si>
  <si>
    <t xml:space="preserve">90850</t>
  </si>
  <si>
    <t xml:space="preserve">91701186</t>
  </si>
  <si>
    <t xml:space="preserve">CCCCCCCCCCCCCC(=O)CC(=O)CCCCC</t>
  </si>
  <si>
    <t xml:space="preserve">MRBZNGRWKALXEA-UHFFFAOYSA-N</t>
  </si>
  <si>
    <t xml:space="preserve">4,6-Heneicosanedione</t>
  </si>
  <si>
    <t xml:space="preserve">HMDB0035571</t>
  </si>
  <si>
    <t xml:space="preserve">90851</t>
  </si>
  <si>
    <t xml:space="preserve">131751805</t>
  </si>
  <si>
    <t xml:space="preserve">CCCCCCCCCCCCCCCC(=O)CC(=O)CCC</t>
  </si>
  <si>
    <t xml:space="preserve">QTRYUTJOIDZDOP-UHFFFAOYSA-N</t>
  </si>
  <si>
    <t xml:space="preserve">6''-Malonylapiin</t>
  </si>
  <si>
    <t xml:space="preserve">HMDB0037601</t>
  </si>
  <si>
    <t xml:space="preserve">92444</t>
  </si>
  <si>
    <t xml:space="preserve">6275871</t>
  </si>
  <si>
    <t xml:space="preserve">60478-75-3</t>
  </si>
  <si>
    <t xml:space="preserve">OCC1(O)COC(OC2C(O)C(O)C(COC(=O)CC(O)=O)OC2OC2=CC(O)=C3C(=O)C=C(OC3=C2)C2=CC=C(O)C=C2)C1O</t>
  </si>
  <si>
    <t xml:space="preserve">JNAHTYWPEQLJRT-UHFFFAOYSA-N</t>
  </si>
  <si>
    <t xml:space="preserve">391-2</t>
  </si>
  <si>
    <t xml:space="preserve">Apigenin 7-O-(6''-malonyl-apiosyl-glucoside)</t>
  </si>
  <si>
    <t xml:space="preserve">HMDB0301683</t>
  </si>
  <si>
    <t xml:space="preserve">O[C@@H]1[C@@H](COC(=O)CC(O)=O)O[C@@H](OC[C@H]2O[C@@H](OC3=CC(O)=C4C(=O)C=C(OC4=C3)C3=CC=C(O)C=C3)[C@H](O)[C@@H](O)[C@@H]2O)[C@@H]1O</t>
  </si>
  <si>
    <t xml:space="preserve">CWXBFJLEJGCTRB-PMUUMJNOSA-N</t>
  </si>
  <si>
    <t xml:space="preserve">391-3</t>
  </si>
  <si>
    <t xml:space="preserve">3,4,5-Trimethoxyphenyl 2,6-digalloylglucoside</t>
  </si>
  <si>
    <t xml:space="preserve">HMDB0039312</t>
  </si>
  <si>
    <t xml:space="preserve">93896</t>
  </si>
  <si>
    <t xml:space="preserve">131752606</t>
  </si>
  <si>
    <t xml:space="preserve">125288-23-5</t>
  </si>
  <si>
    <t xml:space="preserve">COC1=CC(OC2OC(COC(=O)C3=CC(O)=C(O)C(O)=C3)C(O)C(O)C2OC(=O)C2=CC(O)=C(O)C(O)=C2)=CC(OC)=C1OC</t>
  </si>
  <si>
    <t xml:space="preserve">HGBGRHUFMIOHAP-UHFFFAOYSA-N</t>
  </si>
  <si>
    <t xml:space="preserve">PC(29:1)</t>
  </si>
  <si>
    <t xml:space="preserve">HMDB0007901</t>
  </si>
  <si>
    <t xml:space="preserve">LMGP01011382</t>
  </si>
  <si>
    <t xml:space="preserve">52922246</t>
  </si>
  <si>
    <t xml:space="preserve">[C@](COP(=O)([O-])OCC[N+](C)(C)C)([H])(OC(CCCCCCCCCCCCCC)=O)COC(CCCCCCC/C=C\CCCC)=O</t>
  </si>
  <si>
    <t xml:space="preserve">YKVGKTUIHABLLA-JUOLSMOWSA-N</t>
  </si>
  <si>
    <t xml:space="preserve">396-2</t>
  </si>
  <si>
    <t xml:space="preserve">PE(32:1)</t>
  </si>
  <si>
    <t xml:space="preserve">HMDB0008827</t>
  </si>
  <si>
    <t xml:space="preserve">60271</t>
  </si>
  <si>
    <t xml:space="preserve">53479551</t>
  </si>
  <si>
    <t xml:space="preserve">[H][C@@](COC(=O)CCCCCCCCCCCCC)(COP(O)(=O)OCCN)OC(=O)CCCCCCCCC\C=C/CCCCCC</t>
  </si>
  <si>
    <t xml:space="preserve">UFSJDLNEPCFOCJ-JUOLSMOWSA-N</t>
  </si>
  <si>
    <t xml:space="preserve">Hesperetin 5,7-O-diglucuronide</t>
  </si>
  <si>
    <t xml:space="preserve">HMDB0041744</t>
  </si>
  <si>
    <t xml:space="preserve">131753195</t>
  </si>
  <si>
    <t xml:space="preserve">COC1=CC=C(C=C1O)C1CC(=O)C2=C(O1)C=C(O[C@@H]1O[C@@H]([C@@H](O)[C@H](O)[C@H]1O)C(O)=O)C=C2O[C@@H]1O[C@@H]([C@@H](O)[C@H](O)[C@H]1O)C(O)=O</t>
  </si>
  <si>
    <t xml:space="preserve">DDHZYRQUEFLRIC-HXPBIGRZSA-N</t>
  </si>
  <si>
    <t xml:space="preserve">397-2</t>
  </si>
  <si>
    <t xml:space="preserve">Hesperetin 3',7-O-diglucuronide</t>
  </si>
  <si>
    <t xml:space="preserve">HMDB0041742</t>
  </si>
  <si>
    <t xml:space="preserve">131753194</t>
  </si>
  <si>
    <t xml:space="preserve">COC1=CC=C(C=C1O[C@@H]1O[C@@H]([C@@H](O)[C@H](O)[C@H]1O)C(O)=O)C1CC(=O)C2=C(O1)C=C(O[C@@H]1O[C@@H]([C@@H](O)[C@H](O)[C@H]1O)C(O)=O)C=C2O</t>
  </si>
  <si>
    <t xml:space="preserve">DRQALSJOSDMKCR-HXPBIGRZSA-N</t>
  </si>
  <si>
    <t xml:space="preserve">397-3</t>
  </si>
  <si>
    <t xml:space="preserve">3-Methylellagic acid 2-(4-galactosylglucoside)</t>
  </si>
  <si>
    <t xml:space="preserve">HMDB0041397</t>
  </si>
  <si>
    <t xml:space="preserve">95798</t>
  </si>
  <si>
    <t xml:space="preserve">131753133</t>
  </si>
  <si>
    <t xml:space="preserve">113963-57-8</t>
  </si>
  <si>
    <t xml:space="preserve">COC1=C(O)C=C2C(=O)OC3=C4C(=CC(OC5OC(CO)C(OC6OC(CO)C(O)C(O)C6O)C(O)C5O)=C3OC)C(=O)OC1=C24</t>
  </si>
  <si>
    <t xml:space="preserve">NPSMQMOQUDNLHU-UHFFFAOYSA-N</t>
  </si>
  <si>
    <t xml:space="preserve">Apigenin 7-sulfate</t>
  </si>
  <si>
    <t xml:space="preserve">HMDB0037851</t>
  </si>
  <si>
    <t xml:space="preserve">48862</t>
  </si>
  <si>
    <t xml:space="preserve">LMPK12110431</t>
  </si>
  <si>
    <t xml:space="preserve">14016776</t>
  </si>
  <si>
    <t xml:space="preserve">56857-56-8</t>
  </si>
  <si>
    <t xml:space="preserve">C1(OS(O)(=O)=O)=CC2OC(C3C=CC(O)=CC=3)=CC(=O)C=2C(O)=C1</t>
  </si>
  <si>
    <t xml:space="preserve">UQUHXFINOFUDCC-UHFFFAOYSA-N</t>
  </si>
  <si>
    <t xml:space="preserve">398-2</t>
  </si>
  <si>
    <t xml:space="preserve">Genistein 7-sulfate</t>
  </si>
  <si>
    <t xml:space="preserve">HMDB0240522</t>
  </si>
  <si>
    <t xml:space="preserve">10291508</t>
  </si>
  <si>
    <t xml:space="preserve">OC1=CC=C(C=C1)C1=COC2=CC(OS(O)(=O)=O)=CC(O)=C2C1=O</t>
  </si>
  <si>
    <t xml:space="preserve">DKEIWIJUHWVGRC-UHFFFAOYSA-N</t>
  </si>
  <si>
    <t xml:space="preserve">Carnocin U I49</t>
  </si>
  <si>
    <t xml:space="preserve">HMDB0038223</t>
  </si>
  <si>
    <t xml:space="preserve">142540-01-0</t>
  </si>
  <si>
    <t xml:space="preserve">CCCCCCCCOC1=CC=C(\C=N\C2=CC=C(C=C2)C#N)C=C1</t>
  </si>
  <si>
    <t xml:space="preserve">OUUJTVZTPFJGMR-HKOYGPOVSA-N</t>
  </si>
  <si>
    <t xml:space="preserve">399-2</t>
  </si>
  <si>
    <t xml:space="preserve">Acrylfentanyl</t>
  </si>
  <si>
    <t xml:space="preserve">HMDB0259663</t>
  </si>
  <si>
    <t xml:space="preserve">10314851</t>
  </si>
  <si>
    <t xml:space="preserve">C=CC(=O)N(C1CCN(CCC2=CC=CC=C2)CC1)C1=CC=CC=C1</t>
  </si>
  <si>
    <t xml:space="preserve">RFQNLMWUIJJEQF-UHFFFAOYSA-N</t>
  </si>
  <si>
    <t xml:space="preserve">AS 1-2</t>
  </si>
  <si>
    <t xml:space="preserve">HMDB0032795</t>
  </si>
  <si>
    <t xml:space="preserve">88718</t>
  </si>
  <si>
    <t xml:space="preserve">131751311</t>
  </si>
  <si>
    <t xml:space="preserve">CCCCCCCCCCCCCC(O)C(=O)NC(COC1OC(CO)C(O)C(O)C1O)C(O)\C=C/CC\C=C/CCCCCCCCC</t>
  </si>
  <si>
    <t xml:space="preserve">NHVGKAGJOWJYCD-VFRXEOFNSA-N</t>
  </si>
  <si>
    <t xml:space="preserve">411-2</t>
  </si>
  <si>
    <t xml:space="preserve">Lucyobroside</t>
  </si>
  <si>
    <t xml:space="preserve">HMDB0031983</t>
  </si>
  <si>
    <t xml:space="preserve">88094</t>
  </si>
  <si>
    <t xml:space="preserve">169916</t>
  </si>
  <si>
    <t xml:space="preserve">131751236</t>
  </si>
  <si>
    <t xml:space="preserve">189272-90-0</t>
  </si>
  <si>
    <t xml:space="preserve">CCCCCCCCCCCCC(O)C(\O)=N\C(COC1OC(CO)C(O)C(O)C1O)C(O)\C=C\CC\C=C\CCCCCCCCCC</t>
  </si>
  <si>
    <t xml:space="preserve">ILIBLZKROFPFRG-OQHYMBEVSA-N</t>
  </si>
  <si>
    <t xml:space="preserve">PC(33:4)</t>
  </si>
  <si>
    <t xml:space="preserve">HMDB0007943</t>
  </si>
  <si>
    <t xml:space="preserve">59393</t>
  </si>
  <si>
    <t xml:space="preserve">LMGP01011418</t>
  </si>
  <si>
    <t xml:space="preserve">52922318</t>
  </si>
  <si>
    <t xml:space="preserve">[C@](COP(=O)([O-])OCC[N+](C)(C)C)([H])(OC(CCCC/C=C\C/C=C\C/C=C\C/C=C\CC)=O)COC(CCCCCCCCCCCCCC)=O</t>
  </si>
  <si>
    <t xml:space="preserve">DPPYJZPUMHOJFQ-IASQADCASA-N</t>
  </si>
  <si>
    <t xml:space="preserve">412-2</t>
  </si>
  <si>
    <t xml:space="preserve">PE(36:4)</t>
  </si>
  <si>
    <t xml:space="preserve">HMDB0008844</t>
  </si>
  <si>
    <t xml:space="preserve">60288</t>
  </si>
  <si>
    <t xml:space="preserve">LMGP02010421</t>
  </si>
  <si>
    <t xml:space="preserve">52924126</t>
  </si>
  <si>
    <t xml:space="preserve">[C@](COP(=O)(O)OCCN)([H])(OC(CCCCC/C=C\C/C=C\C/C=C\C/C=C\CCCCC)=O)COC(CCCCCCCCCCCCC)=O</t>
  </si>
  <si>
    <t xml:space="preserve">KUPNWZACJRZMJD-SIOSMUJOSA-N</t>
  </si>
  <si>
    <t xml:space="preserve">Phosphatidate(42:9)</t>
  </si>
  <si>
    <t xml:space="preserve">HMDB0115166</t>
  </si>
  <si>
    <t xml:space="preserve">131822015</t>
  </si>
  <si>
    <t xml:space="preserve">[H][C@@](COC(=O)CCC\C=C/C\C=C/C\C=C/C\C=C/CCCCC)(COP(O)(O)=O)OC(=O)CC\C=C/C\C=C/C\C=C/C\C=C/C\C=C/CCCCC</t>
  </si>
  <si>
    <t xml:space="preserve">OJSWZOMEIYMAEK-GSMLWTHRSA-N</t>
  </si>
  <si>
    <t xml:space="preserve">416-2</t>
  </si>
  <si>
    <t xml:space="preserve">PA(42:9)</t>
  </si>
  <si>
    <t xml:space="preserve">HMDB0115584</t>
  </si>
  <si>
    <t xml:space="preserve">81783</t>
  </si>
  <si>
    <t xml:space="preserve">LMGP10010617</t>
  </si>
  <si>
    <t xml:space="preserve">52929210</t>
  </si>
  <si>
    <t xml:space="preserve">[C@](COP(=O)(O)O)([H])(OC(CC/C=C\C/C=C\C/C=C\C/C=C\C/C=C\C/C=C\CC)=O)COC(CCCCCC/C=C\C/C=C\C/C=C\CCCCC)=O</t>
  </si>
  <si>
    <t xml:space="preserve">XJZHIKFUENATHK-DYINNSHSSA-N</t>
  </si>
  <si>
    <t xml:space="preserve">PE(35:0)</t>
  </si>
  <si>
    <t xml:space="preserve">HMDB0008899</t>
  </si>
  <si>
    <t xml:space="preserve">60342</t>
  </si>
  <si>
    <t xml:space="preserve">LMGP02010463</t>
  </si>
  <si>
    <t xml:space="preserve">131145</t>
  </si>
  <si>
    <t xml:space="preserve">446872</t>
  </si>
  <si>
    <t xml:space="preserve">[C@](COP(=O)(O)OCCN)([H])(OC(CCCCCCCCCCCCCCCCCCC)=O)COC(CCCCCCCCCCCCCC)=O</t>
  </si>
  <si>
    <t xml:space="preserve">NJGIRBISCGPRPF-KXQOOQHDSA-N</t>
  </si>
  <si>
    <t xml:space="preserve">418-2</t>
  </si>
  <si>
    <t xml:space="preserve">PC(32:0)</t>
  </si>
  <si>
    <t xml:space="preserve">HMDB0000564</t>
  </si>
  <si>
    <t xml:space="preserve">39306</t>
  </si>
  <si>
    <t xml:space="preserve">LMGP01010564</t>
  </si>
  <si>
    <t xml:space="preserve">72999</t>
  </si>
  <si>
    <t xml:space="preserve">452110</t>
  </si>
  <si>
    <t xml:space="preserve">63-89-8</t>
  </si>
  <si>
    <t xml:space="preserve">[C@](COP(=O)([O-])OCC[N+](C)(C)C)([H])(OC(CCCCCCCCCCCCCCC)=O)COC(CCCCCCCCCCCCCCC)=O</t>
  </si>
  <si>
    <t xml:space="preserve">KILNVBDSWZSGLL-KXQOOQHDSA-N</t>
  </si>
  <si>
    <t xml:space="preserve">5,6-Dimethoxysterigmatocystin</t>
  </si>
  <si>
    <t xml:space="preserve">HMDB0030592</t>
  </si>
  <si>
    <t xml:space="preserve">87081</t>
  </si>
  <si>
    <t xml:space="preserve">5284386</t>
  </si>
  <si>
    <t xml:space="preserve">65176-75-2</t>
  </si>
  <si>
    <t xml:space="preserve">COC1=CC2=C(C3C=COC3O2)C2=C1C(=O)C1=C(O2)C(OC)=C(OC)C=C1O</t>
  </si>
  <si>
    <t xml:space="preserve">RSPJLZQIZABVSE-UHFFFAOYSA-N</t>
  </si>
  <si>
    <t xml:space="preserve">Sterigmatocystins</t>
  </si>
  <si>
    <t xml:space="preserve">424-2</t>
  </si>
  <si>
    <t xml:space="preserve">Theasaponin F2</t>
  </si>
  <si>
    <t xml:space="preserve">HMDB0302086</t>
  </si>
  <si>
    <t xml:space="preserve">5282117</t>
  </si>
  <si>
    <t xml:space="preserve">CC(=O)C1=C(O)C2=C(CC3=CC(O)=CC(O)=C3C2=O)C=C1\C=C(/O)CC(O)=O</t>
  </si>
  <si>
    <t xml:space="preserve">OVIPDYYHLHEFDF-PQMHYQBVSA-N</t>
  </si>
  <si>
    <t xml:space="preserve">Licorice glycoside C1</t>
  </si>
  <si>
    <t xml:space="preserve">HMDB0031995</t>
  </si>
  <si>
    <t xml:space="preserve">131751240</t>
  </si>
  <si>
    <t xml:space="preserve">COC1=C(O)C=CC(\C=C\C(=O)OCC2(O)COC(OC3C(O)C(O)C(CO)OC3OC3=CC=C(C=C3)C3CC(=O)C4=C(O3)C=C(O)C=C4)C2O)=C1</t>
  </si>
  <si>
    <t xml:space="preserve">GSIREHLZHMQJNR-QDEBKDIKSA-N</t>
  </si>
  <si>
    <t xml:space="preserve">Licorice glycoside A</t>
  </si>
  <si>
    <t xml:space="preserve">HMDB0031989</t>
  </si>
  <si>
    <t xml:space="preserve">131751238</t>
  </si>
  <si>
    <t xml:space="preserve">COC1=C(O)C=CC(\C=C\C(=O)OCC2(O)COC(OC3C(OC4=CC=C(\C=C\C(=O)C5=C(O)C=C(O)C=C5)C=C4)OC(CO)C(O)C3O)C2O)=C1</t>
  </si>
  <si>
    <t xml:space="preserve">BYQKEKUAWGGZTQ-QZRCSFIOSA-N</t>
  </si>
  <si>
    <t xml:space="preserve">5-(10-Nonadecenyl)-1,3-benzenediol</t>
  </si>
  <si>
    <t xml:space="preserve">HMDB0039865</t>
  </si>
  <si>
    <t xml:space="preserve">94411</t>
  </si>
  <si>
    <t xml:space="preserve">131752736</t>
  </si>
  <si>
    <t xml:space="preserve">CCCCCCCC\C=C\CCCCCCCCCC1=CC(O)=CC(O)=C1</t>
  </si>
  <si>
    <t xml:space="preserve">KQGVEZGOGSMUMX-MDZDMXLPSA-N</t>
  </si>
  <si>
    <t xml:space="preserve">5-(12-Nonadecenyl)-1,3-benzenediol</t>
  </si>
  <si>
    <t xml:space="preserve">HMDB0039866</t>
  </si>
  <si>
    <t xml:space="preserve">94412</t>
  </si>
  <si>
    <t xml:space="preserve">102403771</t>
  </si>
  <si>
    <t xml:space="preserve">189562-06-9</t>
  </si>
  <si>
    <t xml:space="preserve">CCCCCC\C=C\CCCCCCCCCCCC1=CC(O)=CC(O)=C1</t>
  </si>
  <si>
    <t xml:space="preserve">IFIOXWORGZJDKV-BQYQJAHWSA-N</t>
  </si>
  <si>
    <t xml:space="preserve">437-3</t>
  </si>
  <si>
    <t xml:space="preserve">5-(14-Nonadecenyl)-1,3-benzenediol</t>
  </si>
  <si>
    <t xml:space="preserve">HMDB0031677</t>
  </si>
  <si>
    <t xml:space="preserve">87855</t>
  </si>
  <si>
    <t xml:space="preserve">172605</t>
  </si>
  <si>
    <t xml:space="preserve">101540825</t>
  </si>
  <si>
    <t xml:space="preserve">187523-39-3</t>
  </si>
  <si>
    <t xml:space="preserve">CCCC\C=C\CCCCCCCCCCCCCC1=CC(O)=CC(O)=C1</t>
  </si>
  <si>
    <t xml:space="preserve">KEAYVGHLOUCYNN-AATRIKPKSA-N</t>
  </si>
  <si>
    <t xml:space="preserve">7b-Hydroxy-3-oxo-5b-cholanoic acid</t>
  </si>
  <si>
    <t xml:space="preserve">HMDB0000541</t>
  </si>
  <si>
    <t xml:space="preserve">5526</t>
  </si>
  <si>
    <t xml:space="preserve">172644</t>
  </si>
  <si>
    <t xml:space="preserve">22833531</t>
  </si>
  <si>
    <t xml:space="preserve">77060-26-5</t>
  </si>
  <si>
    <t xml:space="preserve">[H][C@@]12CC[C@H]([C@H](C)CCC(=O)OC)[C@@]1(C)CC[C@@]1([H])[C@@]2([H])C(=O)CC2CC(=O)CC[C@]12C</t>
  </si>
  <si>
    <t xml:space="preserve">UZRRNRRCPZZPNY-ZECRIGHZSA-N</t>
  </si>
  <si>
    <t xml:space="preserve">446-2</t>
  </si>
  <si>
    <t xml:space="preserve">Androstenediol dipropionate</t>
  </si>
  <si>
    <t xml:space="preserve">HMDB0249268</t>
  </si>
  <si>
    <t xml:space="preserve">546829</t>
  </si>
  <si>
    <t xml:space="preserve">CCC(=O)OC1CCC2C3CC=C4CC(CCC4(C)C3CCC12C)OC(=O)CC</t>
  </si>
  <si>
    <t xml:space="preserve">ZDDFOEZPFDWEQS-UHFFFAOYSA-N</t>
  </si>
  <si>
    <t xml:space="preserve">446-3</t>
  </si>
  <si>
    <t xml:space="preserve">MG(22:6)</t>
  </si>
  <si>
    <t xml:space="preserve">HMDB0011557</t>
  </si>
  <si>
    <t xml:space="preserve">62340</t>
  </si>
  <si>
    <t xml:space="preserve">LMGL01010027</t>
  </si>
  <si>
    <t xml:space="preserve">46896303</t>
  </si>
  <si>
    <t xml:space="preserve">OC[C@]([H])(OC(CC/C=C\C/C=C\C/C=C\C/C=C\C/C=C\C/C=C\CC)=O)CO</t>
  </si>
  <si>
    <t xml:space="preserve">NHNGEAQTTQPSCX-KUBAVDMBSA-N</t>
  </si>
  <si>
    <t xml:space="preserve">PA(42:6)</t>
  </si>
  <si>
    <t xml:space="preserve">HMDB0115554</t>
  </si>
  <si>
    <t xml:space="preserve">81751</t>
  </si>
  <si>
    <t xml:space="preserve">LMGP10010585</t>
  </si>
  <si>
    <t xml:space="preserve">52929178</t>
  </si>
  <si>
    <t xml:space="preserve">[C@](COP(=O)(O)O)([H])(OC(CCCCC/C=C\C/C=C\C/C=C\C/C=C\CCCCC)=O)COC(CCCCCCCCC/C=C\C/C=C\CCCCC)=O</t>
  </si>
  <si>
    <t xml:space="preserve">SEDWKTZJSXDENV-DRBQCQBHSA-N</t>
  </si>
  <si>
    <t xml:space="preserve">Phosphatidate(42:6)</t>
  </si>
  <si>
    <t xml:space="preserve">HMDB0115087</t>
  </si>
  <si>
    <t xml:space="preserve">82026</t>
  </si>
  <si>
    <t xml:space="preserve">LMGP10010860</t>
  </si>
  <si>
    <t xml:space="preserve">52929452</t>
  </si>
  <si>
    <t xml:space="preserve">[C@](COP(=O)(O)O)([H])(OC(CC/C=C\C/C=C\C/C=C\C/C=C\C/C=C\C/C=C\CC)=O)COC(CCCCCCCCCCCCCCCCCCC)=O</t>
  </si>
  <si>
    <t xml:space="preserve">JLEPYSYTEBZQBW-BDYNJSAGSA-N</t>
  </si>
  <si>
    <t xml:space="preserve">MMPE(38:5)</t>
  </si>
  <si>
    <t xml:space="preserve">HMDB0113056</t>
  </si>
  <si>
    <t xml:space="preserve">131820171</t>
  </si>
  <si>
    <t xml:space="preserve">[H]C(COC(=O)CCCCCCCCCCCCCCC)(COP(O)(=O)OCCNC)OC(=O)CC\C=C/C\C=C/C\C=C/C\C=C/C\C=C/CCCCC</t>
  </si>
  <si>
    <t xml:space="preserve">BQYSFFVQHVEQKA-WWNHDLEVSA-N</t>
  </si>
  <si>
    <t xml:space="preserve">460-2</t>
  </si>
  <si>
    <t xml:space="preserve">DMPE(37:5)</t>
  </si>
  <si>
    <t xml:space="preserve">HMDB0113935</t>
  </si>
  <si>
    <t xml:space="preserve">131821045</t>
  </si>
  <si>
    <t xml:space="preserve">[H]C(COC(=O)CCCCCCCCCCCCCC)(COP(O)(=O)OCCN(C)C)OC(=O)CC\C=C/C\C=C/C\C=C/C\C=C/C\C=C/CCCCC</t>
  </si>
  <si>
    <t xml:space="preserve">DVVABFYQJDOWQT-NJSXSMRBSA-N</t>
  </si>
  <si>
    <t xml:space="preserve">PC(DiMe(9,3)/MonoMe(11,3))</t>
  </si>
  <si>
    <t xml:space="preserve">HMDB0061422</t>
  </si>
  <si>
    <t xml:space="preserve">[H]C1=C(CCC)OC(CCCCCCCCCCC(=O)OC(COC(=O)CCCCCCCCC2=C(C)C(C)=C(CCC)O2)COP(O)(=O)OCC[N+](C)(C)C)=C1C</t>
  </si>
  <si>
    <t xml:space="preserve">YJDIFXDKPBJXIR-UHFFFAOYSA-O</t>
  </si>
  <si>
    <t xml:space="preserve">464-2</t>
  </si>
  <si>
    <t xml:space="preserve">PC(DiMe(9,3)/MonoMe(9,5))</t>
  </si>
  <si>
    <t xml:space="preserve">HMDB0061425</t>
  </si>
  <si>
    <t xml:space="preserve">[H]C1=C(CCCCC)OC(CCCCCCCCC(=O)OC(COC(=O)CCCCCCCCC2=C(C)C(C)=C(CCC)O2)COP(O)(=O)OCC[N+](C)(C)C)=C1C</t>
  </si>
  <si>
    <t xml:space="preserve">AGHFPRCTCDCWRH-UHFFFAOYSA-O</t>
  </si>
  <si>
    <t xml:space="preserve">464-3</t>
  </si>
  <si>
    <t xml:space="preserve">PC(MonoMe(11,3)/DiMe(9,3))</t>
  </si>
  <si>
    <t xml:space="preserve">HMDB0061438</t>
  </si>
  <si>
    <t xml:space="preserve">[H]C1=C(CCC)OC(CCCCCCCCCCC(=O)OCC(COP(O)(=O)OCC[N+](C)(C)C)OC(=O)CCCCCCCCC2=C(C)C(C)=C(CCC)O2)=C1C</t>
  </si>
  <si>
    <t xml:space="preserve">GBCRPOWISPIBEW-UHFFFAOYSA-O</t>
  </si>
  <si>
    <t xml:space="preserve">Hebevinoside XI</t>
  </si>
  <si>
    <t xml:space="preserve">HMDB0034601</t>
  </si>
  <si>
    <t xml:space="preserve">73818333</t>
  </si>
  <si>
    <t xml:space="preserve">101365-13-3</t>
  </si>
  <si>
    <t xml:space="preserve">COC1C=C2C(CCC(OC3OCC(O)C(O)C3O)C2(C)C)C2(C)CCC3(C)C(C(C)CCC=C(C)C)C(CC3(C)C12)OC1OC(COC(C)=O)C(OC(C)=O)C(O)C1O</t>
  </si>
  <si>
    <t xml:space="preserve">BDIZCZITXGMZCF-UHFFFAOYSA-N</t>
  </si>
  <si>
    <t xml:space="preserve">480-2</t>
  </si>
  <si>
    <t xml:space="preserve">Hebevinoside V</t>
  </si>
  <si>
    <t xml:space="preserve">HMDB0035981</t>
  </si>
  <si>
    <t xml:space="preserve">73818216</t>
  </si>
  <si>
    <t xml:space="preserve">101365-07-5</t>
  </si>
  <si>
    <t xml:space="preserve">COC1C=C2C(CCC(OC3OCC(OC(C)=O)C(O)C3O)C2(C)C)C2(C)CCC3(C)C(C(C)CCC=C(C)C)C(CC3(C)C12)OC1OC(COC(C)=O)C(O)C(O)C1O</t>
  </si>
  <si>
    <t xml:space="preserve">AMBFYXVSRGPNHQ-UHFFFAOYSA-N</t>
  </si>
  <si>
    <t xml:space="preserve">13'-Carboxy-gamma-tocotrienol</t>
  </si>
  <si>
    <t xml:space="preserve">HMDB0012558</t>
  </si>
  <si>
    <t xml:space="preserve">139534</t>
  </si>
  <si>
    <t xml:space="preserve">53481464</t>
  </si>
  <si>
    <t xml:space="preserve">C\C(CC\C=C(/C)C(O)=O)=C/CC\C(C)=C\CC[C@]1(C)CCC2=C(O1)C(C)=C(C)C(O)=C2</t>
  </si>
  <si>
    <t xml:space="preserve">UJMZKOBSLDXUHY-YQHRJHOASA-N</t>
  </si>
  <si>
    <t xml:space="preserve">Suillin</t>
  </si>
  <si>
    <t xml:space="preserve">HMDB0034349</t>
  </si>
  <si>
    <t xml:space="preserve">131751551</t>
  </si>
  <si>
    <t xml:space="preserve">103538-03-0</t>
  </si>
  <si>
    <t xml:space="preserve">CC(C)=CCC\C(C)=C\CC\C(C)=C\CC\C(C)=C/CC1=C(OC(C)=O)C=CC(O)=C1O</t>
  </si>
  <si>
    <t xml:space="preserve">TVYGOMSIBBSIKO-DCVNSYBLSA-N</t>
  </si>
  <si>
    <t xml:space="preserve">497-3</t>
  </si>
  <si>
    <t xml:space="preserve">2-Acetoxy-3-geranylgeranyl-1,4-dihydroxybenzene</t>
  </si>
  <si>
    <t xml:space="preserve">HMDB0040748</t>
  </si>
  <si>
    <t xml:space="preserve">95213</t>
  </si>
  <si>
    <t xml:space="preserve">131752921</t>
  </si>
  <si>
    <t xml:space="preserve">126398-82-1</t>
  </si>
  <si>
    <t xml:space="preserve">CC(C)=CCC\C(C)=C\CC\C(C)=C\CC\C(C)=C/CC1=C(O)C=CC(O)=C1OC(C)=O</t>
  </si>
  <si>
    <t xml:space="preserve">VLLSMOKWYCNDEY-DCVNSYBLSA-N</t>
  </si>
  <si>
    <t xml:space="preserve">PS(DiMe(11,3)/MonoMe(11,5))</t>
  </si>
  <si>
    <t xml:space="preserve">HMDB0061558</t>
  </si>
  <si>
    <t xml:space="preserve">CCCCCC1=CC(C)=C(CCCCCCCCCCC(=O)OC(COC(=O)CCCCCCCCCCC2=C(C)C(C)=C(CCC)O2)COP(O)(=O)OCC(N)C(O)=O)O1</t>
  </si>
  <si>
    <t xml:space="preserve">RRKUINPIOUMQGR-UHFFFAOYSA-N</t>
  </si>
  <si>
    <t xml:space="preserve">499-2</t>
  </si>
  <si>
    <t xml:space="preserve">PS(DiMe(11,5)/MonoMe(11,3))</t>
  </si>
  <si>
    <t xml:space="preserve">HMDB0061566</t>
  </si>
  <si>
    <t xml:space="preserve">CCCCCC1=C(C)C(C)=C(CCCCCCCCCCC(=O)OCC(COP(O)(=O)OCC(N)C(O)=O)OC(=O)CCCCCCCCCCC2=C(C)C=C(CCC)O2)O1</t>
  </si>
  <si>
    <t xml:space="preserve">RRAYFVZXQUJIPM-UHFFFAOYSA-N</t>
  </si>
  <si>
    <t xml:space="preserve">499-3</t>
  </si>
  <si>
    <t xml:space="preserve">PS(DiMe(11,5)/MonoMe(9,5))</t>
  </si>
  <si>
    <t xml:space="preserve">HMDB0061569</t>
  </si>
  <si>
    <t xml:space="preserve">CCCCCC1=CC(C)=C(CCCCCCCCC(=O)OC(COC(=O)CCCCCCCCCCC2=C(C)C(C)=C(CCCCC)O2)COP(O)(=O)OCC(N)C(O)=O)O1</t>
  </si>
  <si>
    <t xml:space="preserve">FDVDPNLOTWQGOH-UHFFFAOYSA-N</t>
  </si>
  <si>
    <t xml:space="preserve">PE-NMe(13D5/13D5)</t>
  </si>
  <si>
    <t xml:space="preserve">HMDB0113796</t>
  </si>
  <si>
    <t xml:space="preserve">[H][C@@](COC(=O)CCCCCCCCCCCCC1=C(C)C(C)=C(CCCCC)O1)(COP(O)(=O)OCCNC)OC(=O)CCCCCCCCCCCCC1=C(C)C(C)=C(CCCCC)O1</t>
  </si>
  <si>
    <t xml:space="preserve">LBVHTELILAZDHC-QSCHNALKSA-N</t>
  </si>
  <si>
    <t xml:space="preserve">503-2</t>
  </si>
  <si>
    <t xml:space="preserve">PE-NMe2(13D5/13M5)</t>
  </si>
  <si>
    <t xml:space="preserve">HMDB0114701</t>
  </si>
  <si>
    <t xml:space="preserve">[H][C@@](COC(=O)CCCCCCCCCCCCC1=C(C)C(C)=C(CCCCC)O1)(COP(O)(=O)OCCN(C)C)OC(=O)CCCCCCCCCCCCC1=C(C)C=C(CCCCC)O1</t>
  </si>
  <si>
    <t xml:space="preserve">PGSTZTNCBFDBCD-ANFMRNGASA-N</t>
  </si>
  <si>
    <t xml:space="preserve">503-3</t>
  </si>
  <si>
    <t xml:space="preserve">PE-NMe2(13M5/13D5)</t>
  </si>
  <si>
    <t xml:space="preserve">HMDB0114709</t>
  </si>
  <si>
    <t xml:space="preserve">[H][C@@](COC(=O)CCCCCCCCCCCCC1=C(C)C=C(CCCCC)O1)(COP(O)(=O)OCCN(C)C)OC(=O)CCCCCCCCCCCCC1=C(C)C(C)=C(CCCCC)O1</t>
  </si>
  <si>
    <t xml:space="preserve">AZTHXNWRIVEUOC-ANFMRNGASA-N</t>
  </si>
  <si>
    <t xml:space="preserve">Dolichosterone</t>
  </si>
  <si>
    <t xml:space="preserve">HMDB0034336</t>
  </si>
  <si>
    <t xml:space="preserve">89857</t>
  </si>
  <si>
    <t xml:space="preserve">13870422</t>
  </si>
  <si>
    <t xml:space="preserve">85797-15-5</t>
  </si>
  <si>
    <t xml:space="preserve">CC(C)C(=C)C(O)C(O)C(C)C1CCC2C3CC(=O)C4CC(O)C(O)CC4(C)C3CCC12C</t>
  </si>
  <si>
    <t xml:space="preserve">CYPKCRFYMBXYBU-UHFFFAOYSA-N</t>
  </si>
  <si>
    <t xml:space="preserve">507-2</t>
  </si>
  <si>
    <t xml:space="preserve">Polyporusterone F</t>
  </si>
  <si>
    <t xml:space="preserve">HMDB0038499</t>
  </si>
  <si>
    <t xml:space="preserve">73085406</t>
  </si>
  <si>
    <t xml:space="preserve">141360-93-2</t>
  </si>
  <si>
    <t xml:space="preserve">CC(C)C(C)CC(O)C(C)C1CCC2(O)C3=CC(=O)C4CC(O)C(O)CC4(C)C3CCC12C</t>
  </si>
  <si>
    <t xml:space="preserve">UPQHDDLJIDVNJE-UHFFFAOYSA-N</t>
  </si>
  <si>
    <t xml:space="preserve">Digalactosyldiacylglycerol</t>
  </si>
  <si>
    <t xml:space="preserve">HMDB0260014</t>
  </si>
  <si>
    <t xml:space="preserve">25203017</t>
  </si>
  <si>
    <t xml:space="preserve">CCCCCCCCCCCCCCCC(=O)OCC(COC1OC(COC2OC(CO)C(O)C(O)C2O)C(O)C(O)C1O)OC(=O)CCCCCCCC=CCC=CCCCCC</t>
  </si>
  <si>
    <t xml:space="preserve">QZXMUPATKGLZAP-UHFFFAOYSA-N</t>
  </si>
  <si>
    <t xml:space="preserve">511-2</t>
  </si>
  <si>
    <t xml:space="preserve">Glycerol 2-(9Z,12Z-octadecadienoate) 1-hexadecanoate 3-O-[alpha-D-galactopyranosyl-(1-&gt;6)-beta-D-galactopyranoside]</t>
  </si>
  <si>
    <t xml:space="preserve">HMDB0041511</t>
  </si>
  <si>
    <t xml:space="preserve">95895</t>
  </si>
  <si>
    <t xml:space="preserve">131753152</t>
  </si>
  <si>
    <t xml:space="preserve">145033-48-3</t>
  </si>
  <si>
    <t xml:space="preserve">CCCCCCCCCCCCCCCC(=O)OCC(COC1OC(COC2OC(CO)C(O)C(O)C2O)C(O)C(O)C1O)OC(=O)CCCCCCC\C=C\C\C=C\CCCCC</t>
  </si>
  <si>
    <t xml:space="preserve">QZXMUPATKGLZAP-XZBBILGWSA-N</t>
  </si>
  <si>
    <t xml:space="preserve">4,7-Diphenyl-1,10-phenanthroline disulfonic acid</t>
  </si>
  <si>
    <t xml:space="preserve">HMDB0258144</t>
  </si>
  <si>
    <t xml:space="preserve">21117913</t>
  </si>
  <si>
    <t xml:space="preserve">OS(=O)(=O)C1=C(C(C2=CC=CC=C2)=C2C=CC3=C(C=CN=C3C2=N1)C1=CC=CC=C1)S(O)(=O)=O</t>
  </si>
  <si>
    <t xml:space="preserve">HZZQDMGIGCTARB-UHFFFAOYSA-N</t>
  </si>
  <si>
    <t xml:space="preserve">Phenylquinolines</t>
  </si>
  <si>
    <t xml:space="preserve">520-2</t>
  </si>
  <si>
    <t xml:space="preserve">4,7-Phenylsulfonyl-1,10-phenanthroline</t>
  </si>
  <si>
    <t xml:space="preserve">HMDB0246619</t>
  </si>
  <si>
    <t xml:space="preserve">65368</t>
  </si>
  <si>
    <t xml:space="preserve">O=S(=O)(OC1=CC=CC=C1)C1=C2C=CC3=C(C=CN=C3C2=NC=C1)S(=O)(=O)OC1=CC=CC=C1</t>
  </si>
  <si>
    <t xml:space="preserve">STWJKLMRMTWJEY-UHFFFAOYSA-N</t>
  </si>
  <si>
    <t xml:space="preserve">Phenanthrolines</t>
  </si>
  <si>
    <t xml:space="preserve">CDDG(P-38:4)</t>
  </si>
  <si>
    <t xml:space="preserve">HMDB0006982</t>
  </si>
  <si>
    <t xml:space="preserve">58617</t>
  </si>
  <si>
    <t xml:space="preserve">53477926</t>
  </si>
  <si>
    <t xml:space="preserve">[H][C@@](COC(=O)CCCCCCCCCCCCCCCCC)(COP(O)(=O)OP(O)(=O)OC[C@H]1O[C@H](C(O)[C@H]1O)N1C=CC(N)=NC1=O)OC(=O)CCC\C=C/C\C=C/C\C=C/C\C=C/CCCCC</t>
  </si>
  <si>
    <t xml:space="preserve">MXWMCLVKMTUATQ-WZAFUEAISA-N</t>
  </si>
  <si>
    <t xml:space="preserve">522-2</t>
  </si>
  <si>
    <t xml:space="preserve">CDdiacylglycerol(P-38:4)</t>
  </si>
  <si>
    <t xml:space="preserve">HMDB0115980</t>
  </si>
  <si>
    <t xml:space="preserve">131822636</t>
  </si>
  <si>
    <t xml:space="preserve">[H]\C(CCCCC)=C(/[H])C\C([H])=C(\[H])CCCCCCCCCC(=O)OC[C@]([H])(COP(O)(=O)OP(O)(=O)OC[C@@]1([H])O[C@@]([H])(N2C=CC(=N)N=C2O)C([H])(O)[C@@]1([H])O)OC(=O)CCCCCCC\C([H])=C(\[H])C\C([H])=C(\[H])CCCCC</t>
  </si>
  <si>
    <t xml:space="preserve">FARAENNPSKRPHQ-RKLYLEJGSA-N</t>
  </si>
  <si>
    <t xml:space="preserve">[Epicatechin-(4beta-&gt;8)]2-epicatechin 3'''-gallate</t>
  </si>
  <si>
    <t xml:space="preserve">HMDB0301933</t>
  </si>
  <si>
    <t xml:space="preserve">16141214</t>
  </si>
  <si>
    <t xml:space="preserve">O[C@H]1[C@H](OC2=C([C@@H]1C1=C(O)C=C(O)C3=C1O[C@@H]([C@H](O)[C@H]3C1=C(O)C=C(O)C3=C1O[C@@H]([C@@H](C3)OC(=O)C1=CC(O)=C(O)C(O)=C1)C1=CC(O)=C(O)C=C1)C1=CC(O)=C(O)C=C1)C(O)=CC(O)=C2)C1=CC(O)=C(O)C=C1</t>
  </si>
  <si>
    <t xml:space="preserve">FYNOPTDFZIWSDG-SRPXDWQMSA-N</t>
  </si>
  <si>
    <t xml:space="preserve">529-2</t>
  </si>
  <si>
    <t xml:space="preserve">Epicatechin-(4beta-&gt;8)-epicatechin-(4beta-&gt;8)-catechin 3''-gallate</t>
  </si>
  <si>
    <t xml:space="preserve">HMDB0301934</t>
  </si>
  <si>
    <t xml:space="preserve">101607200</t>
  </si>
  <si>
    <t xml:space="preserve">O[C@H]1CC2=C(O[C@@H]1C1=CC=C(O)C(O)=C1)C([C@@H]1[C@@H](OC(=O)C3=CC(O)=C(O)C(O)=C3)[C@H](OC3=C1C(O)=CC(O)=C3[C@@H]1[C@@H](O)[C@H](OC3=C1C(O)=CC(O)=C3)C1=CC(O)=C(O)C=C1)C1=CC=C(O)C(O)=C1)=C(O)C=C2O</t>
  </si>
  <si>
    <t xml:space="preserve">XLGRDEOFHNGKLV-OKJFZLKJSA-N</t>
  </si>
  <si>
    <t xml:space="preserve">Bipindogulomethyloside</t>
  </si>
  <si>
    <t xml:space="preserve">HMDB0030623</t>
  </si>
  <si>
    <t xml:space="preserve">87101</t>
  </si>
  <si>
    <t xml:space="preserve">3735942</t>
  </si>
  <si>
    <t xml:space="preserve">53152-43-5</t>
  </si>
  <si>
    <t xml:space="preserve">CC1OC(OC2CCC3(C)C4C(O)CC5(C)C(CCC5(O)C4CCC3(O)C2)C2=CC(=O)OC2)C(O)C(O)C1O</t>
  </si>
  <si>
    <t xml:space="preserve">WRORFDCUNLGVJF-UHFFFAOYSA-N</t>
  </si>
  <si>
    <t xml:space="preserve">530-2</t>
  </si>
  <si>
    <t xml:space="preserve">Desglucocheirotoxol</t>
  </si>
  <si>
    <t xml:space="preserve">HMDB0033828</t>
  </si>
  <si>
    <t xml:space="preserve">89556</t>
  </si>
  <si>
    <t xml:space="preserve">176019</t>
  </si>
  <si>
    <t xml:space="preserve">12309172</t>
  </si>
  <si>
    <t xml:space="preserve">29336-13-8</t>
  </si>
  <si>
    <t xml:space="preserve">CC1OC(OC2CCC3(CO)C4CCC5(C)C(CCC5(O)C4CCC3(O)C2)C2=CC(=O)OC2)C(O)C(O)C1O</t>
  </si>
  <si>
    <t xml:space="preserve">UQEKVLJMBGSQGS-UHFFFAOYSA-N</t>
  </si>
  <si>
    <t xml:space="preserve">Camelliatannin C</t>
  </si>
  <si>
    <t xml:space="preserve">HMDB0041378</t>
  </si>
  <si>
    <t xml:space="preserve">95781</t>
  </si>
  <si>
    <t xml:space="preserve">131753129</t>
  </si>
  <si>
    <t xml:space="preserve">154524-52-4</t>
  </si>
  <si>
    <t xml:space="preserve">OC(C1OC(=O)C2=CC(O)=C(O)C(O)=C2C2=C(O)C(O)=C(O)C=C2C(=O)OC1C1OC(=O)C2=CC(O)=C(O)C(O)=C2C2=C(O)C(O)=C(O)C=C2C(=O)OCC1O)C1=C(O)C=C2OC(C(O)CC2=C1O)C1=CC(O)=C(O)C=C1</t>
  </si>
  <si>
    <t xml:space="preserve">CAHWVGJOCMGFBC-UHFFFAOYSA-N</t>
  </si>
  <si>
    <t xml:space="preserve">533-2</t>
  </si>
  <si>
    <t xml:space="preserve">Camelliatannin E</t>
  </si>
  <si>
    <t xml:space="preserve">HMDB0041377</t>
  </si>
  <si>
    <t xml:space="preserve">95780</t>
  </si>
  <si>
    <t xml:space="preserve">131753128</t>
  </si>
  <si>
    <t xml:space="preserve">148132-92-7</t>
  </si>
  <si>
    <t xml:space="preserve">OC(C1OC(=O)C2=CC(O)=C(O)C(O)=C2C2=C(C=C(O)C(O)=C2O)C(=O)OC1C1OC(=O)C2=CC(O)=C(O)C(O)=C2C2=C(C=C(O)C(O)=C2O)C(=O)OCC1O)C1=C(O)C=C(O)C2=C1OC(C(O)C2)C1=CC=C(O)C(O)=C1</t>
  </si>
  <si>
    <t xml:space="preserve">XSWKCRGTEVOEIG-UHFFFAOYSA-N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</si>
</sst>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  <font>
      <sz val="11"/>
      <color rgb="FF0000FF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1</v>
      </c>
      <c r="B2" s="2" t="s">
        <v>22</v>
      </c>
      <c r="C2" s="2" t="n">
        <v>72.009098037</v>
      </c>
      <c r="D2" s="2" t="n">
        <v>4.31820559487298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n">
        <v>1</v>
      </c>
    </row>
    <row r="3">
      <c r="A3" s="2" t="n">
        <v>2</v>
      </c>
      <c r="B3" s="2" t="s">
        <v>40</v>
      </c>
      <c r="C3" s="2" t="n">
        <v>72.992567609</v>
      </c>
      <c r="D3" s="2" t="n">
        <v>10.7770658343497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46</v>
      </c>
      <c r="O3" s="2" t="s">
        <v>29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29</v>
      </c>
      <c r="V3" s="2" t="n">
        <v>1</v>
      </c>
    </row>
    <row r="4">
      <c r="A4" s="2" t="n">
        <v>3</v>
      </c>
      <c r="B4" s="2" t="s">
        <v>52</v>
      </c>
      <c r="C4" s="2" t="n">
        <v>73.028953122</v>
      </c>
      <c r="D4" s="2" t="n">
        <v>4.49125840393064</v>
      </c>
      <c r="E4" s="2" t="s">
        <v>53</v>
      </c>
      <c r="F4" s="2" t="s">
        <v>42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29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39</v>
      </c>
      <c r="V4" s="2" t="n">
        <v>1</v>
      </c>
    </row>
    <row r="5">
      <c r="A5" s="2" t="n">
        <v>4</v>
      </c>
      <c r="B5" s="2" t="s">
        <v>67</v>
      </c>
      <c r="C5" s="2" t="n">
        <v>74.024202089</v>
      </c>
      <c r="D5" s="2" t="n">
        <v>5.96080824074111</v>
      </c>
      <c r="E5" s="2" t="s">
        <v>68</v>
      </c>
      <c r="F5" s="2" t="s">
        <v>42</v>
      </c>
      <c r="G5" s="2" t="s">
        <v>69</v>
      </c>
      <c r="H5" s="2" t="s">
        <v>70</v>
      </c>
      <c r="I5" s="2" t="s">
        <v>71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73</v>
      </c>
      <c r="O5" s="2" t="s">
        <v>72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29</v>
      </c>
      <c r="V5" s="2" t="n">
        <v>2</v>
      </c>
    </row>
    <row r="6">
      <c r="A6" s="2" t="n">
        <v>5</v>
      </c>
      <c r="B6" s="2" t="s">
        <v>79</v>
      </c>
      <c r="C6" s="2" t="n">
        <v>75.008763686</v>
      </c>
      <c r="D6" s="2" t="n">
        <v>4.27304890238149</v>
      </c>
      <c r="E6" s="2" t="s">
        <v>80</v>
      </c>
      <c r="F6" s="2" t="s">
        <v>24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29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  <c r="Q6" s="2" t="s">
        <v>90</v>
      </c>
      <c r="R6" s="2" t="s">
        <v>64</v>
      </c>
      <c r="S6" s="2" t="s">
        <v>65</v>
      </c>
      <c r="T6" s="2" t="s">
        <v>91</v>
      </c>
      <c r="U6" s="2" t="s">
        <v>39</v>
      </c>
      <c r="V6" s="2" t="n">
        <v>1</v>
      </c>
    </row>
    <row r="7">
      <c r="A7" s="2" t="n">
        <v>6</v>
      </c>
      <c r="B7" s="2" t="s">
        <v>92</v>
      </c>
      <c r="C7" s="2" t="n">
        <v>83.049688564</v>
      </c>
      <c r="D7" s="2" t="n">
        <v>4.14511051975868</v>
      </c>
      <c r="E7" s="2" t="s">
        <v>93</v>
      </c>
      <c r="F7" s="2" t="s">
        <v>42</v>
      </c>
      <c r="G7" s="2" t="s">
        <v>94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99</v>
      </c>
      <c r="M7" s="2" t="s">
        <v>100</v>
      </c>
      <c r="N7" s="2" t="s">
        <v>101</v>
      </c>
      <c r="O7" s="2" t="s">
        <v>102</v>
      </c>
      <c r="P7" s="2" t="s">
        <v>103</v>
      </c>
      <c r="Q7" s="2" t="s">
        <v>104</v>
      </c>
      <c r="R7" s="2" t="s">
        <v>105</v>
      </c>
      <c r="S7" s="2" t="s">
        <v>106</v>
      </c>
      <c r="T7" s="2" t="s">
        <v>107</v>
      </c>
      <c r="U7" s="2" t="s">
        <v>39</v>
      </c>
      <c r="V7" s="2" t="n">
        <v>3</v>
      </c>
    </row>
    <row r="8">
      <c r="A8" s="2" t="n">
        <v>7</v>
      </c>
      <c r="B8" s="2" t="s">
        <v>108</v>
      </c>
      <c r="C8" s="2" t="n">
        <v>84.045487851</v>
      </c>
      <c r="D8" s="2" t="n">
        <v>13.247572178913</v>
      </c>
      <c r="E8" s="2" t="s">
        <v>109</v>
      </c>
      <c r="F8" s="2" t="s">
        <v>110</v>
      </c>
      <c r="G8" s="2" t="s">
        <v>111</v>
      </c>
      <c r="H8" s="2" t="s">
        <v>112</v>
      </c>
      <c r="I8" s="2" t="s">
        <v>113</v>
      </c>
      <c r="J8" s="2" t="s">
        <v>114</v>
      </c>
      <c r="K8" s="2" t="s">
        <v>72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  <c r="Q8" s="2" t="s">
        <v>120</v>
      </c>
      <c r="R8" s="2" t="s">
        <v>121</v>
      </c>
      <c r="S8" s="2" t="s">
        <v>122</v>
      </c>
      <c r="T8" s="2" t="s">
        <v>123</v>
      </c>
      <c r="U8" s="2" t="s">
        <v>39</v>
      </c>
      <c r="V8" s="2" t="n">
        <v>2</v>
      </c>
    </row>
    <row r="9">
      <c r="A9" s="2" t="n">
        <v>8</v>
      </c>
      <c r="B9" s="2" t="s">
        <v>124</v>
      </c>
      <c r="C9" s="2" t="n">
        <v>85.029503436</v>
      </c>
      <c r="D9" s="2" t="n">
        <v>2.87567655450446</v>
      </c>
      <c r="E9" s="2" t="s">
        <v>125</v>
      </c>
      <c r="F9" s="2" t="s">
        <v>110</v>
      </c>
      <c r="G9" s="2" t="s">
        <v>126</v>
      </c>
      <c r="H9" s="2" t="s">
        <v>127</v>
      </c>
      <c r="I9" s="2" t="s">
        <v>128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137</v>
      </c>
      <c r="S9" s="2" t="s">
        <v>138</v>
      </c>
      <c r="T9" s="2" t="s">
        <v>139</v>
      </c>
      <c r="U9" s="2" t="s">
        <v>39</v>
      </c>
      <c r="V9" s="2" t="n">
        <v>3</v>
      </c>
    </row>
    <row r="10">
      <c r="A10" s="2" t="n">
        <v>9</v>
      </c>
      <c r="B10" s="2" t="s">
        <v>140</v>
      </c>
      <c r="C10" s="2" t="n">
        <v>87.008763684</v>
      </c>
      <c r="D10" s="2" t="n">
        <v>13.3332948735</v>
      </c>
      <c r="E10" s="2" t="s">
        <v>141</v>
      </c>
      <c r="F10" s="2" t="s">
        <v>24</v>
      </c>
      <c r="G10" s="2" t="s">
        <v>142</v>
      </c>
      <c r="H10" s="2" t="s">
        <v>143</v>
      </c>
      <c r="I10" s="2" t="s">
        <v>144</v>
      </c>
      <c r="J10" s="2" t="s">
        <v>145</v>
      </c>
      <c r="K10" s="2" t="s">
        <v>72</v>
      </c>
      <c r="L10" s="2" t="s">
        <v>72</v>
      </c>
      <c r="M10" s="2" t="s">
        <v>146</v>
      </c>
      <c r="N10" s="2" t="s">
        <v>147</v>
      </c>
      <c r="O10" s="2" t="s">
        <v>72</v>
      </c>
      <c r="P10" s="2" t="s">
        <v>148</v>
      </c>
      <c r="Q10" s="2" t="s">
        <v>149</v>
      </c>
      <c r="R10" s="2" t="s">
        <v>150</v>
      </c>
      <c r="S10" s="2" t="s">
        <v>151</v>
      </c>
      <c r="T10" s="2" t="s">
        <v>152</v>
      </c>
      <c r="U10" s="2" t="s">
        <v>29</v>
      </c>
      <c r="V10" s="2" t="n">
        <v>2</v>
      </c>
    </row>
    <row r="11">
      <c r="A11" s="2" t="n">
        <v>10</v>
      </c>
      <c r="B11" s="2" t="s">
        <v>153</v>
      </c>
      <c r="C11" s="2" t="n">
        <v>88.040402473</v>
      </c>
      <c r="D11" s="2" t="n">
        <v>0.651315376896857</v>
      </c>
      <c r="E11" s="2" t="s">
        <v>154</v>
      </c>
      <c r="F11" s="2" t="s">
        <v>110</v>
      </c>
      <c r="G11" s="2" t="s">
        <v>155</v>
      </c>
      <c r="H11" s="2" t="s">
        <v>156</v>
      </c>
      <c r="I11" s="2" t="s">
        <v>157</v>
      </c>
      <c r="J11" s="2" t="s">
        <v>158</v>
      </c>
      <c r="K11" s="2" t="s">
        <v>29</v>
      </c>
      <c r="L11" s="2" t="s">
        <v>159</v>
      </c>
      <c r="M11" s="2" t="s">
        <v>160</v>
      </c>
      <c r="N11" s="2" t="s">
        <v>161</v>
      </c>
      <c r="O11" s="2" t="s">
        <v>162</v>
      </c>
      <c r="P11" s="2" t="s">
        <v>163</v>
      </c>
      <c r="Q11" s="2" t="s">
        <v>164</v>
      </c>
      <c r="R11" s="2" t="s">
        <v>49</v>
      </c>
      <c r="S11" s="2" t="s">
        <v>165</v>
      </c>
      <c r="T11" s="2" t="s">
        <v>166</v>
      </c>
      <c r="U11" s="2" t="s">
        <v>39</v>
      </c>
      <c r="V11" s="2" t="n">
        <v>1</v>
      </c>
    </row>
    <row r="12">
      <c r="A12" s="2" t="n">
        <v>11</v>
      </c>
      <c r="B12" s="2" t="s">
        <v>167</v>
      </c>
      <c r="C12" s="2" t="n">
        <v>88.988032552</v>
      </c>
      <c r="D12" s="2" t="n">
        <v>4.15564132515355</v>
      </c>
      <c r="E12" s="2" t="s">
        <v>168</v>
      </c>
      <c r="F12" s="2" t="s">
        <v>110</v>
      </c>
      <c r="G12" s="2" t="s">
        <v>169</v>
      </c>
      <c r="H12" s="2" t="s">
        <v>170</v>
      </c>
      <c r="I12" s="2" t="s">
        <v>171</v>
      </c>
      <c r="J12" s="2" t="s">
        <v>172</v>
      </c>
      <c r="K12" s="2" t="s">
        <v>29</v>
      </c>
      <c r="L12" s="2" t="s">
        <v>173</v>
      </c>
      <c r="M12" s="2" t="s">
        <v>174</v>
      </c>
      <c r="N12" s="2" t="s">
        <v>175</v>
      </c>
      <c r="O12" s="2" t="s">
        <v>176</v>
      </c>
      <c r="P12" s="2" t="s">
        <v>177</v>
      </c>
      <c r="Q12" s="2" t="s">
        <v>178</v>
      </c>
      <c r="R12" s="2" t="s">
        <v>49</v>
      </c>
      <c r="S12" s="2" t="s">
        <v>165</v>
      </c>
      <c r="T12" s="2" t="s">
        <v>179</v>
      </c>
      <c r="U12" s="2" t="s">
        <v>39</v>
      </c>
      <c r="V12" s="2" t="n">
        <v>1</v>
      </c>
    </row>
    <row r="13">
      <c r="A13" s="2" t="n">
        <v>12</v>
      </c>
      <c r="B13" s="2" t="s">
        <v>180</v>
      </c>
      <c r="C13" s="2" t="n">
        <v>91.022309568</v>
      </c>
      <c r="D13" s="2" t="n">
        <v>8.66892057719991</v>
      </c>
      <c r="E13" s="2" t="s">
        <v>181</v>
      </c>
      <c r="F13" s="2" t="s">
        <v>110</v>
      </c>
      <c r="G13" s="2" t="s">
        <v>182</v>
      </c>
      <c r="H13" s="2" t="s">
        <v>183</v>
      </c>
      <c r="I13" s="2" t="s">
        <v>184</v>
      </c>
      <c r="J13" s="2" t="s">
        <v>185</v>
      </c>
      <c r="K13" s="2" t="s">
        <v>72</v>
      </c>
      <c r="L13" s="2" t="s">
        <v>72</v>
      </c>
      <c r="M13" s="2" t="s">
        <v>186</v>
      </c>
      <c r="N13" s="2" t="s">
        <v>187</v>
      </c>
      <c r="O13" s="2" t="s">
        <v>188</v>
      </c>
      <c r="P13" s="2" t="s">
        <v>189</v>
      </c>
      <c r="Q13" s="2" t="s">
        <v>190</v>
      </c>
      <c r="R13" s="2" t="s">
        <v>191</v>
      </c>
      <c r="S13" s="2" t="s">
        <v>192</v>
      </c>
      <c r="T13" s="2" t="s">
        <v>193</v>
      </c>
      <c r="U13" s="2" t="s">
        <v>29</v>
      </c>
      <c r="V13" s="2" t="n">
        <v>2</v>
      </c>
    </row>
    <row r="14">
      <c r="A14" s="2" t="n">
        <v>13</v>
      </c>
      <c r="B14" s="2" t="s">
        <v>194</v>
      </c>
      <c r="C14" s="2" t="n">
        <v>93.035727324</v>
      </c>
      <c r="D14" s="2" t="n">
        <v>0.355100092470618</v>
      </c>
      <c r="E14" s="2" t="s">
        <v>195</v>
      </c>
      <c r="F14" s="2" t="s">
        <v>24</v>
      </c>
      <c r="G14" s="2" t="s">
        <v>196</v>
      </c>
      <c r="H14" s="2" t="s">
        <v>197</v>
      </c>
      <c r="I14" s="2" t="s">
        <v>198</v>
      </c>
      <c r="J14" s="2" t="s">
        <v>199</v>
      </c>
      <c r="K14" s="2" t="s">
        <v>29</v>
      </c>
      <c r="L14" s="2" t="s">
        <v>29</v>
      </c>
      <c r="M14" s="2" t="s">
        <v>29</v>
      </c>
      <c r="N14" s="2" t="s">
        <v>200</v>
      </c>
      <c r="O14" s="2" t="s">
        <v>29</v>
      </c>
      <c r="P14" s="2" t="s">
        <v>201</v>
      </c>
      <c r="Q14" s="2" t="s">
        <v>202</v>
      </c>
      <c r="R14" s="2" t="s">
        <v>203</v>
      </c>
      <c r="S14" s="2" t="s">
        <v>204</v>
      </c>
      <c r="T14" s="2" t="s">
        <v>205</v>
      </c>
      <c r="U14" s="2" t="s">
        <v>29</v>
      </c>
      <c r="V14" s="2" t="n">
        <v>1</v>
      </c>
    </row>
    <row r="15">
      <c r="A15" s="2" t="n">
        <v>14</v>
      </c>
      <c r="B15" s="2" t="s">
        <v>206</v>
      </c>
      <c r="C15" s="2" t="n">
        <v>94.980838684</v>
      </c>
      <c r="D15" s="2" t="n">
        <v>2.56976642926816</v>
      </c>
      <c r="E15" s="2" t="s">
        <v>207</v>
      </c>
      <c r="F15" s="2" t="s">
        <v>110</v>
      </c>
      <c r="G15" s="2" t="s">
        <v>208</v>
      </c>
      <c r="H15" s="2" t="s">
        <v>209</v>
      </c>
      <c r="I15" s="2" t="s">
        <v>210</v>
      </c>
      <c r="J15" s="2" t="s">
        <v>211</v>
      </c>
      <c r="K15" s="2" t="s">
        <v>29</v>
      </c>
      <c r="L15" s="2" t="s">
        <v>212</v>
      </c>
      <c r="M15" s="2" t="s">
        <v>213</v>
      </c>
      <c r="N15" s="2" t="s">
        <v>214</v>
      </c>
      <c r="O15" s="2" t="s">
        <v>215</v>
      </c>
      <c r="P15" s="2" t="s">
        <v>216</v>
      </c>
      <c r="Q15" s="2" t="s">
        <v>217</v>
      </c>
      <c r="R15" s="2" t="s">
        <v>49</v>
      </c>
      <c r="S15" s="2" t="s">
        <v>218</v>
      </c>
      <c r="T15" s="2" t="s">
        <v>219</v>
      </c>
      <c r="U15" s="2" t="s">
        <v>39</v>
      </c>
      <c r="V15" s="2" t="n">
        <v>1</v>
      </c>
    </row>
    <row r="16">
      <c r="A16" s="2" t="n">
        <v>15</v>
      </c>
      <c r="B16" s="2" t="s">
        <v>220</v>
      </c>
      <c r="C16" s="2" t="n">
        <v>95.025086757</v>
      </c>
      <c r="D16" s="2" t="n">
        <v>6.18138062436873</v>
      </c>
      <c r="E16" s="2" t="s">
        <v>221</v>
      </c>
      <c r="F16" s="2" t="s">
        <v>110</v>
      </c>
      <c r="G16" s="2" t="s">
        <v>222</v>
      </c>
      <c r="H16" s="2" t="s">
        <v>223</v>
      </c>
      <c r="I16" s="2" t="s">
        <v>224</v>
      </c>
      <c r="J16" s="2" t="s">
        <v>225</v>
      </c>
      <c r="K16" s="2" t="s">
        <v>226</v>
      </c>
      <c r="L16" s="2" t="s">
        <v>226</v>
      </c>
      <c r="M16" s="2" t="s">
        <v>226</v>
      </c>
      <c r="N16" s="2" t="s">
        <v>227</v>
      </c>
      <c r="O16" s="2" t="s">
        <v>226</v>
      </c>
      <c r="P16" s="2" t="s">
        <v>228</v>
      </c>
      <c r="Q16" s="2" t="s">
        <v>229</v>
      </c>
      <c r="R16" s="2" t="s">
        <v>230</v>
      </c>
      <c r="S16" s="2" t="s">
        <v>231</v>
      </c>
      <c r="T16" s="2" t="s">
        <v>232</v>
      </c>
      <c r="U16" s="2" t="s">
        <v>29</v>
      </c>
      <c r="V16" s="2" t="n">
        <v>3</v>
      </c>
    </row>
    <row r="17">
      <c r="A17" s="2" t="n">
        <v>16</v>
      </c>
      <c r="B17" s="2" t="s">
        <v>233</v>
      </c>
      <c r="C17" s="2" t="n">
        <v>96.961729542</v>
      </c>
      <c r="D17" s="2" t="n">
        <v>4.61510811892131</v>
      </c>
      <c r="E17" s="2" t="s">
        <v>234</v>
      </c>
      <c r="F17" s="2" t="s">
        <v>110</v>
      </c>
      <c r="G17" s="2" t="s">
        <v>235</v>
      </c>
      <c r="H17" s="2" t="s">
        <v>236</v>
      </c>
      <c r="I17" s="2" t="s">
        <v>237</v>
      </c>
      <c r="J17" s="2" t="s">
        <v>238</v>
      </c>
      <c r="K17" s="2" t="s">
        <v>72</v>
      </c>
      <c r="L17" s="2" t="s">
        <v>239</v>
      </c>
      <c r="M17" s="2" t="s">
        <v>240</v>
      </c>
      <c r="N17" s="2" t="s">
        <v>241</v>
      </c>
      <c r="O17" s="2" t="s">
        <v>242</v>
      </c>
      <c r="P17" s="2" t="s">
        <v>243</v>
      </c>
      <c r="Q17" s="2" t="s">
        <v>244</v>
      </c>
      <c r="R17" s="2" t="s">
        <v>245</v>
      </c>
      <c r="S17" s="2" t="s">
        <v>246</v>
      </c>
      <c r="T17" s="2" t="s">
        <v>247</v>
      </c>
      <c r="U17" s="2" t="s">
        <v>39</v>
      </c>
      <c r="V17" s="2" t="n">
        <v>2</v>
      </c>
    </row>
    <row r="18">
      <c r="A18" s="2" t="n">
        <v>17</v>
      </c>
      <c r="B18" s="2" t="s">
        <v>248</v>
      </c>
      <c r="C18" s="2" t="n">
        <v>96.969734372</v>
      </c>
      <c r="D18" s="2" t="n">
        <v>9.04805674792448</v>
      </c>
      <c r="E18" s="2" t="s">
        <v>249</v>
      </c>
      <c r="F18" s="2" t="s">
        <v>250</v>
      </c>
      <c r="G18" s="2" t="s">
        <v>251</v>
      </c>
      <c r="H18" s="2" t="s">
        <v>252</v>
      </c>
      <c r="I18" s="2" t="s">
        <v>253</v>
      </c>
      <c r="J18" s="2" t="s">
        <v>254</v>
      </c>
      <c r="K18" s="2" t="s">
        <v>255</v>
      </c>
      <c r="L18" s="2" t="s">
        <v>256</v>
      </c>
      <c r="M18" s="2" t="s">
        <v>257</v>
      </c>
      <c r="N18" s="2" t="s">
        <v>258</v>
      </c>
      <c r="O18" s="2" t="s">
        <v>259</v>
      </c>
      <c r="P18" s="2" t="s">
        <v>260</v>
      </c>
      <c r="Q18" s="2" t="s">
        <v>261</v>
      </c>
      <c r="R18" s="2" t="s">
        <v>76</v>
      </c>
      <c r="S18" s="2" t="s">
        <v>262</v>
      </c>
      <c r="T18" s="2" t="s">
        <v>263</v>
      </c>
      <c r="U18" s="2" t="s">
        <v>39</v>
      </c>
      <c r="V18" s="2" t="n">
        <v>2</v>
      </c>
    </row>
    <row r="19">
      <c r="A19" s="2" t="n">
        <v>18</v>
      </c>
      <c r="B19" s="2" t="s">
        <v>264</v>
      </c>
      <c r="C19" s="2" t="n">
        <v>99.008767994</v>
      </c>
      <c r="D19" s="2" t="n">
        <v>11.1836422695291</v>
      </c>
      <c r="E19" s="2" t="s">
        <v>265</v>
      </c>
      <c r="F19" s="2" t="s">
        <v>110</v>
      </c>
      <c r="G19" s="2" t="s">
        <v>266</v>
      </c>
      <c r="H19" s="2" t="s">
        <v>267</v>
      </c>
      <c r="I19" s="2" t="s">
        <v>268</v>
      </c>
      <c r="J19" s="2" t="s">
        <v>269</v>
      </c>
      <c r="K19" s="2" t="s">
        <v>29</v>
      </c>
      <c r="L19" s="2" t="s">
        <v>270</v>
      </c>
      <c r="M19" s="2" t="s">
        <v>271</v>
      </c>
      <c r="N19" s="2" t="s">
        <v>272</v>
      </c>
      <c r="O19" s="2" t="s">
        <v>273</v>
      </c>
      <c r="P19" s="2" t="s">
        <v>274</v>
      </c>
      <c r="Q19" s="2" t="s">
        <v>275</v>
      </c>
      <c r="R19" s="2" t="s">
        <v>49</v>
      </c>
      <c r="S19" s="2" t="s">
        <v>165</v>
      </c>
      <c r="T19" s="2" t="s">
        <v>179</v>
      </c>
      <c r="U19" s="2" t="s">
        <v>39</v>
      </c>
      <c r="V19" s="2" t="n">
        <v>1</v>
      </c>
    </row>
    <row r="20">
      <c r="A20" s="2" t="n">
        <v>19</v>
      </c>
      <c r="B20" s="2" t="s">
        <v>276</v>
      </c>
      <c r="C20" s="2" t="n">
        <v>101.023867744</v>
      </c>
      <c r="D20" s="2" t="n">
        <v>9.04738352840949</v>
      </c>
      <c r="E20" s="2" t="s">
        <v>277</v>
      </c>
      <c r="F20" s="2" t="s">
        <v>42</v>
      </c>
      <c r="G20" s="2" t="s">
        <v>278</v>
      </c>
      <c r="H20" s="2" t="s">
        <v>279</v>
      </c>
      <c r="I20" s="2" t="s">
        <v>280</v>
      </c>
      <c r="J20" s="2" t="s">
        <v>281</v>
      </c>
      <c r="K20" s="2" t="s">
        <v>72</v>
      </c>
      <c r="L20" s="2" t="s">
        <v>282</v>
      </c>
      <c r="M20" s="2" t="s">
        <v>283</v>
      </c>
      <c r="N20" s="2" t="s">
        <v>284</v>
      </c>
      <c r="O20" s="2" t="s">
        <v>285</v>
      </c>
      <c r="P20" s="2" t="s">
        <v>286</v>
      </c>
      <c r="Q20" s="2" t="s">
        <v>287</v>
      </c>
      <c r="R20" s="2" t="s">
        <v>150</v>
      </c>
      <c r="S20" s="2" t="s">
        <v>151</v>
      </c>
      <c r="T20" s="2" t="s">
        <v>288</v>
      </c>
      <c r="U20" s="2" t="s">
        <v>39</v>
      </c>
      <c r="V20" s="2" t="n">
        <v>2</v>
      </c>
    </row>
    <row r="21">
      <c r="A21" s="2" t="n">
        <v>20</v>
      </c>
      <c r="B21" s="2" t="s">
        <v>289</v>
      </c>
      <c r="C21" s="2" t="n">
        <v>101.07203695</v>
      </c>
      <c r="D21" s="2" t="n">
        <v>13.2007308686673</v>
      </c>
      <c r="E21" s="2" t="s">
        <v>290</v>
      </c>
      <c r="F21" s="2" t="s">
        <v>110</v>
      </c>
      <c r="G21" s="2" t="s">
        <v>291</v>
      </c>
      <c r="H21" s="2" t="s">
        <v>292</v>
      </c>
      <c r="I21" s="2" t="s">
        <v>293</v>
      </c>
      <c r="J21" s="2" t="s">
        <v>294</v>
      </c>
      <c r="K21" s="2" t="s">
        <v>29</v>
      </c>
      <c r="L21" s="2" t="s">
        <v>29</v>
      </c>
      <c r="M21" s="2" t="s">
        <v>29</v>
      </c>
      <c r="N21" s="2" t="s">
        <v>295</v>
      </c>
      <c r="O21" s="2" t="s">
        <v>29</v>
      </c>
      <c r="P21" s="2" t="s">
        <v>296</v>
      </c>
      <c r="Q21" s="2" t="s">
        <v>297</v>
      </c>
      <c r="R21" s="2" t="s">
        <v>49</v>
      </c>
      <c r="S21" s="2" t="s">
        <v>50</v>
      </c>
      <c r="T21" s="2" t="s">
        <v>298</v>
      </c>
      <c r="U21" s="2" t="s">
        <v>29</v>
      </c>
      <c r="V21" s="2" t="n">
        <v>1</v>
      </c>
    </row>
    <row r="22">
      <c r="A22" s="2" t="n">
        <v>21</v>
      </c>
      <c r="B22" s="2" t="s">
        <v>299</v>
      </c>
      <c r="C22" s="2" t="n">
        <v>102.056052537</v>
      </c>
      <c r="D22" s="2" t="n">
        <v>0.74037011949294</v>
      </c>
      <c r="E22" s="2" t="s">
        <v>300</v>
      </c>
      <c r="F22" s="2" t="s">
        <v>110</v>
      </c>
      <c r="G22" s="2" t="s">
        <v>301</v>
      </c>
      <c r="H22" s="2" t="s">
        <v>302</v>
      </c>
      <c r="I22" s="2" t="s">
        <v>303</v>
      </c>
      <c r="J22" s="2" t="s">
        <v>304</v>
      </c>
      <c r="K22" s="2" t="s">
        <v>305</v>
      </c>
      <c r="L22" s="2" t="s">
        <v>306</v>
      </c>
      <c r="M22" s="2" t="s">
        <v>307</v>
      </c>
      <c r="N22" s="2" t="s">
        <v>308</v>
      </c>
      <c r="O22" s="2" t="s">
        <v>309</v>
      </c>
      <c r="P22" s="2" t="s">
        <v>310</v>
      </c>
      <c r="Q22" s="2" t="s">
        <v>311</v>
      </c>
      <c r="R22" s="2" t="s">
        <v>312</v>
      </c>
      <c r="S22" s="2" t="s">
        <v>313</v>
      </c>
      <c r="T22" s="2" t="s">
        <v>314</v>
      </c>
      <c r="U22" s="2" t="s">
        <v>39</v>
      </c>
      <c r="V22" s="2" t="n">
        <v>3</v>
      </c>
    </row>
    <row r="23">
      <c r="A23" s="2" t="n">
        <v>22</v>
      </c>
      <c r="B23" s="2" t="s">
        <v>315</v>
      </c>
      <c r="C23" s="2" t="n">
        <v>103.003682616</v>
      </c>
      <c r="D23" s="2" t="n">
        <v>5.53393558058038</v>
      </c>
      <c r="E23" s="2" t="s">
        <v>316</v>
      </c>
      <c r="F23" s="2" t="s">
        <v>110</v>
      </c>
      <c r="G23" s="2" t="s">
        <v>317</v>
      </c>
      <c r="H23" s="2" t="s">
        <v>318</v>
      </c>
      <c r="I23" s="2" t="s">
        <v>319</v>
      </c>
      <c r="J23" s="2" t="s">
        <v>320</v>
      </c>
      <c r="K23" s="2" t="s">
        <v>321</v>
      </c>
      <c r="L23" s="2" t="s">
        <v>322</v>
      </c>
      <c r="M23" s="2" t="s">
        <v>323</v>
      </c>
      <c r="N23" s="2" t="s">
        <v>324</v>
      </c>
      <c r="O23" s="2" t="s">
        <v>325</v>
      </c>
      <c r="P23" s="2" t="s">
        <v>326</v>
      </c>
      <c r="Q23" s="2" t="s">
        <v>327</v>
      </c>
      <c r="R23" s="2" t="s">
        <v>328</v>
      </c>
      <c r="S23" s="2" t="s">
        <v>329</v>
      </c>
      <c r="T23" s="2" t="s">
        <v>330</v>
      </c>
      <c r="U23" s="2" t="s">
        <v>39</v>
      </c>
      <c r="V23" s="2" t="n">
        <v>3</v>
      </c>
    </row>
    <row r="24">
      <c r="A24" s="2" t="n">
        <v>23</v>
      </c>
      <c r="B24" s="2" t="s">
        <v>331</v>
      </c>
      <c r="C24" s="2" t="n">
        <v>104.035312787</v>
      </c>
      <c r="D24" s="2" t="n">
        <v>3.08964332441772</v>
      </c>
      <c r="E24" s="2" t="s">
        <v>332</v>
      </c>
      <c r="F24" s="2" t="s">
        <v>24</v>
      </c>
      <c r="G24" s="2" t="s">
        <v>333</v>
      </c>
      <c r="H24" s="2" t="s">
        <v>334</v>
      </c>
      <c r="I24" s="2" t="s">
        <v>335</v>
      </c>
      <c r="J24" s="2" t="s">
        <v>336</v>
      </c>
      <c r="K24" s="2" t="s">
        <v>226</v>
      </c>
      <c r="L24" s="2" t="s">
        <v>337</v>
      </c>
      <c r="M24" s="2" t="s">
        <v>338</v>
      </c>
      <c r="N24" s="2" t="s">
        <v>339</v>
      </c>
      <c r="O24" s="2" t="s">
        <v>340</v>
      </c>
      <c r="P24" s="2" t="s">
        <v>341</v>
      </c>
      <c r="Q24" s="2" t="s">
        <v>342</v>
      </c>
      <c r="R24" s="2" t="s">
        <v>343</v>
      </c>
      <c r="S24" s="2" t="s">
        <v>344</v>
      </c>
      <c r="T24" s="2" t="s">
        <v>345</v>
      </c>
      <c r="U24" s="2" t="s">
        <v>39</v>
      </c>
      <c r="V24" s="2" t="n">
        <v>3</v>
      </c>
    </row>
    <row r="25">
      <c r="A25" s="2" t="n">
        <v>24</v>
      </c>
      <c r="B25" s="2" t="s">
        <v>346</v>
      </c>
      <c r="C25" s="2" t="n">
        <v>108.019785419</v>
      </c>
      <c r="D25" s="2" t="n">
        <v>1.013151055466</v>
      </c>
      <c r="E25" s="2" t="s">
        <v>347</v>
      </c>
      <c r="F25" s="2" t="s">
        <v>42</v>
      </c>
      <c r="G25" s="2" t="s">
        <v>348</v>
      </c>
      <c r="H25" s="2" t="s">
        <v>349</v>
      </c>
      <c r="I25" s="2" t="s">
        <v>350</v>
      </c>
      <c r="J25" s="2" t="s">
        <v>29</v>
      </c>
      <c r="K25" s="2" t="s">
        <v>29</v>
      </c>
      <c r="L25" s="2" t="s">
        <v>351</v>
      </c>
      <c r="M25" s="2" t="s">
        <v>29</v>
      </c>
      <c r="N25" s="2" t="s">
        <v>352</v>
      </c>
      <c r="O25" s="2" t="s">
        <v>29</v>
      </c>
      <c r="P25" s="2" t="s">
        <v>353</v>
      </c>
      <c r="Q25" s="2" t="s">
        <v>354</v>
      </c>
      <c r="R25" s="2" t="s">
        <v>355</v>
      </c>
      <c r="S25" s="2" t="s">
        <v>356</v>
      </c>
      <c r="T25" s="2" t="s">
        <v>357</v>
      </c>
      <c r="U25" s="2" t="s">
        <v>39</v>
      </c>
      <c r="V25" s="2" t="n">
        <v>1</v>
      </c>
    </row>
    <row r="26">
      <c r="A26" s="2" t="n">
        <v>25</v>
      </c>
      <c r="B26" s="2" t="s">
        <v>358</v>
      </c>
      <c r="C26" s="2" t="n">
        <v>109.038329888</v>
      </c>
      <c r="D26" s="2" t="n">
        <v>0.504910340249785</v>
      </c>
      <c r="E26" s="2" t="s">
        <v>359</v>
      </c>
      <c r="F26" s="2" t="s">
        <v>360</v>
      </c>
      <c r="G26" s="2" t="s">
        <v>361</v>
      </c>
      <c r="H26" s="2" t="s">
        <v>362</v>
      </c>
      <c r="I26" s="2" t="s">
        <v>363</v>
      </c>
      <c r="J26" s="2" t="s">
        <v>364</v>
      </c>
      <c r="K26" s="2" t="s">
        <v>29</v>
      </c>
      <c r="L26" s="2" t="s">
        <v>365</v>
      </c>
      <c r="M26" s="2" t="s">
        <v>366</v>
      </c>
      <c r="N26" s="2" t="s">
        <v>367</v>
      </c>
      <c r="O26" s="2" t="s">
        <v>368</v>
      </c>
      <c r="P26" s="2" t="s">
        <v>369</v>
      </c>
      <c r="Q26" s="2" t="s">
        <v>370</v>
      </c>
      <c r="R26" s="2" t="s">
        <v>49</v>
      </c>
      <c r="S26" s="2" t="s">
        <v>50</v>
      </c>
      <c r="T26" s="2" t="s">
        <v>298</v>
      </c>
      <c r="U26" s="2" t="s">
        <v>39</v>
      </c>
      <c r="V26" s="2" t="n">
        <v>1</v>
      </c>
    </row>
    <row r="27">
      <c r="A27" s="2" t="n">
        <v>26</v>
      </c>
      <c r="B27" s="2" t="s">
        <v>371</v>
      </c>
      <c r="C27" s="2" t="n">
        <v>111.006361058</v>
      </c>
      <c r="D27" s="2" t="n">
        <v>14.8848659258279</v>
      </c>
      <c r="E27" s="2" t="s">
        <v>372</v>
      </c>
      <c r="F27" s="2" t="s">
        <v>360</v>
      </c>
      <c r="G27" s="2" t="s">
        <v>373</v>
      </c>
      <c r="H27" s="2" t="s">
        <v>374</v>
      </c>
      <c r="I27" s="2" t="s">
        <v>375</v>
      </c>
      <c r="J27" s="2" t="s">
        <v>376</v>
      </c>
      <c r="K27" s="2" t="s">
        <v>29</v>
      </c>
      <c r="L27" s="2" t="s">
        <v>377</v>
      </c>
      <c r="M27" s="2" t="s">
        <v>378</v>
      </c>
      <c r="N27" s="2" t="s">
        <v>379</v>
      </c>
      <c r="O27" s="2" t="s">
        <v>380</v>
      </c>
      <c r="P27" s="2" t="s">
        <v>381</v>
      </c>
      <c r="Q27" s="2" t="s">
        <v>382</v>
      </c>
      <c r="R27" s="2" t="s">
        <v>49</v>
      </c>
      <c r="S27" s="2" t="s">
        <v>383</v>
      </c>
      <c r="T27" s="2" t="s">
        <v>384</v>
      </c>
      <c r="U27" s="2" t="s">
        <v>39</v>
      </c>
      <c r="V27" s="2" t="n">
        <v>1</v>
      </c>
    </row>
    <row r="28">
      <c r="A28" s="2" t="n">
        <v>27</v>
      </c>
      <c r="B28" s="2" t="s">
        <v>385</v>
      </c>
      <c r="C28" s="2" t="n">
        <v>113.024418058</v>
      </c>
      <c r="D28" s="2" t="n">
        <v>9.12170134742538</v>
      </c>
      <c r="E28" s="2" t="s">
        <v>386</v>
      </c>
      <c r="F28" s="2" t="s">
        <v>110</v>
      </c>
      <c r="G28" s="2" t="s">
        <v>387</v>
      </c>
      <c r="H28" s="2" t="s">
        <v>388</v>
      </c>
      <c r="I28" s="2" t="s">
        <v>389</v>
      </c>
      <c r="J28" s="2" t="s">
        <v>390</v>
      </c>
      <c r="K28" s="2" t="s">
        <v>29</v>
      </c>
      <c r="L28" s="2" t="s">
        <v>391</v>
      </c>
      <c r="M28" s="2" t="s">
        <v>392</v>
      </c>
      <c r="N28" s="2" t="s">
        <v>393</v>
      </c>
      <c r="O28" s="2" t="s">
        <v>29</v>
      </c>
      <c r="P28" s="2" t="s">
        <v>394</v>
      </c>
      <c r="Q28" s="2" t="s">
        <v>395</v>
      </c>
      <c r="R28" s="2" t="s">
        <v>49</v>
      </c>
      <c r="S28" s="2" t="s">
        <v>396</v>
      </c>
      <c r="T28" s="2" t="s">
        <v>397</v>
      </c>
      <c r="U28" s="2" t="s">
        <v>39</v>
      </c>
      <c r="V28" s="2" t="n">
        <v>1</v>
      </c>
    </row>
    <row r="29">
      <c r="A29" s="2" t="n">
        <v>28</v>
      </c>
      <c r="B29" s="2" t="s">
        <v>398</v>
      </c>
      <c r="C29" s="2" t="n">
        <v>113.09718907</v>
      </c>
      <c r="D29" s="2" t="n">
        <v>9.54865724734803</v>
      </c>
      <c r="E29" s="2" t="s">
        <v>399</v>
      </c>
      <c r="F29" s="2" t="s">
        <v>110</v>
      </c>
      <c r="G29" s="2" t="s">
        <v>400</v>
      </c>
      <c r="H29" s="2" t="s">
        <v>401</v>
      </c>
      <c r="I29" s="2" t="s">
        <v>402</v>
      </c>
      <c r="J29" s="2" t="s">
        <v>403</v>
      </c>
      <c r="K29" s="2" t="s">
        <v>404</v>
      </c>
      <c r="L29" s="2" t="s">
        <v>405</v>
      </c>
      <c r="M29" s="2" t="s">
        <v>406</v>
      </c>
      <c r="N29" s="2" t="s">
        <v>407</v>
      </c>
      <c r="O29" s="2" t="s">
        <v>408</v>
      </c>
      <c r="P29" s="2" t="s">
        <v>409</v>
      </c>
      <c r="Q29" s="2" t="s">
        <v>410</v>
      </c>
      <c r="R29" s="2" t="s">
        <v>150</v>
      </c>
      <c r="S29" s="2" t="s">
        <v>151</v>
      </c>
      <c r="T29" s="2" t="s">
        <v>411</v>
      </c>
      <c r="U29" s="2" t="s">
        <v>39</v>
      </c>
      <c r="V29" s="2" t="n">
        <v>2</v>
      </c>
    </row>
    <row r="30">
      <c r="A30" s="2" t="n">
        <v>29</v>
      </c>
      <c r="B30" s="2" t="s">
        <v>412</v>
      </c>
      <c r="C30" s="2" t="n">
        <v>114.935671335</v>
      </c>
      <c r="D30" s="2" t="n">
        <v>19.2712654057642</v>
      </c>
      <c r="E30" s="2" t="s">
        <v>413</v>
      </c>
      <c r="F30" s="2" t="s">
        <v>250</v>
      </c>
      <c r="G30" s="2" t="s">
        <v>414</v>
      </c>
      <c r="H30" s="2" t="s">
        <v>415</v>
      </c>
      <c r="I30" s="2" t="s">
        <v>416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417</v>
      </c>
      <c r="O30" s="2" t="s">
        <v>29</v>
      </c>
      <c r="P30" s="2" t="s">
        <v>418</v>
      </c>
      <c r="Q30" s="2" t="s">
        <v>419</v>
      </c>
      <c r="R30" s="2" t="s">
        <v>49</v>
      </c>
      <c r="S30" s="2" t="s">
        <v>50</v>
      </c>
      <c r="T30" s="2" t="s">
        <v>205</v>
      </c>
      <c r="U30" s="2" t="s">
        <v>29</v>
      </c>
      <c r="V30" s="2" t="n">
        <v>1</v>
      </c>
    </row>
    <row r="31">
      <c r="A31" s="2" t="n">
        <v>30</v>
      </c>
      <c r="B31" s="2" t="s">
        <v>420</v>
      </c>
      <c r="C31" s="2" t="n">
        <v>115.003132302</v>
      </c>
      <c r="D31" s="2" t="n">
        <v>5.11530380527233</v>
      </c>
      <c r="E31" s="2" t="s">
        <v>421</v>
      </c>
      <c r="F31" s="2" t="s">
        <v>42</v>
      </c>
      <c r="G31" s="2" t="s">
        <v>422</v>
      </c>
      <c r="H31" s="2" t="s">
        <v>423</v>
      </c>
      <c r="I31" s="2" t="s">
        <v>424</v>
      </c>
      <c r="J31" s="2" t="s">
        <v>425</v>
      </c>
      <c r="K31" s="2" t="s">
        <v>29</v>
      </c>
      <c r="L31" s="2" t="s">
        <v>426</v>
      </c>
      <c r="M31" s="2" t="s">
        <v>427</v>
      </c>
      <c r="N31" s="2" t="s">
        <v>428</v>
      </c>
      <c r="O31" s="2" t="s">
        <v>429</v>
      </c>
      <c r="P31" s="2" t="s">
        <v>430</v>
      </c>
      <c r="Q31" s="2" t="s">
        <v>431</v>
      </c>
      <c r="R31" s="2" t="s">
        <v>49</v>
      </c>
      <c r="S31" s="2" t="s">
        <v>383</v>
      </c>
      <c r="T31" s="2" t="s">
        <v>432</v>
      </c>
      <c r="U31" s="2" t="s">
        <v>39</v>
      </c>
      <c r="V31" s="2" t="n">
        <v>1</v>
      </c>
    </row>
    <row r="32">
      <c r="A32" s="2" t="n">
        <v>31</v>
      </c>
      <c r="B32" s="2" t="s">
        <v>433</v>
      </c>
      <c r="C32" s="2" t="n">
        <v>117.019328372</v>
      </c>
      <c r="D32" s="2" t="n">
        <v>1.67814719048509</v>
      </c>
      <c r="E32" s="2" t="s">
        <v>434</v>
      </c>
      <c r="F32" s="2" t="s">
        <v>24</v>
      </c>
      <c r="G32" s="2" t="s">
        <v>435</v>
      </c>
      <c r="H32" s="2" t="s">
        <v>436</v>
      </c>
      <c r="I32" s="2" t="s">
        <v>437</v>
      </c>
      <c r="J32" s="2" t="s">
        <v>438</v>
      </c>
      <c r="K32" s="2" t="s">
        <v>439</v>
      </c>
      <c r="L32" s="2" t="s">
        <v>440</v>
      </c>
      <c r="M32" s="2" t="s">
        <v>441</v>
      </c>
      <c r="N32" s="2" t="s">
        <v>442</v>
      </c>
      <c r="O32" s="2" t="s">
        <v>443</v>
      </c>
      <c r="P32" s="2" t="s">
        <v>444</v>
      </c>
      <c r="Q32" s="2" t="s">
        <v>445</v>
      </c>
      <c r="R32" s="2" t="s">
        <v>49</v>
      </c>
      <c r="S32" s="2" t="s">
        <v>165</v>
      </c>
      <c r="T32" s="2" t="s">
        <v>446</v>
      </c>
      <c r="U32" s="2" t="s">
        <v>39</v>
      </c>
      <c r="V32" s="2" t="n">
        <v>1</v>
      </c>
    </row>
    <row r="33">
      <c r="A33" s="2" t="n">
        <v>32</v>
      </c>
      <c r="B33" s="2" t="s">
        <v>447</v>
      </c>
      <c r="C33" s="2" t="n">
        <v>118.992564847</v>
      </c>
      <c r="D33" s="2" t="n">
        <v>9.29080743051666</v>
      </c>
      <c r="E33" s="2" t="s">
        <v>448</v>
      </c>
      <c r="F33" s="2" t="s">
        <v>110</v>
      </c>
      <c r="G33" s="2" t="s">
        <v>449</v>
      </c>
      <c r="H33" s="2" t="s">
        <v>450</v>
      </c>
      <c r="I33" s="2" t="s">
        <v>451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452</v>
      </c>
      <c r="Q33" s="2" t="s">
        <v>453</v>
      </c>
      <c r="R33" s="2" t="s">
        <v>203</v>
      </c>
      <c r="S33" s="2" t="s">
        <v>204</v>
      </c>
      <c r="T33" s="2" t="s">
        <v>205</v>
      </c>
      <c r="U33" s="2" t="s">
        <v>29</v>
      </c>
      <c r="V33" s="2" t="n">
        <v>1</v>
      </c>
    </row>
    <row r="34">
      <c r="A34" s="2" t="n">
        <v>33</v>
      </c>
      <c r="B34" s="2" t="s">
        <v>454</v>
      </c>
      <c r="C34" s="2" t="n">
        <v>119.036320148</v>
      </c>
      <c r="D34" s="2" t="n">
        <v>4.12809868367164</v>
      </c>
      <c r="E34" s="2" t="s">
        <v>455</v>
      </c>
      <c r="F34" s="2" t="s">
        <v>110</v>
      </c>
      <c r="G34" s="2" t="s">
        <v>456</v>
      </c>
      <c r="H34" s="2" t="s">
        <v>457</v>
      </c>
      <c r="I34" s="2" t="s">
        <v>458</v>
      </c>
      <c r="J34" s="2" t="s">
        <v>459</v>
      </c>
      <c r="K34" s="2" t="s">
        <v>29</v>
      </c>
      <c r="L34" s="2" t="s">
        <v>460</v>
      </c>
      <c r="M34" s="2" t="s">
        <v>461</v>
      </c>
      <c r="N34" s="2" t="s">
        <v>462</v>
      </c>
      <c r="O34" s="2" t="s">
        <v>463</v>
      </c>
      <c r="P34" s="2" t="s">
        <v>464</v>
      </c>
      <c r="Q34" s="2" t="s">
        <v>465</v>
      </c>
      <c r="R34" s="2" t="s">
        <v>355</v>
      </c>
      <c r="S34" s="2" t="s">
        <v>466</v>
      </c>
      <c r="T34" s="2" t="s">
        <v>467</v>
      </c>
      <c r="U34" s="2" t="s">
        <v>39</v>
      </c>
      <c r="V34" s="2" t="n">
        <v>1</v>
      </c>
    </row>
    <row r="35">
      <c r="A35" s="2" t="n">
        <v>34</v>
      </c>
      <c r="B35" s="2" t="s">
        <v>468</v>
      </c>
      <c r="C35" s="2" t="n">
        <v>119.049688564</v>
      </c>
      <c r="D35" s="2" t="n">
        <v>1.34471214997012</v>
      </c>
      <c r="E35" s="2" t="s">
        <v>469</v>
      </c>
      <c r="F35" s="2" t="s">
        <v>42</v>
      </c>
      <c r="G35" s="2" t="s">
        <v>470</v>
      </c>
      <c r="H35" s="2" t="s">
        <v>471</v>
      </c>
      <c r="I35" s="2" t="s">
        <v>472</v>
      </c>
      <c r="J35" s="2" t="s">
        <v>473</v>
      </c>
      <c r="K35" s="2" t="s">
        <v>72</v>
      </c>
      <c r="L35" s="2" t="s">
        <v>474</v>
      </c>
      <c r="M35" s="2" t="s">
        <v>475</v>
      </c>
      <c r="N35" s="2" t="s">
        <v>476</v>
      </c>
      <c r="O35" s="2" t="s">
        <v>477</v>
      </c>
      <c r="P35" s="2" t="s">
        <v>478</v>
      </c>
      <c r="Q35" s="2" t="s">
        <v>479</v>
      </c>
      <c r="R35" s="2" t="s">
        <v>480</v>
      </c>
      <c r="S35" s="2" t="s">
        <v>481</v>
      </c>
      <c r="T35" s="2" t="s">
        <v>482</v>
      </c>
      <c r="U35" s="2" t="s">
        <v>39</v>
      </c>
      <c r="V35" s="2" t="n">
        <v>2</v>
      </c>
    </row>
    <row r="36">
      <c r="A36" s="2" t="n">
        <v>35</v>
      </c>
      <c r="B36" s="2" t="s">
        <v>483</v>
      </c>
      <c r="C36" s="2" t="n">
        <v>119.084217448</v>
      </c>
      <c r="D36" s="2" t="n">
        <v>13.2080576882214</v>
      </c>
      <c r="E36" s="2" t="s">
        <v>484</v>
      </c>
      <c r="F36" s="2" t="s">
        <v>360</v>
      </c>
      <c r="G36" s="2" t="s">
        <v>485</v>
      </c>
      <c r="H36" s="2" t="s">
        <v>486</v>
      </c>
      <c r="I36" s="2" t="s">
        <v>487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488</v>
      </c>
      <c r="O36" s="2" t="s">
        <v>29</v>
      </c>
      <c r="P36" s="2" t="s">
        <v>489</v>
      </c>
      <c r="Q36" s="2" t="s">
        <v>490</v>
      </c>
      <c r="R36" s="2" t="s">
        <v>491</v>
      </c>
      <c r="S36" s="2" t="s">
        <v>492</v>
      </c>
      <c r="T36" s="2" t="s">
        <v>493</v>
      </c>
      <c r="U36" s="2" t="s">
        <v>29</v>
      </c>
      <c r="V36" s="2" t="n">
        <v>1</v>
      </c>
    </row>
    <row r="37">
      <c r="A37" s="2" t="n">
        <v>36</v>
      </c>
      <c r="B37" s="2" t="s">
        <v>494</v>
      </c>
      <c r="C37" s="2" t="n">
        <v>121.016927373</v>
      </c>
      <c r="D37" s="2" t="n">
        <v>7.26004708745149</v>
      </c>
      <c r="E37" s="2" t="s">
        <v>495</v>
      </c>
      <c r="F37" s="2" t="s">
        <v>110</v>
      </c>
      <c r="G37" s="2" t="s">
        <v>496</v>
      </c>
      <c r="H37" s="2" t="s">
        <v>497</v>
      </c>
      <c r="I37" s="2" t="s">
        <v>498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499</v>
      </c>
      <c r="O37" s="2" t="s">
        <v>29</v>
      </c>
      <c r="P37" s="2" t="s">
        <v>500</v>
      </c>
      <c r="Q37" s="2" t="s">
        <v>501</v>
      </c>
      <c r="R37" s="2" t="s">
        <v>502</v>
      </c>
      <c r="S37" s="2" t="s">
        <v>503</v>
      </c>
      <c r="T37" s="2" t="s">
        <v>504</v>
      </c>
      <c r="U37" s="2" t="s">
        <v>29</v>
      </c>
      <c r="V37" s="2" t="n">
        <v>1</v>
      </c>
    </row>
    <row r="38">
      <c r="A38" s="2" t="n">
        <v>37</v>
      </c>
      <c r="B38" s="2" t="s">
        <v>505</v>
      </c>
      <c r="C38" s="2" t="n">
        <v>122.024752409</v>
      </c>
      <c r="D38" s="2" t="n">
        <v>4.18332504269331</v>
      </c>
      <c r="E38" s="2" t="s">
        <v>506</v>
      </c>
      <c r="F38" s="2" t="s">
        <v>110</v>
      </c>
      <c r="G38" s="2" t="s">
        <v>507</v>
      </c>
      <c r="H38" s="2" t="s">
        <v>508</v>
      </c>
      <c r="I38" s="2" t="s">
        <v>509</v>
      </c>
      <c r="J38" s="2" t="s">
        <v>510</v>
      </c>
      <c r="K38" s="2" t="s">
        <v>226</v>
      </c>
      <c r="L38" s="2" t="s">
        <v>511</v>
      </c>
      <c r="M38" s="2" t="s">
        <v>512</v>
      </c>
      <c r="N38" s="2" t="s">
        <v>513</v>
      </c>
      <c r="O38" s="2" t="s">
        <v>514</v>
      </c>
      <c r="P38" s="2" t="s">
        <v>515</v>
      </c>
      <c r="Q38" s="2" t="s">
        <v>516</v>
      </c>
      <c r="R38" s="2" t="s">
        <v>517</v>
      </c>
      <c r="S38" s="2" t="s">
        <v>518</v>
      </c>
      <c r="T38" s="2" t="s">
        <v>519</v>
      </c>
      <c r="U38" s="2" t="s">
        <v>39</v>
      </c>
      <c r="V38" s="2" t="n">
        <v>3</v>
      </c>
    </row>
    <row r="39">
      <c r="A39" s="2" t="n">
        <v>38</v>
      </c>
      <c r="B39" s="2" t="s">
        <v>520</v>
      </c>
      <c r="C39" s="2" t="n">
        <v>123.007912765</v>
      </c>
      <c r="D39" s="2" t="n">
        <v>10.470593796895</v>
      </c>
      <c r="E39" s="2" t="s">
        <v>521</v>
      </c>
      <c r="F39" s="2" t="s">
        <v>522</v>
      </c>
      <c r="G39" s="2" t="s">
        <v>523</v>
      </c>
      <c r="H39" s="2" t="s">
        <v>524</v>
      </c>
      <c r="I39" s="2" t="s">
        <v>525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526</v>
      </c>
      <c r="Q39" s="2" t="s">
        <v>527</v>
      </c>
      <c r="R39" s="2" t="s">
        <v>36</v>
      </c>
      <c r="S39" s="2" t="s">
        <v>37</v>
      </c>
      <c r="T39" s="2" t="s">
        <v>528</v>
      </c>
      <c r="U39" s="2" t="s">
        <v>29</v>
      </c>
      <c r="V39" s="2" t="n">
        <v>1</v>
      </c>
    </row>
    <row r="40">
      <c r="A40" s="2" t="n">
        <v>39</v>
      </c>
      <c r="B40" s="2" t="s">
        <v>529</v>
      </c>
      <c r="C40" s="2" t="n">
        <v>123.032573133</v>
      </c>
      <c r="D40" s="2" t="n">
        <v>12.4970775643768</v>
      </c>
      <c r="E40" s="2" t="s">
        <v>530</v>
      </c>
      <c r="F40" s="2" t="s">
        <v>24</v>
      </c>
      <c r="G40" s="2" t="s">
        <v>531</v>
      </c>
      <c r="H40" s="2" t="s">
        <v>532</v>
      </c>
      <c r="I40" s="2" t="s">
        <v>533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534</v>
      </c>
      <c r="O40" s="2" t="s">
        <v>72</v>
      </c>
      <c r="P40" s="2" t="s">
        <v>535</v>
      </c>
      <c r="Q40" s="2" t="s">
        <v>536</v>
      </c>
      <c r="R40" s="2" t="s">
        <v>537</v>
      </c>
      <c r="S40" s="2" t="s">
        <v>538</v>
      </c>
      <c r="T40" s="2" t="s">
        <v>247</v>
      </c>
      <c r="U40" s="2" t="s">
        <v>29</v>
      </c>
      <c r="V40" s="2" t="n">
        <v>2</v>
      </c>
    </row>
    <row r="41">
      <c r="A41" s="2" t="n">
        <v>40</v>
      </c>
      <c r="B41" s="2" t="s">
        <v>539</v>
      </c>
      <c r="C41" s="2" t="n">
        <v>123.045149192</v>
      </c>
      <c r="D41" s="2" t="n">
        <v>4.49761659648737</v>
      </c>
      <c r="E41" s="2" t="s">
        <v>540</v>
      </c>
      <c r="F41" s="2" t="s">
        <v>24</v>
      </c>
      <c r="G41" s="2" t="s">
        <v>541</v>
      </c>
      <c r="H41" s="2" t="s">
        <v>542</v>
      </c>
      <c r="I41" s="2" t="s">
        <v>543</v>
      </c>
      <c r="J41" s="2" t="s">
        <v>544</v>
      </c>
      <c r="K41" s="2" t="s">
        <v>29</v>
      </c>
      <c r="L41" s="2" t="s">
        <v>545</v>
      </c>
      <c r="M41" s="2" t="s">
        <v>546</v>
      </c>
      <c r="N41" s="2" t="s">
        <v>547</v>
      </c>
      <c r="O41" s="2" t="s">
        <v>548</v>
      </c>
      <c r="P41" s="2" t="s">
        <v>549</v>
      </c>
      <c r="Q41" s="2" t="s">
        <v>550</v>
      </c>
      <c r="R41" s="2" t="s">
        <v>502</v>
      </c>
      <c r="S41" s="2" t="s">
        <v>503</v>
      </c>
      <c r="T41" s="2" t="s">
        <v>205</v>
      </c>
      <c r="U41" s="2" t="s">
        <v>39</v>
      </c>
      <c r="V41" s="2" t="n">
        <v>1</v>
      </c>
    </row>
    <row r="42">
      <c r="A42" s="2" t="n">
        <v>41</v>
      </c>
      <c r="B42" s="2" t="s">
        <v>551</v>
      </c>
      <c r="C42" s="2" t="n">
        <v>125.012329441</v>
      </c>
      <c r="D42" s="2" t="n">
        <v>17.3470804938556</v>
      </c>
      <c r="E42" s="2" t="s">
        <v>552</v>
      </c>
      <c r="F42" s="2" t="s">
        <v>522</v>
      </c>
      <c r="G42" s="2" t="s">
        <v>553</v>
      </c>
      <c r="H42" s="2" t="s">
        <v>554</v>
      </c>
      <c r="I42" s="2" t="s">
        <v>555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556</v>
      </c>
      <c r="O42" s="2" t="s">
        <v>72</v>
      </c>
      <c r="P42" s="2" t="s">
        <v>557</v>
      </c>
      <c r="Q42" s="2" t="s">
        <v>558</v>
      </c>
      <c r="R42" s="2" t="s">
        <v>559</v>
      </c>
      <c r="S42" s="2" t="s">
        <v>560</v>
      </c>
      <c r="T42" s="2" t="s">
        <v>561</v>
      </c>
      <c r="U42" s="2" t="s">
        <v>29</v>
      </c>
      <c r="V42" s="2" t="n">
        <v>2</v>
      </c>
    </row>
    <row r="43">
      <c r="A43" s="2" t="n">
        <v>42</v>
      </c>
      <c r="B43" s="2" t="s">
        <v>562</v>
      </c>
      <c r="C43" s="2" t="n">
        <v>125.096638756</v>
      </c>
      <c r="D43" s="2" t="n">
        <v>9.19809879885202</v>
      </c>
      <c r="E43" s="2" t="s">
        <v>563</v>
      </c>
      <c r="F43" s="2" t="s">
        <v>42</v>
      </c>
      <c r="G43" s="2" t="s">
        <v>564</v>
      </c>
      <c r="H43" s="2" t="s">
        <v>565</v>
      </c>
      <c r="I43" s="2" t="s">
        <v>566</v>
      </c>
      <c r="J43" s="2" t="s">
        <v>567</v>
      </c>
      <c r="K43" s="2" t="s">
        <v>568</v>
      </c>
      <c r="L43" s="2" t="s">
        <v>569</v>
      </c>
      <c r="M43" s="2" t="s">
        <v>570</v>
      </c>
      <c r="N43" s="2" t="s">
        <v>571</v>
      </c>
      <c r="O43" s="2" t="s">
        <v>572</v>
      </c>
      <c r="P43" s="2" t="s">
        <v>573</v>
      </c>
      <c r="Q43" s="2" t="s">
        <v>574</v>
      </c>
      <c r="R43" s="2" t="s">
        <v>575</v>
      </c>
      <c r="S43" s="2" t="s">
        <v>576</v>
      </c>
      <c r="T43" s="2" t="s">
        <v>577</v>
      </c>
      <c r="U43" s="2" t="s">
        <v>39</v>
      </c>
      <c r="V43" s="2" t="n">
        <v>2</v>
      </c>
    </row>
    <row r="44">
      <c r="A44" s="2" t="n">
        <v>43</v>
      </c>
      <c r="B44" s="2" t="s">
        <v>578</v>
      </c>
      <c r="C44" s="2" t="n">
        <v>126.985924062</v>
      </c>
      <c r="D44" s="2" t="n">
        <v>16.3518092772132</v>
      </c>
      <c r="E44" s="2" t="s">
        <v>579</v>
      </c>
      <c r="F44" s="2" t="s">
        <v>110</v>
      </c>
      <c r="G44" s="2" t="s">
        <v>580</v>
      </c>
      <c r="H44" s="2" t="s">
        <v>581</v>
      </c>
      <c r="I44" s="2" t="s">
        <v>582</v>
      </c>
      <c r="J44" s="2" t="s">
        <v>583</v>
      </c>
      <c r="K44" s="2" t="s">
        <v>29</v>
      </c>
      <c r="L44" s="2" t="s">
        <v>29</v>
      </c>
      <c r="M44" s="2" t="s">
        <v>584</v>
      </c>
      <c r="N44" s="2" t="s">
        <v>585</v>
      </c>
      <c r="O44" s="2" t="s">
        <v>29</v>
      </c>
      <c r="P44" s="2" t="s">
        <v>586</v>
      </c>
      <c r="Q44" s="2" t="s">
        <v>587</v>
      </c>
      <c r="R44" s="2" t="s">
        <v>355</v>
      </c>
      <c r="S44" s="2" t="s">
        <v>588</v>
      </c>
      <c r="T44" s="2" t="s">
        <v>589</v>
      </c>
      <c r="U44" s="2" t="s">
        <v>29</v>
      </c>
      <c r="V44" s="2" t="n">
        <v>1</v>
      </c>
    </row>
    <row r="45">
      <c r="A45" s="2" t="n">
        <v>44</v>
      </c>
      <c r="B45" s="2" t="s">
        <v>590</v>
      </c>
      <c r="C45" s="2" t="n">
        <v>127.001233521</v>
      </c>
      <c r="D45" s="2" t="n">
        <v>5.33565120397556</v>
      </c>
      <c r="E45" s="2" t="s">
        <v>591</v>
      </c>
      <c r="F45" s="2" t="s">
        <v>24</v>
      </c>
      <c r="G45" s="2" t="s">
        <v>592</v>
      </c>
      <c r="H45" s="2" t="s">
        <v>593</v>
      </c>
      <c r="I45" s="2" t="s">
        <v>594</v>
      </c>
      <c r="J45" s="2" t="s">
        <v>595</v>
      </c>
      <c r="K45" s="2" t="s">
        <v>29</v>
      </c>
      <c r="L45" s="2" t="s">
        <v>29</v>
      </c>
      <c r="M45" s="2" t="s">
        <v>29</v>
      </c>
      <c r="N45" s="2" t="s">
        <v>596</v>
      </c>
      <c r="O45" s="2" t="s">
        <v>29</v>
      </c>
      <c r="P45" s="2" t="s">
        <v>597</v>
      </c>
      <c r="Q45" s="2" t="s">
        <v>598</v>
      </c>
      <c r="R45" s="2" t="s">
        <v>203</v>
      </c>
      <c r="S45" s="2" t="s">
        <v>599</v>
      </c>
      <c r="T45" s="2" t="s">
        <v>600</v>
      </c>
      <c r="U45" s="2" t="s">
        <v>29</v>
      </c>
      <c r="V45" s="2" t="n">
        <v>1</v>
      </c>
    </row>
    <row r="46">
      <c r="A46" s="2" t="n">
        <v>45</v>
      </c>
      <c r="B46" s="2" t="s">
        <v>601</v>
      </c>
      <c r="C46" s="2" t="n">
        <v>127.076453626</v>
      </c>
      <c r="D46" s="2" t="n">
        <v>9.16304462950573</v>
      </c>
      <c r="E46" s="2" t="s">
        <v>602</v>
      </c>
      <c r="F46" s="2" t="s">
        <v>110</v>
      </c>
      <c r="G46" s="2" t="s">
        <v>603</v>
      </c>
      <c r="H46" s="2" t="s">
        <v>604</v>
      </c>
      <c r="I46" s="2" t="s">
        <v>605</v>
      </c>
      <c r="J46" s="2" t="s">
        <v>606</v>
      </c>
      <c r="K46" s="2" t="s">
        <v>607</v>
      </c>
      <c r="L46" s="2" t="s">
        <v>608</v>
      </c>
      <c r="M46" s="2" t="s">
        <v>609</v>
      </c>
      <c r="N46" s="2" t="s">
        <v>610</v>
      </c>
      <c r="O46" s="2" t="s">
        <v>611</v>
      </c>
      <c r="P46" s="2" t="s">
        <v>612</v>
      </c>
      <c r="Q46" s="2" t="s">
        <v>613</v>
      </c>
      <c r="R46" s="2" t="s">
        <v>614</v>
      </c>
      <c r="S46" s="2" t="s">
        <v>615</v>
      </c>
      <c r="T46" s="2" t="s">
        <v>616</v>
      </c>
      <c r="U46" s="2" t="s">
        <v>39</v>
      </c>
      <c r="V46" s="2" t="n">
        <v>3</v>
      </c>
    </row>
    <row r="47">
      <c r="A47" s="2" t="n">
        <v>46</v>
      </c>
      <c r="B47" s="2" t="s">
        <v>617</v>
      </c>
      <c r="C47" s="2" t="n">
        <v>127.9884585</v>
      </c>
      <c r="D47" s="2" t="n">
        <v>4.8624194151901</v>
      </c>
      <c r="E47" s="2" t="s">
        <v>618</v>
      </c>
      <c r="F47" s="2" t="s">
        <v>360</v>
      </c>
      <c r="G47" s="2" t="s">
        <v>619</v>
      </c>
      <c r="H47" s="2" t="s">
        <v>620</v>
      </c>
      <c r="I47" s="2" t="s">
        <v>621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622</v>
      </c>
      <c r="O47" s="2" t="s">
        <v>29</v>
      </c>
      <c r="P47" s="2" t="s">
        <v>623</v>
      </c>
      <c r="Q47" s="2" t="s">
        <v>624</v>
      </c>
      <c r="R47" s="2" t="s">
        <v>49</v>
      </c>
      <c r="S47" s="2" t="s">
        <v>165</v>
      </c>
      <c r="T47" s="2" t="s">
        <v>625</v>
      </c>
      <c r="U47" s="2" t="s">
        <v>29</v>
      </c>
      <c r="V47" s="2" t="n">
        <v>1</v>
      </c>
    </row>
    <row r="48">
      <c r="A48" s="2" t="n">
        <v>47</v>
      </c>
      <c r="B48" s="2" t="s">
        <v>626</v>
      </c>
      <c r="C48" s="2" t="n">
        <v>128.960493572</v>
      </c>
      <c r="D48" s="2" t="n">
        <v>6.02383512885239</v>
      </c>
      <c r="E48" s="2" t="s">
        <v>627</v>
      </c>
      <c r="F48" s="2" t="s">
        <v>522</v>
      </c>
      <c r="G48" s="2" t="s">
        <v>628</v>
      </c>
      <c r="H48" s="2" t="s">
        <v>629</v>
      </c>
      <c r="I48" s="2" t="s">
        <v>630</v>
      </c>
      <c r="J48" s="2" t="s">
        <v>631</v>
      </c>
      <c r="K48" s="2" t="s">
        <v>29</v>
      </c>
      <c r="L48" s="2" t="s">
        <v>632</v>
      </c>
      <c r="M48" s="2" t="s">
        <v>633</v>
      </c>
      <c r="N48" s="2" t="s">
        <v>634</v>
      </c>
      <c r="O48" s="2" t="s">
        <v>635</v>
      </c>
      <c r="P48" s="2" t="s">
        <v>636</v>
      </c>
      <c r="Q48" s="2" t="s">
        <v>637</v>
      </c>
      <c r="R48" s="2" t="s">
        <v>638</v>
      </c>
      <c r="S48" s="2" t="s">
        <v>639</v>
      </c>
      <c r="T48" s="2" t="s">
        <v>640</v>
      </c>
      <c r="U48" s="2" t="s">
        <v>39</v>
      </c>
      <c r="V48" s="2" t="n">
        <v>1</v>
      </c>
    </row>
    <row r="49">
      <c r="A49" s="2" t="n">
        <v>48</v>
      </c>
      <c r="B49" s="2" t="s">
        <v>641</v>
      </c>
      <c r="C49" s="2" t="n">
        <v>128.983815572</v>
      </c>
      <c r="D49" s="2" t="n">
        <v>16.391608283817</v>
      </c>
      <c r="E49" s="2" t="s">
        <v>642</v>
      </c>
      <c r="F49" s="2" t="s">
        <v>110</v>
      </c>
      <c r="G49" s="2" t="s">
        <v>643</v>
      </c>
      <c r="H49" s="2" t="s">
        <v>644</v>
      </c>
      <c r="I49" s="2" t="s">
        <v>645</v>
      </c>
      <c r="J49" s="2" t="s">
        <v>646</v>
      </c>
      <c r="K49" s="2" t="s">
        <v>226</v>
      </c>
      <c r="L49" s="2" t="s">
        <v>226</v>
      </c>
      <c r="M49" s="2" t="s">
        <v>226</v>
      </c>
      <c r="N49" s="2" t="s">
        <v>647</v>
      </c>
      <c r="O49" s="2" t="s">
        <v>648</v>
      </c>
      <c r="P49" s="2" t="s">
        <v>649</v>
      </c>
      <c r="Q49" s="2" t="s">
        <v>650</v>
      </c>
      <c r="R49" s="2" t="s">
        <v>651</v>
      </c>
      <c r="S49" s="2" t="s">
        <v>652</v>
      </c>
      <c r="T49" s="2" t="s">
        <v>653</v>
      </c>
      <c r="U49" s="2" t="s">
        <v>29</v>
      </c>
      <c r="V49" s="2" t="n">
        <v>3</v>
      </c>
    </row>
    <row r="50">
      <c r="A50" s="2" t="n">
        <v>49</v>
      </c>
      <c r="B50" s="2" t="s">
        <v>654</v>
      </c>
      <c r="C50" s="2" t="n">
        <v>129.01933268</v>
      </c>
      <c r="D50" s="2" t="n">
        <v>8.85745640445836</v>
      </c>
      <c r="E50" s="2" t="s">
        <v>655</v>
      </c>
      <c r="F50" s="2" t="s">
        <v>110</v>
      </c>
      <c r="G50" s="2" t="s">
        <v>656</v>
      </c>
      <c r="H50" s="2" t="s">
        <v>657</v>
      </c>
      <c r="I50" s="2" t="s">
        <v>658</v>
      </c>
      <c r="J50" s="2" t="s">
        <v>659</v>
      </c>
      <c r="K50" s="2" t="s">
        <v>660</v>
      </c>
      <c r="L50" s="2" t="s">
        <v>661</v>
      </c>
      <c r="M50" s="2" t="s">
        <v>662</v>
      </c>
      <c r="N50" s="2" t="s">
        <v>663</v>
      </c>
      <c r="O50" s="2" t="s">
        <v>664</v>
      </c>
      <c r="P50" s="2" t="s">
        <v>665</v>
      </c>
      <c r="Q50" s="2" t="s">
        <v>666</v>
      </c>
      <c r="R50" s="2" t="s">
        <v>575</v>
      </c>
      <c r="S50" s="2" t="s">
        <v>576</v>
      </c>
      <c r="T50" s="2" t="s">
        <v>577</v>
      </c>
      <c r="U50" s="2" t="s">
        <v>39</v>
      </c>
      <c r="V50" s="2" t="n">
        <v>2</v>
      </c>
    </row>
    <row r="51">
      <c r="A51" s="2" t="n">
        <v>50</v>
      </c>
      <c r="B51" s="2" t="s">
        <v>667</v>
      </c>
      <c r="C51" s="2" t="n">
        <v>130.086802351</v>
      </c>
      <c r="D51" s="2" t="n">
        <v>2.36867080728647</v>
      </c>
      <c r="E51" s="2" t="s">
        <v>668</v>
      </c>
      <c r="F51" s="2" t="s">
        <v>42</v>
      </c>
      <c r="G51" s="2" t="s">
        <v>669</v>
      </c>
      <c r="H51" s="2" t="s">
        <v>670</v>
      </c>
      <c r="I51" s="2" t="s">
        <v>671</v>
      </c>
      <c r="J51" s="2" t="s">
        <v>672</v>
      </c>
      <c r="K51" s="2" t="s">
        <v>29</v>
      </c>
      <c r="L51" s="2" t="s">
        <v>673</v>
      </c>
      <c r="M51" s="2" t="s">
        <v>674</v>
      </c>
      <c r="N51" s="2" t="s">
        <v>675</v>
      </c>
      <c r="O51" s="2" t="s">
        <v>676</v>
      </c>
      <c r="P51" s="2" t="s">
        <v>677</v>
      </c>
      <c r="Q51" s="2" t="s">
        <v>678</v>
      </c>
      <c r="R51" s="2" t="s">
        <v>36</v>
      </c>
      <c r="S51" s="2" t="s">
        <v>37</v>
      </c>
      <c r="T51" s="2" t="s">
        <v>679</v>
      </c>
      <c r="U51" s="2" t="s">
        <v>39</v>
      </c>
      <c r="V51" s="2" t="n">
        <v>1</v>
      </c>
    </row>
    <row r="52">
      <c r="A52" s="2" t="n">
        <v>51</v>
      </c>
      <c r="B52" s="2" t="s">
        <v>680</v>
      </c>
      <c r="C52" s="2" t="n">
        <v>130.996148141</v>
      </c>
      <c r="D52" s="2" t="n">
        <v>0.342040189762709</v>
      </c>
      <c r="E52" s="2" t="s">
        <v>681</v>
      </c>
      <c r="F52" s="2" t="s">
        <v>24</v>
      </c>
      <c r="G52" s="2" t="s">
        <v>682</v>
      </c>
      <c r="H52" s="2" t="s">
        <v>683</v>
      </c>
      <c r="I52" s="2" t="s">
        <v>684</v>
      </c>
      <c r="J52" s="2" t="s">
        <v>685</v>
      </c>
      <c r="K52" s="2" t="s">
        <v>29</v>
      </c>
      <c r="L52" s="2" t="s">
        <v>29</v>
      </c>
      <c r="M52" s="2" t="s">
        <v>29</v>
      </c>
      <c r="N52" s="2" t="s">
        <v>686</v>
      </c>
      <c r="O52" s="2" t="s">
        <v>29</v>
      </c>
      <c r="P52" s="2" t="s">
        <v>687</v>
      </c>
      <c r="Q52" s="2" t="s">
        <v>688</v>
      </c>
      <c r="R52" s="2" t="s">
        <v>203</v>
      </c>
      <c r="S52" s="2" t="s">
        <v>689</v>
      </c>
      <c r="T52" s="2" t="s">
        <v>690</v>
      </c>
      <c r="U52" s="2" t="s">
        <v>29</v>
      </c>
      <c r="V52" s="2" t="n">
        <v>1</v>
      </c>
    </row>
    <row r="53">
      <c r="A53" s="2" t="n">
        <v>52</v>
      </c>
      <c r="B53" s="2" t="s">
        <v>691</v>
      </c>
      <c r="C53" s="2" t="n">
        <v>131.046216132</v>
      </c>
      <c r="D53" s="2" t="n">
        <v>0.65504106743497</v>
      </c>
      <c r="E53" s="2" t="s">
        <v>692</v>
      </c>
      <c r="F53" s="2" t="s">
        <v>110</v>
      </c>
      <c r="G53" s="2" t="s">
        <v>693</v>
      </c>
      <c r="H53" s="2" t="s">
        <v>694</v>
      </c>
      <c r="I53" s="2" t="s">
        <v>695</v>
      </c>
      <c r="J53" s="2" t="s">
        <v>696</v>
      </c>
      <c r="K53" s="2" t="s">
        <v>29</v>
      </c>
      <c r="L53" s="2" t="s">
        <v>697</v>
      </c>
      <c r="M53" s="2" t="s">
        <v>698</v>
      </c>
      <c r="N53" s="2" t="s">
        <v>699</v>
      </c>
      <c r="O53" s="2" t="s">
        <v>700</v>
      </c>
      <c r="P53" s="2" t="s">
        <v>701</v>
      </c>
      <c r="Q53" s="2" t="s">
        <v>702</v>
      </c>
      <c r="R53" s="2" t="s">
        <v>49</v>
      </c>
      <c r="S53" s="2" t="s">
        <v>50</v>
      </c>
      <c r="T53" s="2" t="s">
        <v>298</v>
      </c>
      <c r="U53" s="2" t="s">
        <v>39</v>
      </c>
      <c r="V53" s="2" t="n">
        <v>1</v>
      </c>
    </row>
    <row r="54">
      <c r="A54" s="2" t="n">
        <v>53</v>
      </c>
      <c r="B54" s="2" t="s">
        <v>703</v>
      </c>
      <c r="C54" s="2" t="n">
        <v>131.082601638</v>
      </c>
      <c r="D54" s="2" t="n">
        <v>1.08044388984414</v>
      </c>
      <c r="E54" s="2" t="s">
        <v>704</v>
      </c>
      <c r="F54" s="2" t="s">
        <v>110</v>
      </c>
      <c r="G54" s="2" t="s">
        <v>705</v>
      </c>
      <c r="H54" s="2" t="s">
        <v>706</v>
      </c>
      <c r="I54" s="2" t="s">
        <v>707</v>
      </c>
      <c r="J54" s="2" t="s">
        <v>708</v>
      </c>
      <c r="K54" s="2" t="s">
        <v>72</v>
      </c>
      <c r="L54" s="2" t="s">
        <v>709</v>
      </c>
      <c r="M54" s="2" t="s">
        <v>710</v>
      </c>
      <c r="N54" s="2" t="s">
        <v>711</v>
      </c>
      <c r="O54" s="2" t="s">
        <v>712</v>
      </c>
      <c r="P54" s="2" t="s">
        <v>713</v>
      </c>
      <c r="Q54" s="2" t="s">
        <v>714</v>
      </c>
      <c r="R54" s="2" t="s">
        <v>715</v>
      </c>
      <c r="S54" s="2" t="s">
        <v>716</v>
      </c>
      <c r="T54" s="2" t="s">
        <v>717</v>
      </c>
      <c r="U54" s="2" t="s">
        <v>39</v>
      </c>
      <c r="V54" s="2" t="n">
        <v>2</v>
      </c>
    </row>
    <row r="55">
      <c r="A55" s="2" t="n">
        <v>54</v>
      </c>
      <c r="B55" s="2" t="s">
        <v>718</v>
      </c>
      <c r="C55" s="2" t="n">
        <v>132.030231717</v>
      </c>
      <c r="D55" s="2" t="n">
        <v>3.36955145592429</v>
      </c>
      <c r="E55" s="2" t="s">
        <v>719</v>
      </c>
      <c r="F55" s="2" t="s">
        <v>110</v>
      </c>
      <c r="G55" s="2" t="s">
        <v>720</v>
      </c>
      <c r="H55" s="2" t="s">
        <v>721</v>
      </c>
      <c r="I55" s="2" t="s">
        <v>722</v>
      </c>
      <c r="J55" s="2" t="s">
        <v>723</v>
      </c>
      <c r="K55" s="2" t="s">
        <v>72</v>
      </c>
      <c r="L55" s="2" t="s">
        <v>724</v>
      </c>
      <c r="M55" s="2" t="s">
        <v>725</v>
      </c>
      <c r="N55" s="2" t="s">
        <v>726</v>
      </c>
      <c r="O55" s="2" t="s">
        <v>727</v>
      </c>
      <c r="P55" s="2" t="s">
        <v>728</v>
      </c>
      <c r="Q55" s="2" t="s">
        <v>729</v>
      </c>
      <c r="R55" s="2" t="s">
        <v>715</v>
      </c>
      <c r="S55" s="2" t="s">
        <v>716</v>
      </c>
      <c r="T55" s="2" t="s">
        <v>717</v>
      </c>
      <c r="U55" s="2" t="s">
        <v>39</v>
      </c>
      <c r="V55" s="2" t="n">
        <v>2</v>
      </c>
    </row>
    <row r="56">
      <c r="A56" s="2" t="n">
        <v>55</v>
      </c>
      <c r="B56" s="2" t="s">
        <v>730</v>
      </c>
      <c r="C56" s="2" t="n">
        <v>133.015034392</v>
      </c>
      <c r="D56" s="2" t="n">
        <v>11.2816662810085</v>
      </c>
      <c r="E56" s="2" t="s">
        <v>731</v>
      </c>
      <c r="F56" s="2" t="s">
        <v>42</v>
      </c>
      <c r="G56" s="2" t="s">
        <v>732</v>
      </c>
      <c r="H56" s="2" t="s">
        <v>733</v>
      </c>
      <c r="I56" s="2" t="s">
        <v>734</v>
      </c>
      <c r="J56" s="2" t="s">
        <v>735</v>
      </c>
      <c r="K56" s="2" t="s">
        <v>72</v>
      </c>
      <c r="L56" s="2" t="s">
        <v>736</v>
      </c>
      <c r="M56" s="2" t="s">
        <v>737</v>
      </c>
      <c r="N56" s="2" t="s">
        <v>738</v>
      </c>
      <c r="O56" s="2" t="s">
        <v>739</v>
      </c>
      <c r="P56" s="2" t="s">
        <v>740</v>
      </c>
      <c r="Q56" s="2" t="s">
        <v>741</v>
      </c>
      <c r="R56" s="2" t="s">
        <v>537</v>
      </c>
      <c r="S56" s="2" t="s">
        <v>742</v>
      </c>
      <c r="T56" s="2" t="s">
        <v>743</v>
      </c>
      <c r="U56" s="2" t="s">
        <v>39</v>
      </c>
      <c r="V56" s="2" t="n">
        <v>2</v>
      </c>
    </row>
    <row r="57">
      <c r="A57" s="2" t="n">
        <v>56</v>
      </c>
      <c r="B57" s="2" t="s">
        <v>744</v>
      </c>
      <c r="C57" s="2" t="n">
        <v>133.0506285</v>
      </c>
      <c r="D57" s="2" t="n">
        <v>1.95885442108565</v>
      </c>
      <c r="E57" s="2" t="s">
        <v>745</v>
      </c>
      <c r="F57" s="2" t="s">
        <v>24</v>
      </c>
      <c r="G57" s="2" t="s">
        <v>746</v>
      </c>
      <c r="H57" s="2" t="s">
        <v>747</v>
      </c>
      <c r="I57" s="2" t="s">
        <v>748</v>
      </c>
      <c r="J57" s="2" t="s">
        <v>749</v>
      </c>
      <c r="K57" s="2" t="s">
        <v>750</v>
      </c>
      <c r="L57" s="2" t="s">
        <v>751</v>
      </c>
      <c r="M57" s="2" t="s">
        <v>752</v>
      </c>
      <c r="N57" s="2" t="s">
        <v>753</v>
      </c>
      <c r="O57" s="2" t="s">
        <v>754</v>
      </c>
      <c r="P57" s="2" t="s">
        <v>755</v>
      </c>
      <c r="Q57" s="2" t="s">
        <v>756</v>
      </c>
      <c r="R57" s="2" t="s">
        <v>757</v>
      </c>
      <c r="S57" s="2" t="s">
        <v>758</v>
      </c>
      <c r="T57" s="2" t="s">
        <v>759</v>
      </c>
      <c r="U57" s="2" t="s">
        <v>39</v>
      </c>
      <c r="V57" s="2" t="n">
        <v>3</v>
      </c>
    </row>
    <row r="58">
      <c r="A58" s="2" t="n">
        <v>57</v>
      </c>
      <c r="B58" s="2" t="s">
        <v>760</v>
      </c>
      <c r="C58" s="2" t="n">
        <v>136.016353325</v>
      </c>
      <c r="D58" s="2" t="n">
        <v>3.11026104331375</v>
      </c>
      <c r="E58" s="2" t="s">
        <v>761</v>
      </c>
      <c r="F58" s="2" t="s">
        <v>42</v>
      </c>
      <c r="G58" s="2" t="s">
        <v>762</v>
      </c>
      <c r="H58" s="2" t="s">
        <v>763</v>
      </c>
      <c r="I58" s="2" t="s">
        <v>764</v>
      </c>
      <c r="J58" s="2" t="s">
        <v>765</v>
      </c>
      <c r="K58" s="2" t="s">
        <v>29</v>
      </c>
      <c r="L58" s="2" t="s">
        <v>766</v>
      </c>
      <c r="M58" s="2" t="s">
        <v>767</v>
      </c>
      <c r="N58" s="2" t="s">
        <v>768</v>
      </c>
      <c r="O58" s="2" t="s">
        <v>29</v>
      </c>
      <c r="P58" s="2" t="s">
        <v>769</v>
      </c>
      <c r="Q58" s="2" t="s">
        <v>770</v>
      </c>
      <c r="R58" s="2" t="s">
        <v>49</v>
      </c>
      <c r="S58" s="2" t="s">
        <v>771</v>
      </c>
      <c r="T58" s="2" t="s">
        <v>772</v>
      </c>
      <c r="U58" s="2" t="s">
        <v>39</v>
      </c>
      <c r="V58" s="2" t="n">
        <v>1</v>
      </c>
    </row>
    <row r="59">
      <c r="A59" s="2" t="n">
        <v>58</v>
      </c>
      <c r="B59" s="2" t="s">
        <v>773</v>
      </c>
      <c r="C59" s="2" t="n">
        <v>136.937563041</v>
      </c>
      <c r="D59" s="2" t="n">
        <v>10.8633289494137</v>
      </c>
      <c r="E59" s="2" t="s">
        <v>774</v>
      </c>
      <c r="F59" s="2" t="s">
        <v>250</v>
      </c>
      <c r="G59" s="2" t="s">
        <v>775</v>
      </c>
      <c r="H59" s="2" t="s">
        <v>776</v>
      </c>
      <c r="I59" s="2" t="s">
        <v>777</v>
      </c>
      <c r="J59" s="2" t="s">
        <v>778</v>
      </c>
      <c r="K59" s="2" t="s">
        <v>29</v>
      </c>
      <c r="L59" s="2" t="s">
        <v>29</v>
      </c>
      <c r="M59" s="2" t="s">
        <v>29</v>
      </c>
      <c r="N59" s="2" t="s">
        <v>779</v>
      </c>
      <c r="O59" s="2" t="s">
        <v>29</v>
      </c>
      <c r="P59" s="2" t="s">
        <v>780</v>
      </c>
      <c r="Q59" s="2" t="s">
        <v>781</v>
      </c>
      <c r="R59" s="2" t="s">
        <v>49</v>
      </c>
      <c r="S59" s="2" t="s">
        <v>782</v>
      </c>
      <c r="T59" s="2" t="s">
        <v>205</v>
      </c>
      <c r="U59" s="2" t="s">
        <v>29</v>
      </c>
      <c r="V59" s="2" t="n">
        <v>1</v>
      </c>
    </row>
    <row r="60">
      <c r="A60" s="2" t="n">
        <v>59</v>
      </c>
      <c r="B60" s="2" t="s">
        <v>783</v>
      </c>
      <c r="C60" s="2" t="n">
        <v>136.987482238</v>
      </c>
      <c r="D60" s="2" t="n">
        <v>7.76589788605331</v>
      </c>
      <c r="E60" s="2" t="s">
        <v>784</v>
      </c>
      <c r="F60" s="2" t="s">
        <v>42</v>
      </c>
      <c r="G60" s="2" t="s">
        <v>785</v>
      </c>
      <c r="H60" s="2" t="s">
        <v>786</v>
      </c>
      <c r="I60" s="2" t="s">
        <v>787</v>
      </c>
      <c r="J60" s="2" t="s">
        <v>788</v>
      </c>
      <c r="K60" s="2" t="s">
        <v>29</v>
      </c>
      <c r="L60" s="2" t="s">
        <v>789</v>
      </c>
      <c r="M60" s="2" t="s">
        <v>790</v>
      </c>
      <c r="N60" s="2" t="s">
        <v>791</v>
      </c>
      <c r="O60" s="2" t="s">
        <v>792</v>
      </c>
      <c r="P60" s="2" t="s">
        <v>793</v>
      </c>
      <c r="Q60" s="2" t="s">
        <v>794</v>
      </c>
      <c r="R60" s="2" t="s">
        <v>355</v>
      </c>
      <c r="S60" s="2" t="s">
        <v>795</v>
      </c>
      <c r="T60" s="2" t="s">
        <v>796</v>
      </c>
      <c r="U60" s="2" t="s">
        <v>39</v>
      </c>
      <c r="V60" s="2" t="n">
        <v>1</v>
      </c>
    </row>
    <row r="61">
      <c r="A61" s="2" t="n">
        <v>60</v>
      </c>
      <c r="B61" s="2" t="s">
        <v>797</v>
      </c>
      <c r="C61" s="2" t="n">
        <v>137.023562829</v>
      </c>
      <c r="D61" s="2" t="n">
        <v>8.1489225448675</v>
      </c>
      <c r="E61" s="2" t="s">
        <v>798</v>
      </c>
      <c r="F61" s="2" t="s">
        <v>522</v>
      </c>
      <c r="G61" s="2" t="s">
        <v>799</v>
      </c>
      <c r="H61" s="2" t="s">
        <v>800</v>
      </c>
      <c r="I61" s="2" t="s">
        <v>801</v>
      </c>
      <c r="J61" s="2" t="s">
        <v>802</v>
      </c>
      <c r="K61" s="2" t="s">
        <v>29</v>
      </c>
      <c r="L61" s="2" t="s">
        <v>29</v>
      </c>
      <c r="M61" s="2" t="s">
        <v>29</v>
      </c>
      <c r="N61" s="2" t="s">
        <v>803</v>
      </c>
      <c r="O61" s="2" t="s">
        <v>29</v>
      </c>
      <c r="P61" s="2" t="s">
        <v>804</v>
      </c>
      <c r="Q61" s="2" t="s">
        <v>805</v>
      </c>
      <c r="R61" s="2" t="s">
        <v>36</v>
      </c>
      <c r="S61" s="2" t="s">
        <v>37</v>
      </c>
      <c r="T61" s="2" t="s">
        <v>528</v>
      </c>
      <c r="U61" s="2" t="s">
        <v>29</v>
      </c>
      <c r="V61" s="2" t="n">
        <v>1</v>
      </c>
    </row>
    <row r="62">
      <c r="A62" s="2" t="n">
        <v>61</v>
      </c>
      <c r="B62" s="2" t="s">
        <v>806</v>
      </c>
      <c r="C62" s="2" t="n">
        <v>137.942139895</v>
      </c>
      <c r="D62" s="2" t="n">
        <v>11.4373493183221</v>
      </c>
      <c r="E62" s="2" t="s">
        <v>807</v>
      </c>
      <c r="F62" s="2" t="s">
        <v>250</v>
      </c>
      <c r="G62" s="2" t="s">
        <v>808</v>
      </c>
      <c r="H62" s="2" t="s">
        <v>809</v>
      </c>
      <c r="I62" s="2" t="s">
        <v>810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811</v>
      </c>
      <c r="O62" s="2" t="s">
        <v>29</v>
      </c>
      <c r="P62" s="2" t="s">
        <v>812</v>
      </c>
      <c r="Q62" s="2" t="s">
        <v>813</v>
      </c>
      <c r="R62" s="2" t="s">
        <v>355</v>
      </c>
      <c r="S62" s="2" t="s">
        <v>356</v>
      </c>
      <c r="T62" s="2" t="s">
        <v>814</v>
      </c>
      <c r="U62" s="2" t="s">
        <v>29</v>
      </c>
      <c r="V62" s="2" t="n">
        <v>1</v>
      </c>
    </row>
    <row r="63">
      <c r="A63" s="2" t="n">
        <v>62</v>
      </c>
      <c r="B63" s="2" t="s">
        <v>815</v>
      </c>
      <c r="C63" s="2" t="n">
        <v>138.019116717</v>
      </c>
      <c r="D63" s="2" t="n">
        <v>3.46977656916121</v>
      </c>
      <c r="E63" s="2" t="s">
        <v>816</v>
      </c>
      <c r="F63" s="2" t="s">
        <v>42</v>
      </c>
      <c r="G63" s="2" t="s">
        <v>817</v>
      </c>
      <c r="H63" s="2" t="s">
        <v>818</v>
      </c>
      <c r="I63" s="2" t="s">
        <v>819</v>
      </c>
      <c r="J63" s="2" t="s">
        <v>820</v>
      </c>
      <c r="K63" s="2" t="s">
        <v>821</v>
      </c>
      <c r="L63" s="2" t="s">
        <v>822</v>
      </c>
      <c r="M63" s="2" t="s">
        <v>823</v>
      </c>
      <c r="N63" s="2" t="s">
        <v>824</v>
      </c>
      <c r="O63" s="2" t="s">
        <v>825</v>
      </c>
      <c r="P63" s="2" t="s">
        <v>826</v>
      </c>
      <c r="Q63" s="2" t="s">
        <v>827</v>
      </c>
      <c r="R63" s="2" t="s">
        <v>49</v>
      </c>
      <c r="S63" s="2" t="s">
        <v>165</v>
      </c>
      <c r="T63" s="2" t="s">
        <v>166</v>
      </c>
      <c r="U63" s="2" t="s">
        <v>39</v>
      </c>
      <c r="V63" s="2" t="n">
        <v>1</v>
      </c>
    </row>
    <row r="64">
      <c r="A64" s="2" t="n">
        <v>63</v>
      </c>
      <c r="B64" s="2" t="s">
        <v>828</v>
      </c>
      <c r="C64" s="2" t="n">
        <v>138.056052537</v>
      </c>
      <c r="D64" s="2" t="n">
        <v>3.41365622424992</v>
      </c>
      <c r="E64" s="2" t="s">
        <v>829</v>
      </c>
      <c r="F64" s="2" t="s">
        <v>110</v>
      </c>
      <c r="G64" s="2" t="s">
        <v>830</v>
      </c>
      <c r="H64" s="2" t="s">
        <v>831</v>
      </c>
      <c r="I64" s="2" t="s">
        <v>832</v>
      </c>
      <c r="J64" s="2" t="s">
        <v>833</v>
      </c>
      <c r="K64" s="2" t="s">
        <v>29</v>
      </c>
      <c r="L64" s="2" t="s">
        <v>834</v>
      </c>
      <c r="M64" s="2" t="s">
        <v>835</v>
      </c>
      <c r="N64" s="2" t="s">
        <v>836</v>
      </c>
      <c r="O64" s="2" t="s">
        <v>837</v>
      </c>
      <c r="P64" s="2" t="s">
        <v>838</v>
      </c>
      <c r="Q64" s="2" t="s">
        <v>839</v>
      </c>
      <c r="R64" s="2" t="s">
        <v>49</v>
      </c>
      <c r="S64" s="2" t="s">
        <v>165</v>
      </c>
      <c r="T64" s="2" t="s">
        <v>166</v>
      </c>
      <c r="U64" s="2" t="s">
        <v>39</v>
      </c>
      <c r="V64" s="2" t="n">
        <v>1</v>
      </c>
    </row>
    <row r="65">
      <c r="A65" s="2" t="n">
        <v>64</v>
      </c>
      <c r="B65" s="2" t="s">
        <v>840</v>
      </c>
      <c r="C65" s="2" t="n">
        <v>138.938189443</v>
      </c>
      <c r="D65" s="2" t="n">
        <v>7.62138259775919</v>
      </c>
      <c r="E65" s="2" t="s">
        <v>841</v>
      </c>
      <c r="F65" s="2" t="s">
        <v>110</v>
      </c>
      <c r="G65" s="2" t="s">
        <v>842</v>
      </c>
      <c r="H65" s="2" t="s">
        <v>843</v>
      </c>
      <c r="I65" s="2" t="s">
        <v>844</v>
      </c>
      <c r="J65" s="2" t="s">
        <v>29</v>
      </c>
      <c r="K65" s="2" t="s">
        <v>29</v>
      </c>
      <c r="L65" s="2" t="s">
        <v>845</v>
      </c>
      <c r="M65" s="2" t="s">
        <v>846</v>
      </c>
      <c r="N65" s="2" t="s">
        <v>847</v>
      </c>
      <c r="O65" s="2" t="s">
        <v>848</v>
      </c>
      <c r="P65" s="2" t="s">
        <v>849</v>
      </c>
      <c r="Q65" s="2" t="s">
        <v>850</v>
      </c>
      <c r="R65" s="2" t="s">
        <v>851</v>
      </c>
      <c r="S65" s="2" t="s">
        <v>852</v>
      </c>
      <c r="T65" s="2" t="s">
        <v>853</v>
      </c>
      <c r="U65" s="2" t="s">
        <v>39</v>
      </c>
      <c r="V65" s="2" t="n">
        <v>1</v>
      </c>
    </row>
    <row r="66">
      <c r="A66" s="2" t="n">
        <v>65</v>
      </c>
      <c r="B66" s="2" t="s">
        <v>854</v>
      </c>
      <c r="C66" s="2" t="n">
        <v>138.980179955</v>
      </c>
      <c r="D66" s="2" t="n">
        <v>13.4056651020581</v>
      </c>
      <c r="E66" s="2" t="s">
        <v>855</v>
      </c>
      <c r="F66" s="2" t="s">
        <v>24</v>
      </c>
      <c r="G66" s="2" t="s">
        <v>856</v>
      </c>
      <c r="H66" s="2" t="s">
        <v>857</v>
      </c>
      <c r="I66" s="2" t="s">
        <v>858</v>
      </c>
      <c r="J66" s="2" t="s">
        <v>859</v>
      </c>
      <c r="K66" s="2" t="s">
        <v>29</v>
      </c>
      <c r="L66" s="2" t="s">
        <v>29</v>
      </c>
      <c r="M66" s="2" t="s">
        <v>29</v>
      </c>
      <c r="N66" s="2" t="s">
        <v>860</v>
      </c>
      <c r="O66" s="2" t="s">
        <v>29</v>
      </c>
      <c r="P66" s="2" t="s">
        <v>861</v>
      </c>
      <c r="Q66" s="2" t="s">
        <v>862</v>
      </c>
      <c r="R66" s="2" t="s">
        <v>64</v>
      </c>
      <c r="S66" s="2" t="s">
        <v>65</v>
      </c>
      <c r="T66" s="2" t="s">
        <v>205</v>
      </c>
      <c r="U66" s="2" t="s">
        <v>29</v>
      </c>
      <c r="V66" s="2" t="n">
        <v>1</v>
      </c>
    </row>
    <row r="67">
      <c r="A67" s="2" t="n">
        <v>66</v>
      </c>
      <c r="B67" s="2" t="s">
        <v>863</v>
      </c>
      <c r="C67" s="2" t="n">
        <v>139.040068122</v>
      </c>
      <c r="D67" s="2" t="n">
        <v>15.3247801192578</v>
      </c>
      <c r="E67" s="2" t="s">
        <v>864</v>
      </c>
      <c r="F67" s="2" t="s">
        <v>110</v>
      </c>
      <c r="G67" s="2" t="s">
        <v>865</v>
      </c>
      <c r="H67" s="2" t="s">
        <v>866</v>
      </c>
      <c r="I67" s="2" t="s">
        <v>867</v>
      </c>
      <c r="J67" s="2" t="s">
        <v>868</v>
      </c>
      <c r="K67" s="2" t="s">
        <v>29</v>
      </c>
      <c r="L67" s="2" t="s">
        <v>869</v>
      </c>
      <c r="M67" s="2" t="s">
        <v>29</v>
      </c>
      <c r="N67" s="2" t="s">
        <v>870</v>
      </c>
      <c r="O67" s="2" t="s">
        <v>871</v>
      </c>
      <c r="P67" s="2" t="s">
        <v>872</v>
      </c>
      <c r="Q67" s="2" t="s">
        <v>873</v>
      </c>
      <c r="R67" s="2" t="s">
        <v>355</v>
      </c>
      <c r="S67" s="2" t="s">
        <v>874</v>
      </c>
      <c r="T67" s="2" t="s">
        <v>875</v>
      </c>
      <c r="U67" s="2" t="s">
        <v>39</v>
      </c>
      <c r="V67" s="2" t="n">
        <v>1</v>
      </c>
    </row>
    <row r="68">
      <c r="A68" s="2" t="n">
        <v>67</v>
      </c>
      <c r="B68" s="2" t="s">
        <v>876</v>
      </c>
      <c r="C68" s="2" t="n">
        <v>141.001574126</v>
      </c>
      <c r="D68" s="2" t="n">
        <v>1.43411674143344</v>
      </c>
      <c r="E68" s="2" t="s">
        <v>877</v>
      </c>
      <c r="F68" s="2" t="s">
        <v>110</v>
      </c>
      <c r="G68" s="2" t="s">
        <v>878</v>
      </c>
      <c r="H68" s="2" t="s">
        <v>879</v>
      </c>
      <c r="I68" s="2" t="s">
        <v>880</v>
      </c>
      <c r="J68" s="2" t="s">
        <v>881</v>
      </c>
      <c r="K68" s="2" t="s">
        <v>226</v>
      </c>
      <c r="L68" s="2" t="s">
        <v>226</v>
      </c>
      <c r="M68" s="2" t="s">
        <v>226</v>
      </c>
      <c r="N68" s="2" t="s">
        <v>882</v>
      </c>
      <c r="O68" s="2" t="s">
        <v>883</v>
      </c>
      <c r="P68" s="2" t="s">
        <v>884</v>
      </c>
      <c r="Q68" s="2" t="s">
        <v>885</v>
      </c>
      <c r="R68" s="2" t="s">
        <v>230</v>
      </c>
      <c r="S68" s="2" t="s">
        <v>886</v>
      </c>
      <c r="T68" s="2" t="s">
        <v>887</v>
      </c>
      <c r="U68" s="2" t="s">
        <v>29</v>
      </c>
      <c r="V68" s="2" t="n">
        <v>3</v>
      </c>
    </row>
    <row r="69">
      <c r="A69" s="2" t="n">
        <v>68</v>
      </c>
      <c r="B69" s="2" t="s">
        <v>888</v>
      </c>
      <c r="C69" s="2" t="n">
        <v>141.092103692</v>
      </c>
      <c r="D69" s="2" t="n">
        <v>3.65182899723854</v>
      </c>
      <c r="E69" s="2" t="s">
        <v>889</v>
      </c>
      <c r="F69" s="2" t="s">
        <v>110</v>
      </c>
      <c r="G69" s="2" t="s">
        <v>890</v>
      </c>
      <c r="H69" s="2" t="s">
        <v>891</v>
      </c>
      <c r="I69" s="2" t="s">
        <v>892</v>
      </c>
      <c r="J69" s="2" t="s">
        <v>893</v>
      </c>
      <c r="K69" s="2" t="s">
        <v>894</v>
      </c>
      <c r="L69" s="2" t="s">
        <v>895</v>
      </c>
      <c r="M69" s="2" t="s">
        <v>896</v>
      </c>
      <c r="N69" s="2" t="s">
        <v>897</v>
      </c>
      <c r="O69" s="2" t="s">
        <v>898</v>
      </c>
      <c r="P69" s="2" t="s">
        <v>899</v>
      </c>
      <c r="Q69" s="2" t="s">
        <v>900</v>
      </c>
      <c r="R69" s="2" t="s">
        <v>105</v>
      </c>
      <c r="S69" s="2" t="s">
        <v>106</v>
      </c>
      <c r="T69" s="2" t="s">
        <v>107</v>
      </c>
      <c r="U69" s="2" t="s">
        <v>39</v>
      </c>
      <c r="V69" s="2" t="n">
        <v>3</v>
      </c>
    </row>
    <row r="70">
      <c r="A70" s="2" t="n">
        <v>69</v>
      </c>
      <c r="B70" s="2" t="s">
        <v>901</v>
      </c>
      <c r="C70" s="2" t="n">
        <v>143.0210597</v>
      </c>
      <c r="D70" s="2" t="n">
        <v>11.5805155975749</v>
      </c>
      <c r="E70" s="2" t="s">
        <v>902</v>
      </c>
      <c r="F70" s="2" t="s">
        <v>24</v>
      </c>
      <c r="G70" s="2" t="s">
        <v>903</v>
      </c>
      <c r="H70" s="2" t="s">
        <v>904</v>
      </c>
      <c r="I70" s="2" t="s">
        <v>905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906</v>
      </c>
      <c r="O70" s="2" t="s">
        <v>29</v>
      </c>
      <c r="P70" s="2" t="s">
        <v>907</v>
      </c>
      <c r="Q70" s="2" t="s">
        <v>908</v>
      </c>
      <c r="R70" s="2" t="s">
        <v>355</v>
      </c>
      <c r="S70" s="2" t="s">
        <v>909</v>
      </c>
      <c r="T70" s="2" t="s">
        <v>205</v>
      </c>
      <c r="U70" s="2" t="s">
        <v>29</v>
      </c>
      <c r="V70" s="2" t="n">
        <v>1</v>
      </c>
    </row>
    <row r="71">
      <c r="A71" s="2" t="n">
        <v>70</v>
      </c>
      <c r="B71" s="2" t="s">
        <v>910</v>
      </c>
      <c r="C71" s="2" t="n">
        <v>144.029681394</v>
      </c>
      <c r="D71" s="2" t="n">
        <v>10.0163860809311</v>
      </c>
      <c r="E71" s="2" t="s">
        <v>911</v>
      </c>
      <c r="F71" s="2" t="s">
        <v>42</v>
      </c>
      <c r="G71" s="2" t="s">
        <v>912</v>
      </c>
      <c r="H71" s="2" t="s">
        <v>913</v>
      </c>
      <c r="I71" s="2" t="s">
        <v>914</v>
      </c>
      <c r="J71" s="2" t="s">
        <v>915</v>
      </c>
      <c r="K71" s="2" t="s">
        <v>72</v>
      </c>
      <c r="L71" s="2" t="s">
        <v>916</v>
      </c>
      <c r="M71" s="2" t="s">
        <v>917</v>
      </c>
      <c r="N71" s="2" t="s">
        <v>918</v>
      </c>
      <c r="O71" s="2" t="s">
        <v>919</v>
      </c>
      <c r="P71" s="2" t="s">
        <v>920</v>
      </c>
      <c r="Q71" s="2" t="s">
        <v>921</v>
      </c>
      <c r="R71" s="2" t="s">
        <v>715</v>
      </c>
      <c r="S71" s="2" t="s">
        <v>716</v>
      </c>
      <c r="T71" s="2" t="s">
        <v>717</v>
      </c>
      <c r="U71" s="2" t="s">
        <v>39</v>
      </c>
      <c r="V71" s="2" t="n">
        <v>2</v>
      </c>
    </row>
    <row r="72">
      <c r="A72" s="2" t="n">
        <v>71</v>
      </c>
      <c r="B72" s="2" t="s">
        <v>922</v>
      </c>
      <c r="C72" s="2" t="n">
        <v>144.996484923</v>
      </c>
      <c r="D72" s="2" t="n">
        <v>2.64090563825845</v>
      </c>
      <c r="E72" s="2" t="s">
        <v>923</v>
      </c>
      <c r="F72" s="2" t="s">
        <v>24</v>
      </c>
      <c r="G72" s="2" t="s">
        <v>924</v>
      </c>
      <c r="H72" s="2" t="s">
        <v>925</v>
      </c>
      <c r="I72" s="2" t="s">
        <v>926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927</v>
      </c>
      <c r="O72" s="2" t="s">
        <v>72</v>
      </c>
      <c r="P72" s="2" t="s">
        <v>928</v>
      </c>
      <c r="Q72" s="2" t="s">
        <v>929</v>
      </c>
      <c r="R72" s="2" t="s">
        <v>537</v>
      </c>
      <c r="S72" s="2" t="s">
        <v>930</v>
      </c>
      <c r="T72" s="2" t="s">
        <v>247</v>
      </c>
      <c r="U72" s="2" t="s">
        <v>29</v>
      </c>
      <c r="V72" s="2" t="n">
        <v>2</v>
      </c>
    </row>
    <row r="73">
      <c r="A73" s="2" t="n">
        <v>72</v>
      </c>
      <c r="B73" s="2" t="s">
        <v>931</v>
      </c>
      <c r="C73" s="2" t="n">
        <v>145.032874254</v>
      </c>
      <c r="D73" s="2" t="n">
        <v>7.8385871337615</v>
      </c>
      <c r="E73" s="2" t="s">
        <v>932</v>
      </c>
      <c r="F73" s="2" t="s">
        <v>110</v>
      </c>
      <c r="G73" s="2" t="s">
        <v>933</v>
      </c>
      <c r="H73" s="2" t="s">
        <v>934</v>
      </c>
      <c r="I73" s="2" t="s">
        <v>935</v>
      </c>
      <c r="J73" s="2" t="s">
        <v>936</v>
      </c>
      <c r="K73" s="2" t="s">
        <v>72</v>
      </c>
      <c r="L73" s="2" t="s">
        <v>72</v>
      </c>
      <c r="M73" s="2" t="s">
        <v>72</v>
      </c>
      <c r="N73" s="2" t="s">
        <v>937</v>
      </c>
      <c r="O73" s="2" t="s">
        <v>938</v>
      </c>
      <c r="P73" s="2" t="s">
        <v>939</v>
      </c>
      <c r="Q73" s="2" t="s">
        <v>940</v>
      </c>
      <c r="R73" s="2" t="s">
        <v>941</v>
      </c>
      <c r="S73" s="2" t="s">
        <v>942</v>
      </c>
      <c r="T73" s="2" t="s">
        <v>943</v>
      </c>
      <c r="U73" s="2" t="s">
        <v>29</v>
      </c>
      <c r="V73" s="2" t="n">
        <v>2</v>
      </c>
    </row>
    <row r="74">
      <c r="A74" s="2" t="n">
        <v>73</v>
      </c>
      <c r="B74" s="2" t="s">
        <v>944</v>
      </c>
      <c r="C74" s="2" t="n">
        <v>145.061866196</v>
      </c>
      <c r="D74" s="2" t="n">
        <v>9.90961748751585</v>
      </c>
      <c r="E74" s="2" t="s">
        <v>945</v>
      </c>
      <c r="F74" s="2" t="s">
        <v>110</v>
      </c>
      <c r="G74" s="2" t="s">
        <v>946</v>
      </c>
      <c r="H74" s="2" t="s">
        <v>947</v>
      </c>
      <c r="I74" s="2" t="s">
        <v>948</v>
      </c>
      <c r="J74" s="2" t="s">
        <v>949</v>
      </c>
      <c r="K74" s="2" t="s">
        <v>29</v>
      </c>
      <c r="L74" s="2" t="s">
        <v>950</v>
      </c>
      <c r="M74" s="2" t="s">
        <v>951</v>
      </c>
      <c r="N74" s="2" t="s">
        <v>952</v>
      </c>
      <c r="O74" s="2" t="s">
        <v>953</v>
      </c>
      <c r="P74" s="2" t="s">
        <v>954</v>
      </c>
      <c r="Q74" s="2" t="s">
        <v>955</v>
      </c>
      <c r="R74" s="2" t="s">
        <v>49</v>
      </c>
      <c r="S74" s="2" t="s">
        <v>165</v>
      </c>
      <c r="T74" s="2" t="s">
        <v>166</v>
      </c>
      <c r="U74" s="2" t="s">
        <v>39</v>
      </c>
      <c r="V74" s="2" t="n">
        <v>1</v>
      </c>
    </row>
    <row r="75">
      <c r="A75" s="2" t="n">
        <v>74</v>
      </c>
      <c r="B75" s="2" t="s">
        <v>956</v>
      </c>
      <c r="C75" s="2" t="n">
        <v>145.086467995</v>
      </c>
      <c r="D75" s="2" t="n">
        <v>10.1518859849172</v>
      </c>
      <c r="E75" s="2" t="s">
        <v>957</v>
      </c>
      <c r="F75" s="2" t="s">
        <v>42</v>
      </c>
      <c r="G75" s="2" t="s">
        <v>958</v>
      </c>
      <c r="H75" s="2" t="s">
        <v>959</v>
      </c>
      <c r="I75" s="2" t="s">
        <v>960</v>
      </c>
      <c r="J75" s="2" t="s">
        <v>961</v>
      </c>
      <c r="K75" s="2" t="s">
        <v>226</v>
      </c>
      <c r="L75" s="2" t="s">
        <v>226</v>
      </c>
      <c r="M75" s="2" t="s">
        <v>962</v>
      </c>
      <c r="N75" s="2" t="s">
        <v>963</v>
      </c>
      <c r="O75" s="2" t="s">
        <v>964</v>
      </c>
      <c r="P75" s="2" t="s">
        <v>965</v>
      </c>
      <c r="Q75" s="2" t="s">
        <v>966</v>
      </c>
      <c r="R75" s="2" t="s">
        <v>967</v>
      </c>
      <c r="S75" s="2" t="s">
        <v>968</v>
      </c>
      <c r="T75" s="2" t="s">
        <v>969</v>
      </c>
      <c r="U75" s="2" t="s">
        <v>29</v>
      </c>
      <c r="V75" s="2" t="n">
        <v>3</v>
      </c>
    </row>
    <row r="76">
      <c r="A76" s="2" t="n">
        <v>75</v>
      </c>
      <c r="B76" s="2" t="s">
        <v>970</v>
      </c>
      <c r="C76" s="2" t="n">
        <v>146.045881781</v>
      </c>
      <c r="D76" s="2" t="n">
        <v>2.17789364097005</v>
      </c>
      <c r="E76" s="2" t="s">
        <v>971</v>
      </c>
      <c r="F76" s="2" t="s">
        <v>110</v>
      </c>
      <c r="G76" s="2" t="s">
        <v>972</v>
      </c>
      <c r="H76" s="2" t="s">
        <v>973</v>
      </c>
      <c r="I76" s="2" t="s">
        <v>974</v>
      </c>
      <c r="J76" s="2" t="s">
        <v>975</v>
      </c>
      <c r="K76" s="2" t="s">
        <v>29</v>
      </c>
      <c r="L76" s="2" t="s">
        <v>976</v>
      </c>
      <c r="M76" s="2" t="s">
        <v>977</v>
      </c>
      <c r="N76" s="2" t="s">
        <v>978</v>
      </c>
      <c r="O76" s="2" t="s">
        <v>979</v>
      </c>
      <c r="P76" s="2" t="s">
        <v>980</v>
      </c>
      <c r="Q76" s="2" t="s">
        <v>981</v>
      </c>
      <c r="R76" s="2" t="s">
        <v>49</v>
      </c>
      <c r="S76" s="2" t="s">
        <v>165</v>
      </c>
      <c r="T76" s="2" t="s">
        <v>166</v>
      </c>
      <c r="U76" s="2" t="s">
        <v>39</v>
      </c>
      <c r="V76" s="2" t="n">
        <v>1</v>
      </c>
    </row>
    <row r="77">
      <c r="A77" s="2" t="n">
        <v>76</v>
      </c>
      <c r="B77" s="2" t="s">
        <v>982</v>
      </c>
      <c r="C77" s="2" t="n">
        <v>146.96194716</v>
      </c>
      <c r="D77" s="2" t="n">
        <v>7.81464656994703</v>
      </c>
      <c r="E77" s="2" t="s">
        <v>983</v>
      </c>
      <c r="F77" s="2" t="s">
        <v>522</v>
      </c>
      <c r="G77" s="2" t="s">
        <v>984</v>
      </c>
      <c r="H77" s="2" t="s">
        <v>985</v>
      </c>
      <c r="I77" s="2" t="s">
        <v>986</v>
      </c>
      <c r="J77" s="2" t="s">
        <v>29</v>
      </c>
      <c r="K77" s="2" t="s">
        <v>29</v>
      </c>
      <c r="L77" s="2" t="s">
        <v>29</v>
      </c>
      <c r="M77" s="2" t="s">
        <v>987</v>
      </c>
      <c r="N77" s="2" t="s">
        <v>988</v>
      </c>
      <c r="O77" s="2" t="s">
        <v>989</v>
      </c>
      <c r="P77" s="2" t="s">
        <v>990</v>
      </c>
      <c r="Q77" s="2" t="s">
        <v>991</v>
      </c>
      <c r="R77" s="2" t="s">
        <v>49</v>
      </c>
      <c r="S77" s="2" t="s">
        <v>771</v>
      </c>
      <c r="T77" s="2" t="s">
        <v>772</v>
      </c>
      <c r="U77" s="2" t="s">
        <v>29</v>
      </c>
      <c r="V77" s="2" t="n">
        <v>1</v>
      </c>
    </row>
    <row r="78">
      <c r="A78" s="2" t="n">
        <v>77</v>
      </c>
      <c r="B78" s="2" t="s">
        <v>992</v>
      </c>
      <c r="C78" s="2" t="n">
        <v>147.029347042</v>
      </c>
      <c r="D78" s="2" t="n">
        <v>16.0304040446979</v>
      </c>
      <c r="E78" s="2" t="s">
        <v>993</v>
      </c>
      <c r="F78" s="2" t="s">
        <v>42</v>
      </c>
      <c r="G78" s="2" t="s">
        <v>994</v>
      </c>
      <c r="H78" s="2" t="s">
        <v>995</v>
      </c>
      <c r="I78" s="2" t="s">
        <v>996</v>
      </c>
      <c r="J78" s="2" t="s">
        <v>997</v>
      </c>
      <c r="K78" s="2" t="s">
        <v>226</v>
      </c>
      <c r="L78" s="2" t="s">
        <v>998</v>
      </c>
      <c r="M78" s="2" t="s">
        <v>999</v>
      </c>
      <c r="N78" s="2" t="s">
        <v>1000</v>
      </c>
      <c r="O78" s="2" t="s">
        <v>1001</v>
      </c>
      <c r="P78" s="2" t="s">
        <v>1002</v>
      </c>
      <c r="Q78" s="2" t="s">
        <v>1003</v>
      </c>
      <c r="R78" s="2" t="s">
        <v>967</v>
      </c>
      <c r="S78" s="2" t="s">
        <v>968</v>
      </c>
      <c r="T78" s="2" t="s">
        <v>1004</v>
      </c>
      <c r="U78" s="2" t="s">
        <v>39</v>
      </c>
      <c r="V78" s="2" t="n">
        <v>3</v>
      </c>
    </row>
    <row r="79">
      <c r="A79" s="2" t="n">
        <v>78</v>
      </c>
      <c r="B79" s="2" t="s">
        <v>1005</v>
      </c>
      <c r="C79" s="2" t="n">
        <v>147.065732551</v>
      </c>
      <c r="D79" s="2" t="n">
        <v>1.82168927107819</v>
      </c>
      <c r="E79" s="2" t="s">
        <v>1006</v>
      </c>
      <c r="F79" s="2" t="s">
        <v>42</v>
      </c>
      <c r="G79" s="2" t="s">
        <v>1007</v>
      </c>
      <c r="H79" s="2" t="s">
        <v>1008</v>
      </c>
      <c r="I79" s="2" t="s">
        <v>1009</v>
      </c>
      <c r="J79" s="2" t="s">
        <v>1010</v>
      </c>
      <c r="K79" s="2" t="s">
        <v>1011</v>
      </c>
      <c r="L79" s="2" t="s">
        <v>226</v>
      </c>
      <c r="M79" s="2" t="s">
        <v>1012</v>
      </c>
      <c r="N79" s="2" t="s">
        <v>1013</v>
      </c>
      <c r="O79" s="2" t="s">
        <v>1014</v>
      </c>
      <c r="P79" s="2" t="s">
        <v>1015</v>
      </c>
      <c r="Q79" s="2" t="s">
        <v>1016</v>
      </c>
      <c r="R79" s="2" t="s">
        <v>967</v>
      </c>
      <c r="S79" s="2" t="s">
        <v>968</v>
      </c>
      <c r="T79" s="2" t="s">
        <v>1004</v>
      </c>
      <c r="U79" s="2" t="s">
        <v>29</v>
      </c>
      <c r="V79" s="2" t="n">
        <v>3</v>
      </c>
    </row>
    <row r="80">
      <c r="A80" s="2" t="n">
        <v>79</v>
      </c>
      <c r="B80" s="2" t="s">
        <v>1017</v>
      </c>
      <c r="C80" s="2" t="n">
        <v>148.948492698</v>
      </c>
      <c r="D80" s="2" t="n">
        <v>17.7966243939249</v>
      </c>
      <c r="E80" s="2" t="s">
        <v>1018</v>
      </c>
      <c r="F80" s="2" t="s">
        <v>1019</v>
      </c>
      <c r="G80" s="2" t="s">
        <v>1020</v>
      </c>
      <c r="H80" s="2" t="s">
        <v>1021</v>
      </c>
      <c r="I80" s="2" t="s">
        <v>1022</v>
      </c>
      <c r="J80" s="2" t="s">
        <v>29</v>
      </c>
      <c r="K80" s="2" t="s">
        <v>29</v>
      </c>
      <c r="L80" s="2" t="s">
        <v>29</v>
      </c>
      <c r="M80" s="2" t="s">
        <v>1023</v>
      </c>
      <c r="N80" s="2" t="s">
        <v>1024</v>
      </c>
      <c r="O80" s="2" t="s">
        <v>1025</v>
      </c>
      <c r="P80" s="2" t="s">
        <v>1026</v>
      </c>
      <c r="Q80" s="2" t="s">
        <v>1027</v>
      </c>
      <c r="R80" s="2" t="s">
        <v>638</v>
      </c>
      <c r="S80" s="2" t="s">
        <v>1028</v>
      </c>
      <c r="T80" s="2" t="s">
        <v>205</v>
      </c>
      <c r="U80" s="2" t="s">
        <v>29</v>
      </c>
      <c r="V80" s="2" t="n">
        <v>1</v>
      </c>
    </row>
    <row r="81">
      <c r="A81" s="2" t="n">
        <v>80</v>
      </c>
      <c r="B81" s="2" t="s">
        <v>1029</v>
      </c>
      <c r="C81" s="2" t="n">
        <v>149.010030322</v>
      </c>
      <c r="D81" s="2" t="n">
        <v>9.28689411235418</v>
      </c>
      <c r="E81" s="2" t="s">
        <v>1030</v>
      </c>
      <c r="F81" s="2" t="s">
        <v>110</v>
      </c>
      <c r="G81" s="2" t="s">
        <v>1031</v>
      </c>
      <c r="H81" s="2" t="s">
        <v>1032</v>
      </c>
      <c r="I81" s="2" t="s">
        <v>1033</v>
      </c>
      <c r="J81" s="2" t="s">
        <v>1034</v>
      </c>
      <c r="K81" s="2" t="s">
        <v>29</v>
      </c>
      <c r="L81" s="2" t="s">
        <v>29</v>
      </c>
      <c r="M81" s="2" t="s">
        <v>29</v>
      </c>
      <c r="N81" s="2" t="s">
        <v>1035</v>
      </c>
      <c r="O81" s="2" t="s">
        <v>1036</v>
      </c>
      <c r="P81" s="2" t="s">
        <v>1037</v>
      </c>
      <c r="Q81" s="2" t="s">
        <v>1038</v>
      </c>
      <c r="R81" s="2" t="s">
        <v>638</v>
      </c>
      <c r="S81" s="2" t="s">
        <v>639</v>
      </c>
      <c r="T81" s="2" t="s">
        <v>640</v>
      </c>
      <c r="U81" s="2" t="s">
        <v>29</v>
      </c>
      <c r="V81" s="2" t="n">
        <v>1</v>
      </c>
    </row>
    <row r="82">
      <c r="A82" s="2" t="n">
        <v>81</v>
      </c>
      <c r="B82" s="2" t="s">
        <v>1039</v>
      </c>
      <c r="C82" s="2" t="n">
        <v>149.045547422</v>
      </c>
      <c r="D82" s="2" t="n">
        <v>12.7645629451959</v>
      </c>
      <c r="E82" s="2" t="s">
        <v>1040</v>
      </c>
      <c r="F82" s="2" t="s">
        <v>110</v>
      </c>
      <c r="G82" s="2" t="s">
        <v>1041</v>
      </c>
      <c r="H82" s="2" t="s">
        <v>1042</v>
      </c>
      <c r="I82" s="2" t="s">
        <v>1043</v>
      </c>
      <c r="J82" s="2" t="s">
        <v>1044</v>
      </c>
      <c r="K82" s="2" t="s">
        <v>226</v>
      </c>
      <c r="L82" s="2" t="s">
        <v>1045</v>
      </c>
      <c r="M82" s="2" t="s">
        <v>1046</v>
      </c>
      <c r="N82" s="2" t="s">
        <v>1047</v>
      </c>
      <c r="O82" s="2" t="s">
        <v>1048</v>
      </c>
      <c r="P82" s="2" t="s">
        <v>1049</v>
      </c>
      <c r="Q82" s="2" t="s">
        <v>1050</v>
      </c>
      <c r="R82" s="2" t="s">
        <v>967</v>
      </c>
      <c r="S82" s="2" t="s">
        <v>968</v>
      </c>
      <c r="T82" s="2" t="s">
        <v>1004</v>
      </c>
      <c r="U82" s="2" t="s">
        <v>39</v>
      </c>
      <c r="V82" s="2" t="n">
        <v>3</v>
      </c>
    </row>
    <row r="83">
      <c r="A83" s="2" t="n">
        <v>82</v>
      </c>
      <c r="B83" s="2" t="s">
        <v>1051</v>
      </c>
      <c r="C83" s="2" t="n">
        <v>149.06025325</v>
      </c>
      <c r="D83" s="2" t="n">
        <v>5.12224444544345</v>
      </c>
      <c r="E83" s="2" t="s">
        <v>1052</v>
      </c>
      <c r="F83" s="2" t="s">
        <v>42</v>
      </c>
      <c r="G83" s="2" t="s">
        <v>1053</v>
      </c>
      <c r="H83" s="2" t="s">
        <v>1054</v>
      </c>
      <c r="I83" s="2" t="s">
        <v>1055</v>
      </c>
      <c r="J83" s="2" t="s">
        <v>1056</v>
      </c>
      <c r="K83" s="2" t="s">
        <v>1057</v>
      </c>
      <c r="L83" s="2" t="s">
        <v>226</v>
      </c>
      <c r="M83" s="2" t="s">
        <v>1058</v>
      </c>
      <c r="N83" s="2" t="s">
        <v>1059</v>
      </c>
      <c r="O83" s="2" t="s">
        <v>1060</v>
      </c>
      <c r="P83" s="2" t="s">
        <v>1061</v>
      </c>
      <c r="Q83" s="2" t="s">
        <v>1062</v>
      </c>
      <c r="R83" s="2" t="s">
        <v>1063</v>
      </c>
      <c r="S83" s="2" t="s">
        <v>1064</v>
      </c>
      <c r="T83" s="2" t="s">
        <v>1065</v>
      </c>
      <c r="U83" s="2" t="s">
        <v>29</v>
      </c>
      <c r="V83" s="2" t="n">
        <v>3</v>
      </c>
    </row>
    <row r="84">
      <c r="A84" s="2" t="n">
        <v>83</v>
      </c>
      <c r="B84" s="2" t="s">
        <v>1066</v>
      </c>
      <c r="C84" s="2" t="n">
        <v>150.988422164</v>
      </c>
      <c r="D84" s="2" t="n">
        <v>5.71677375012994</v>
      </c>
      <c r="E84" s="2" t="s">
        <v>1067</v>
      </c>
      <c r="F84" s="2" t="s">
        <v>24</v>
      </c>
      <c r="G84" s="2" t="s">
        <v>1068</v>
      </c>
      <c r="H84" s="2" t="s">
        <v>1069</v>
      </c>
      <c r="I84" s="2" t="s">
        <v>1070</v>
      </c>
      <c r="J84" s="2" t="s">
        <v>29</v>
      </c>
      <c r="K84" s="2" t="s">
        <v>29</v>
      </c>
      <c r="L84" s="2" t="s">
        <v>29</v>
      </c>
      <c r="M84" s="2" t="s">
        <v>1071</v>
      </c>
      <c r="N84" s="2" t="s">
        <v>1072</v>
      </c>
      <c r="O84" s="2" t="s">
        <v>29</v>
      </c>
      <c r="P84" s="2" t="s">
        <v>1073</v>
      </c>
      <c r="Q84" s="2" t="s">
        <v>1074</v>
      </c>
      <c r="R84" s="2" t="s">
        <v>49</v>
      </c>
      <c r="S84" s="2" t="s">
        <v>50</v>
      </c>
      <c r="T84" s="2" t="s">
        <v>205</v>
      </c>
      <c r="U84" s="2" t="s">
        <v>29</v>
      </c>
      <c r="V84" s="2" t="n">
        <v>1</v>
      </c>
    </row>
    <row r="85">
      <c r="A85" s="2" t="n">
        <v>84</v>
      </c>
      <c r="B85" s="2" t="s">
        <v>1075</v>
      </c>
      <c r="C85" s="2" t="n">
        <v>150.999659857</v>
      </c>
      <c r="D85" s="2" t="n">
        <v>4.86993016352814</v>
      </c>
      <c r="E85" s="2" t="s">
        <v>1076</v>
      </c>
      <c r="F85" s="2" t="s">
        <v>110</v>
      </c>
      <c r="G85" s="2" t="s">
        <v>1077</v>
      </c>
      <c r="H85" s="2" t="s">
        <v>1078</v>
      </c>
      <c r="I85" s="2" t="s">
        <v>1079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1080</v>
      </c>
      <c r="O85" s="2" t="s">
        <v>29</v>
      </c>
      <c r="P85" s="2" t="s">
        <v>1081</v>
      </c>
      <c r="Q85" s="2" t="s">
        <v>1082</v>
      </c>
      <c r="R85" s="2" t="s">
        <v>64</v>
      </c>
      <c r="S85" s="2" t="s">
        <v>1083</v>
      </c>
      <c r="T85" s="2" t="s">
        <v>1084</v>
      </c>
      <c r="U85" s="2" t="s">
        <v>29</v>
      </c>
      <c r="V85" s="2" t="n">
        <v>1</v>
      </c>
    </row>
    <row r="86">
      <c r="A86" s="2" t="n">
        <v>85</v>
      </c>
      <c r="B86" s="2" t="s">
        <v>1085</v>
      </c>
      <c r="C86" s="2" t="n">
        <v>152.035312785</v>
      </c>
      <c r="D86" s="2" t="n">
        <v>1.34411290760745</v>
      </c>
      <c r="E86" s="2" t="s">
        <v>1086</v>
      </c>
      <c r="F86" s="2" t="s">
        <v>24</v>
      </c>
      <c r="G86" s="2" t="s">
        <v>1087</v>
      </c>
      <c r="H86" s="2" t="s">
        <v>1088</v>
      </c>
      <c r="I86" s="2" t="s">
        <v>1089</v>
      </c>
      <c r="J86" s="2" t="s">
        <v>1090</v>
      </c>
      <c r="K86" s="2" t="s">
        <v>72</v>
      </c>
      <c r="L86" s="2" t="s">
        <v>1091</v>
      </c>
      <c r="M86" s="2" t="s">
        <v>1092</v>
      </c>
      <c r="N86" s="2" t="s">
        <v>1093</v>
      </c>
      <c r="O86" s="2" t="s">
        <v>1094</v>
      </c>
      <c r="P86" s="2" t="s">
        <v>1095</v>
      </c>
      <c r="Q86" s="2" t="s">
        <v>1096</v>
      </c>
      <c r="R86" s="2" t="s">
        <v>1097</v>
      </c>
      <c r="S86" s="2" t="s">
        <v>1098</v>
      </c>
      <c r="T86" s="2" t="s">
        <v>1099</v>
      </c>
      <c r="U86" s="2" t="s">
        <v>39</v>
      </c>
      <c r="V86" s="2" t="n">
        <v>2</v>
      </c>
    </row>
    <row r="87">
      <c r="A87" s="2" t="n">
        <v>86</v>
      </c>
      <c r="B87" s="2" t="s">
        <v>1100</v>
      </c>
      <c r="C87" s="2" t="n">
        <v>152.959625174</v>
      </c>
      <c r="D87" s="2" t="n">
        <v>1.84934847096576</v>
      </c>
      <c r="E87" s="2" t="s">
        <v>1101</v>
      </c>
      <c r="F87" s="2" t="s">
        <v>522</v>
      </c>
      <c r="G87" s="2" t="s">
        <v>1102</v>
      </c>
      <c r="H87" s="2" t="s">
        <v>1103</v>
      </c>
      <c r="I87" s="2" t="s">
        <v>1104</v>
      </c>
      <c r="J87" s="2" t="s">
        <v>29</v>
      </c>
      <c r="K87" s="2" t="s">
        <v>29</v>
      </c>
      <c r="L87" s="2" t="s">
        <v>1105</v>
      </c>
      <c r="M87" s="2" t="s">
        <v>1106</v>
      </c>
      <c r="N87" s="2" t="s">
        <v>1107</v>
      </c>
      <c r="O87" s="2" t="s">
        <v>1108</v>
      </c>
      <c r="P87" s="2" t="s">
        <v>1109</v>
      </c>
      <c r="Q87" s="2" t="s">
        <v>1110</v>
      </c>
      <c r="R87" s="2" t="s">
        <v>49</v>
      </c>
      <c r="S87" s="2" t="s">
        <v>165</v>
      </c>
      <c r="T87" s="2" t="s">
        <v>179</v>
      </c>
      <c r="U87" s="2" t="s">
        <v>39</v>
      </c>
      <c r="V87" s="2" t="n">
        <v>1</v>
      </c>
    </row>
    <row r="88">
      <c r="A88" s="2" t="n">
        <v>87</v>
      </c>
      <c r="B88" s="2" t="s">
        <v>1111</v>
      </c>
      <c r="C88" s="2" t="n">
        <v>152.995834323</v>
      </c>
      <c r="D88" s="2" t="n">
        <v>5.17020932824644</v>
      </c>
      <c r="E88" s="2" t="s">
        <v>1112</v>
      </c>
      <c r="F88" s="2" t="s">
        <v>110</v>
      </c>
      <c r="G88" s="2" t="s">
        <v>1113</v>
      </c>
      <c r="H88" s="2" t="s">
        <v>1114</v>
      </c>
      <c r="I88" s="2" t="s">
        <v>1115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1116</v>
      </c>
      <c r="O88" s="2" t="s">
        <v>29</v>
      </c>
      <c r="P88" s="2" t="s">
        <v>1117</v>
      </c>
      <c r="Q88" s="2" t="s">
        <v>1118</v>
      </c>
      <c r="R88" s="2" t="s">
        <v>49</v>
      </c>
      <c r="S88" s="2" t="s">
        <v>782</v>
      </c>
      <c r="T88" s="2" t="s">
        <v>1119</v>
      </c>
      <c r="U88" s="2" t="s">
        <v>29</v>
      </c>
      <c r="V88" s="2" t="n">
        <v>1</v>
      </c>
    </row>
    <row r="89">
      <c r="A89" s="2" t="n">
        <v>88</v>
      </c>
      <c r="B89" s="2" t="s">
        <v>1120</v>
      </c>
      <c r="C89" s="2" t="n">
        <v>153.037959632</v>
      </c>
      <c r="D89" s="2" t="n">
        <v>1.61898320871056</v>
      </c>
      <c r="E89" s="2" t="s">
        <v>1121</v>
      </c>
      <c r="F89" s="2" t="s">
        <v>110</v>
      </c>
      <c r="G89" s="2" t="s">
        <v>1122</v>
      </c>
      <c r="H89" s="2" t="s">
        <v>1123</v>
      </c>
      <c r="I89" s="2" t="s">
        <v>1124</v>
      </c>
      <c r="J89" s="2" t="s">
        <v>1125</v>
      </c>
      <c r="K89" s="2" t="s">
        <v>226</v>
      </c>
      <c r="L89" s="2" t="s">
        <v>226</v>
      </c>
      <c r="M89" s="2" t="s">
        <v>226</v>
      </c>
      <c r="N89" s="2" t="s">
        <v>1126</v>
      </c>
      <c r="O89" s="2" t="s">
        <v>1127</v>
      </c>
      <c r="P89" s="2" t="s">
        <v>1128</v>
      </c>
      <c r="Q89" s="2" t="s">
        <v>1129</v>
      </c>
      <c r="R89" s="2" t="s">
        <v>967</v>
      </c>
      <c r="S89" s="2" t="s">
        <v>968</v>
      </c>
      <c r="T89" s="2" t="s">
        <v>1130</v>
      </c>
      <c r="U89" s="2" t="s">
        <v>29</v>
      </c>
      <c r="V89" s="2" t="n">
        <v>3</v>
      </c>
    </row>
    <row r="90">
      <c r="A90" s="2" t="n">
        <v>89</v>
      </c>
      <c r="B90" s="2" t="s">
        <v>1131</v>
      </c>
      <c r="C90" s="2" t="n">
        <v>154.061650233</v>
      </c>
      <c r="D90" s="2" t="n">
        <v>0.00644744940666588</v>
      </c>
      <c r="E90" s="2" t="s">
        <v>1132</v>
      </c>
      <c r="F90" s="2" t="s">
        <v>42</v>
      </c>
      <c r="G90" s="2" t="s">
        <v>1133</v>
      </c>
      <c r="H90" s="2" t="s">
        <v>1134</v>
      </c>
      <c r="I90" s="2" t="s">
        <v>1135</v>
      </c>
      <c r="J90" s="2" t="s">
        <v>1136</v>
      </c>
      <c r="K90" s="2" t="s">
        <v>29</v>
      </c>
      <c r="L90" s="2" t="s">
        <v>1137</v>
      </c>
      <c r="M90" s="2" t="s">
        <v>1138</v>
      </c>
      <c r="N90" s="2" t="s">
        <v>1139</v>
      </c>
      <c r="O90" s="2" t="s">
        <v>1140</v>
      </c>
      <c r="P90" s="2" t="s">
        <v>1141</v>
      </c>
      <c r="Q90" s="2" t="s">
        <v>1142</v>
      </c>
      <c r="R90" s="2" t="s">
        <v>49</v>
      </c>
      <c r="S90" s="2" t="s">
        <v>396</v>
      </c>
      <c r="T90" s="2" t="s">
        <v>397</v>
      </c>
      <c r="U90" s="2" t="s">
        <v>39</v>
      </c>
      <c r="V90" s="2" t="n">
        <v>1</v>
      </c>
    </row>
    <row r="91">
      <c r="A91" s="2" t="n">
        <v>90</v>
      </c>
      <c r="B91" s="2" t="s">
        <v>1143</v>
      </c>
      <c r="C91" s="2" t="n">
        <v>154.912306888</v>
      </c>
      <c r="D91" s="2" t="n">
        <v>17.4255616799998</v>
      </c>
      <c r="E91" s="2" t="s">
        <v>1144</v>
      </c>
      <c r="F91" s="2" t="s">
        <v>110</v>
      </c>
      <c r="G91" s="2" t="s">
        <v>1145</v>
      </c>
      <c r="H91" s="2" t="s">
        <v>1146</v>
      </c>
      <c r="I91" s="2" t="s">
        <v>1147</v>
      </c>
      <c r="J91" s="2" t="s">
        <v>1148</v>
      </c>
      <c r="K91" s="2" t="s">
        <v>29</v>
      </c>
      <c r="L91" s="2" t="s">
        <v>29</v>
      </c>
      <c r="M91" s="2" t="s">
        <v>29</v>
      </c>
      <c r="N91" s="2" t="s">
        <v>1149</v>
      </c>
      <c r="O91" s="2" t="s">
        <v>1150</v>
      </c>
      <c r="P91" s="2" t="s">
        <v>1151</v>
      </c>
      <c r="Q91" s="2" t="s">
        <v>1152</v>
      </c>
      <c r="R91" s="2" t="s">
        <v>355</v>
      </c>
      <c r="S91" s="2" t="s">
        <v>1153</v>
      </c>
      <c r="T91" s="2" t="s">
        <v>205</v>
      </c>
      <c r="U91" s="2" t="s">
        <v>29</v>
      </c>
      <c r="V91" s="2" t="n">
        <v>1</v>
      </c>
    </row>
    <row r="92">
      <c r="A92" s="2" t="n">
        <v>91</v>
      </c>
      <c r="B92" s="2" t="s">
        <v>1154</v>
      </c>
      <c r="C92" s="2" t="n">
        <v>155.107749448</v>
      </c>
      <c r="D92" s="2" t="n">
        <v>1.00638848482241</v>
      </c>
      <c r="E92" s="2" t="s">
        <v>1155</v>
      </c>
      <c r="F92" s="2" t="s">
        <v>24</v>
      </c>
      <c r="G92" s="2" t="s">
        <v>1156</v>
      </c>
      <c r="H92" s="2" t="s">
        <v>1157</v>
      </c>
      <c r="I92" s="2" t="s">
        <v>1158</v>
      </c>
      <c r="J92" s="2" t="s">
        <v>1159</v>
      </c>
      <c r="K92" s="2" t="s">
        <v>226</v>
      </c>
      <c r="L92" s="2" t="s">
        <v>226</v>
      </c>
      <c r="M92" s="2" t="s">
        <v>1160</v>
      </c>
      <c r="N92" s="2" t="s">
        <v>1161</v>
      </c>
      <c r="O92" s="2" t="s">
        <v>1162</v>
      </c>
      <c r="P92" s="2" t="s">
        <v>1163</v>
      </c>
      <c r="Q92" s="2" t="s">
        <v>1164</v>
      </c>
      <c r="R92" s="2" t="s">
        <v>1165</v>
      </c>
      <c r="S92" s="2" t="s">
        <v>1166</v>
      </c>
      <c r="T92" s="2" t="s">
        <v>1167</v>
      </c>
      <c r="U92" s="2" t="s">
        <v>29</v>
      </c>
      <c r="V92" s="2" t="n">
        <v>3</v>
      </c>
    </row>
    <row r="93">
      <c r="A93" s="2" t="n">
        <v>92</v>
      </c>
      <c r="B93" s="2" t="s">
        <v>1168</v>
      </c>
      <c r="C93" s="2" t="n">
        <v>156.906129365</v>
      </c>
      <c r="D93" s="2" t="n">
        <v>9.01988668528853</v>
      </c>
      <c r="E93" s="2" t="s">
        <v>1169</v>
      </c>
      <c r="F93" s="2" t="s">
        <v>522</v>
      </c>
      <c r="G93" s="2" t="s">
        <v>1170</v>
      </c>
      <c r="H93" s="2" t="s">
        <v>1171</v>
      </c>
      <c r="I93" s="2" t="s">
        <v>1172</v>
      </c>
      <c r="J93" s="2" t="s">
        <v>1173</v>
      </c>
      <c r="K93" s="2" t="s">
        <v>29</v>
      </c>
      <c r="L93" s="2" t="s">
        <v>1174</v>
      </c>
      <c r="M93" s="2" t="s">
        <v>29</v>
      </c>
      <c r="N93" s="2" t="s">
        <v>1175</v>
      </c>
      <c r="O93" s="2" t="s">
        <v>1176</v>
      </c>
      <c r="P93" s="2" t="s">
        <v>1177</v>
      </c>
      <c r="Q93" s="2" t="s">
        <v>1178</v>
      </c>
      <c r="R93" s="2" t="s">
        <v>203</v>
      </c>
      <c r="S93" s="2" t="s">
        <v>1179</v>
      </c>
      <c r="T93" s="2" t="s">
        <v>205</v>
      </c>
      <c r="U93" s="2" t="s">
        <v>39</v>
      </c>
      <c r="V93" s="2" t="n">
        <v>1</v>
      </c>
    </row>
    <row r="94">
      <c r="A94" s="2" t="n">
        <v>93</v>
      </c>
      <c r="B94" s="2" t="s">
        <v>1180</v>
      </c>
      <c r="C94" s="2" t="n">
        <v>157.024930376</v>
      </c>
      <c r="D94" s="2" t="n">
        <v>3.48080980233779</v>
      </c>
      <c r="E94" s="2" t="s">
        <v>1181</v>
      </c>
      <c r="F94" s="2" t="s">
        <v>42</v>
      </c>
      <c r="G94" s="2" t="s">
        <v>1182</v>
      </c>
      <c r="H94" s="2" t="s">
        <v>1183</v>
      </c>
      <c r="I94" s="2" t="s">
        <v>1184</v>
      </c>
      <c r="J94" s="2" t="s">
        <v>1185</v>
      </c>
      <c r="K94" s="2" t="s">
        <v>72</v>
      </c>
      <c r="L94" s="2" t="s">
        <v>1186</v>
      </c>
      <c r="M94" s="2" t="s">
        <v>1187</v>
      </c>
      <c r="N94" s="2" t="s">
        <v>1188</v>
      </c>
      <c r="O94" s="2" t="s">
        <v>1189</v>
      </c>
      <c r="P94" s="2" t="s">
        <v>1190</v>
      </c>
      <c r="Q94" s="2" t="s">
        <v>1191</v>
      </c>
      <c r="R94" s="2" t="s">
        <v>715</v>
      </c>
      <c r="S94" s="2" t="s">
        <v>716</v>
      </c>
      <c r="T94" s="2" t="s">
        <v>717</v>
      </c>
      <c r="U94" s="2" t="s">
        <v>39</v>
      </c>
      <c r="V94" s="2" t="n">
        <v>2</v>
      </c>
    </row>
    <row r="95">
      <c r="A95" s="2" t="n">
        <v>94</v>
      </c>
      <c r="B95" s="2" t="s">
        <v>1192</v>
      </c>
      <c r="C95" s="2" t="n">
        <v>158.979125086</v>
      </c>
      <c r="D95" s="2" t="n">
        <v>1.31367030162275</v>
      </c>
      <c r="E95" s="2" t="s">
        <v>1193</v>
      </c>
      <c r="F95" s="2" t="s">
        <v>1019</v>
      </c>
      <c r="G95" s="2" t="s">
        <v>1194</v>
      </c>
      <c r="H95" s="2" t="s">
        <v>1195</v>
      </c>
      <c r="I95" s="2" t="s">
        <v>1196</v>
      </c>
      <c r="J95" s="2" t="s">
        <v>1197</v>
      </c>
      <c r="K95" s="2" t="s">
        <v>29</v>
      </c>
      <c r="L95" s="2" t="s">
        <v>29</v>
      </c>
      <c r="M95" s="2" t="s">
        <v>1198</v>
      </c>
      <c r="N95" s="2" t="s">
        <v>1199</v>
      </c>
      <c r="O95" s="2" t="s">
        <v>29</v>
      </c>
      <c r="P95" s="2" t="s">
        <v>1200</v>
      </c>
      <c r="Q95" s="2" t="s">
        <v>1201</v>
      </c>
      <c r="R95" s="2" t="s">
        <v>49</v>
      </c>
      <c r="S95" s="2" t="s">
        <v>1202</v>
      </c>
      <c r="T95" s="2" t="s">
        <v>1203</v>
      </c>
      <c r="U95" s="2" t="s">
        <v>29</v>
      </c>
      <c r="V95" s="2" t="n">
        <v>1</v>
      </c>
    </row>
    <row r="96">
      <c r="A96" s="2" t="n">
        <v>95</v>
      </c>
      <c r="B96" s="2" t="s">
        <v>1204</v>
      </c>
      <c r="C96" s="2" t="n">
        <v>159.030684456</v>
      </c>
      <c r="D96" s="2" t="n">
        <v>4.47811663226618</v>
      </c>
      <c r="E96" s="2" t="s">
        <v>1205</v>
      </c>
      <c r="F96" s="2" t="s">
        <v>42</v>
      </c>
      <c r="G96" s="2" t="s">
        <v>1206</v>
      </c>
      <c r="H96" s="2" t="s">
        <v>1207</v>
      </c>
      <c r="I96" s="2" t="s">
        <v>1208</v>
      </c>
      <c r="J96" s="2" t="s">
        <v>1209</v>
      </c>
      <c r="K96" s="2" t="s">
        <v>29</v>
      </c>
      <c r="L96" s="2" t="s">
        <v>29</v>
      </c>
      <c r="M96" s="2" t="s">
        <v>29</v>
      </c>
      <c r="N96" s="2" t="s">
        <v>1210</v>
      </c>
      <c r="O96" s="2" t="s">
        <v>1211</v>
      </c>
      <c r="P96" s="2" t="s">
        <v>1212</v>
      </c>
      <c r="Q96" s="2" t="s">
        <v>1213</v>
      </c>
      <c r="R96" s="2" t="s">
        <v>64</v>
      </c>
      <c r="S96" s="2" t="s">
        <v>65</v>
      </c>
      <c r="T96" s="2" t="s">
        <v>1214</v>
      </c>
      <c r="U96" s="2" t="s">
        <v>29</v>
      </c>
      <c r="V96" s="2" t="n">
        <v>1</v>
      </c>
    </row>
    <row r="97">
      <c r="A97" s="2" t="n">
        <v>96</v>
      </c>
      <c r="B97" s="2" t="s">
        <v>1215</v>
      </c>
      <c r="C97" s="2" t="n">
        <v>159.102668378</v>
      </c>
      <c r="D97" s="2" t="n">
        <v>11.4895902157819</v>
      </c>
      <c r="E97" s="2" t="s">
        <v>1216</v>
      </c>
      <c r="F97" s="2" t="s">
        <v>110</v>
      </c>
      <c r="G97" s="2" t="s">
        <v>1217</v>
      </c>
      <c r="H97" s="2" t="s">
        <v>1218</v>
      </c>
      <c r="I97" s="2" t="s">
        <v>1219</v>
      </c>
      <c r="J97" s="2" t="s">
        <v>1220</v>
      </c>
      <c r="K97" s="2" t="s">
        <v>1221</v>
      </c>
      <c r="L97" s="2" t="s">
        <v>1222</v>
      </c>
      <c r="M97" s="2" t="s">
        <v>1223</v>
      </c>
      <c r="N97" s="2" t="s">
        <v>1224</v>
      </c>
      <c r="O97" s="2" t="s">
        <v>1225</v>
      </c>
      <c r="P97" s="2" t="s">
        <v>1226</v>
      </c>
      <c r="Q97" s="2" t="s">
        <v>1227</v>
      </c>
      <c r="R97" s="2" t="s">
        <v>105</v>
      </c>
      <c r="S97" s="2" t="s">
        <v>106</v>
      </c>
      <c r="T97" s="2" t="s">
        <v>107</v>
      </c>
      <c r="U97" s="2" t="s">
        <v>39</v>
      </c>
      <c r="V97" s="2" t="n">
        <v>3</v>
      </c>
    </row>
    <row r="98">
      <c r="A98" s="2" t="n">
        <v>97</v>
      </c>
      <c r="B98" s="2" t="s">
        <v>1228</v>
      </c>
      <c r="C98" s="2" t="n">
        <v>159.9726286</v>
      </c>
      <c r="D98" s="2" t="n">
        <v>10.6420584056534</v>
      </c>
      <c r="E98" s="2" t="s">
        <v>1229</v>
      </c>
      <c r="F98" s="2" t="s">
        <v>110</v>
      </c>
      <c r="G98" s="2" t="s">
        <v>1230</v>
      </c>
      <c r="H98" s="2" t="s">
        <v>1231</v>
      </c>
      <c r="I98" s="2" t="s">
        <v>1232</v>
      </c>
      <c r="J98" s="2" t="s">
        <v>1233</v>
      </c>
      <c r="K98" s="2" t="s">
        <v>72</v>
      </c>
      <c r="L98" s="2" t="s">
        <v>1234</v>
      </c>
      <c r="M98" s="2" t="s">
        <v>1235</v>
      </c>
      <c r="N98" s="2" t="s">
        <v>1236</v>
      </c>
      <c r="O98" s="2" t="s">
        <v>1237</v>
      </c>
      <c r="P98" s="2" t="s">
        <v>1238</v>
      </c>
      <c r="Q98" s="2" t="s">
        <v>1239</v>
      </c>
      <c r="R98" s="2" t="s">
        <v>480</v>
      </c>
      <c r="S98" s="2" t="s">
        <v>1240</v>
      </c>
      <c r="T98" s="2" t="s">
        <v>1241</v>
      </c>
      <c r="U98" s="2" t="s">
        <v>39</v>
      </c>
      <c r="V98" s="2" t="n">
        <v>2</v>
      </c>
    </row>
    <row r="99">
      <c r="A99" s="2" t="n">
        <v>98</v>
      </c>
      <c r="B99" s="2" t="s">
        <v>1242</v>
      </c>
      <c r="C99" s="2" t="n">
        <v>160.983337504</v>
      </c>
      <c r="D99" s="2" t="n">
        <v>1.18231355063818</v>
      </c>
      <c r="E99" s="2" t="s">
        <v>1243</v>
      </c>
      <c r="F99" s="2" t="s">
        <v>522</v>
      </c>
      <c r="G99" s="2" t="s">
        <v>1244</v>
      </c>
      <c r="H99" s="2" t="s">
        <v>1245</v>
      </c>
      <c r="I99" s="2" t="s">
        <v>1246</v>
      </c>
      <c r="J99" s="2" t="s">
        <v>1247</v>
      </c>
      <c r="K99" s="2" t="s">
        <v>226</v>
      </c>
      <c r="L99" s="2" t="s">
        <v>226</v>
      </c>
      <c r="M99" s="2" t="s">
        <v>226</v>
      </c>
      <c r="N99" s="2" t="s">
        <v>1248</v>
      </c>
      <c r="O99" s="2" t="s">
        <v>1249</v>
      </c>
      <c r="P99" s="2" t="s">
        <v>1250</v>
      </c>
      <c r="Q99" s="2" t="s">
        <v>1251</v>
      </c>
      <c r="R99" s="2" t="s">
        <v>1252</v>
      </c>
      <c r="S99" s="2" t="s">
        <v>1253</v>
      </c>
      <c r="T99" s="2" t="s">
        <v>1254</v>
      </c>
      <c r="U99" s="2" t="s">
        <v>29</v>
      </c>
      <c r="V99" s="2" t="n">
        <v>3</v>
      </c>
    </row>
    <row r="100">
      <c r="A100" s="2" t="n">
        <v>99</v>
      </c>
      <c r="B100" s="2" t="s">
        <v>1255</v>
      </c>
      <c r="C100" s="2" t="n">
        <v>161.046884829</v>
      </c>
      <c r="D100" s="2" t="n">
        <v>1.08919571036254</v>
      </c>
      <c r="E100" s="2" t="s">
        <v>1256</v>
      </c>
      <c r="F100" s="2" t="s">
        <v>110</v>
      </c>
      <c r="G100" s="2" t="s">
        <v>1257</v>
      </c>
      <c r="H100" s="2" t="s">
        <v>1258</v>
      </c>
      <c r="I100" s="2" t="s">
        <v>1259</v>
      </c>
      <c r="J100" s="2" t="s">
        <v>72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1260</v>
      </c>
      <c r="Q100" s="2" t="s">
        <v>1261</v>
      </c>
      <c r="R100" s="2" t="s">
        <v>537</v>
      </c>
      <c r="S100" s="2" t="s">
        <v>1262</v>
      </c>
      <c r="T100" s="2" t="s">
        <v>1263</v>
      </c>
      <c r="U100" s="2" t="s">
        <v>29</v>
      </c>
      <c r="V100" s="2" t="n">
        <v>2</v>
      </c>
    </row>
    <row r="101">
      <c r="A101" s="2" t="n">
        <v>100</v>
      </c>
      <c r="B101" s="2" t="s">
        <v>1264</v>
      </c>
      <c r="C101" s="2" t="n">
        <v>162.019116717</v>
      </c>
      <c r="D101" s="2" t="n">
        <v>4.71035659355971</v>
      </c>
      <c r="E101" s="2" t="s">
        <v>1265</v>
      </c>
      <c r="F101" s="2" t="s">
        <v>42</v>
      </c>
      <c r="G101" s="2" t="s">
        <v>1266</v>
      </c>
      <c r="H101" s="2" t="s">
        <v>1267</v>
      </c>
      <c r="I101" s="2" t="s">
        <v>1268</v>
      </c>
      <c r="J101" s="2" t="s">
        <v>1269</v>
      </c>
      <c r="K101" s="2" t="s">
        <v>72</v>
      </c>
      <c r="L101" s="2" t="s">
        <v>1270</v>
      </c>
      <c r="M101" s="2" t="s">
        <v>1271</v>
      </c>
      <c r="N101" s="2" t="s">
        <v>1272</v>
      </c>
      <c r="O101" s="2" t="s">
        <v>1273</v>
      </c>
      <c r="P101" s="2" t="s">
        <v>1274</v>
      </c>
      <c r="Q101" s="2" t="s">
        <v>1275</v>
      </c>
      <c r="R101" s="2" t="s">
        <v>537</v>
      </c>
      <c r="S101" s="2" t="s">
        <v>1276</v>
      </c>
      <c r="T101" s="2" t="s">
        <v>1277</v>
      </c>
      <c r="U101" s="2" t="s">
        <v>39</v>
      </c>
      <c r="V101" s="2" t="n">
        <v>2</v>
      </c>
    </row>
    <row r="102">
      <c r="A102" s="2" t="n">
        <v>101</v>
      </c>
      <c r="B102" s="2" t="s">
        <v>1278</v>
      </c>
      <c r="C102" s="2" t="n">
        <v>163.039517808</v>
      </c>
      <c r="D102" s="2" t="n">
        <v>4.41721405322318</v>
      </c>
      <c r="E102" s="2" t="s">
        <v>1279</v>
      </c>
      <c r="F102" s="2" t="s">
        <v>42</v>
      </c>
      <c r="G102" s="2" t="s">
        <v>1280</v>
      </c>
      <c r="H102" s="2" t="s">
        <v>1281</v>
      </c>
      <c r="I102" s="2" t="s">
        <v>1282</v>
      </c>
      <c r="J102" s="2" t="s">
        <v>1283</v>
      </c>
      <c r="K102" s="2" t="s">
        <v>226</v>
      </c>
      <c r="L102" s="2" t="s">
        <v>1284</v>
      </c>
      <c r="M102" s="2" t="s">
        <v>1285</v>
      </c>
      <c r="N102" s="2" t="s">
        <v>1286</v>
      </c>
      <c r="O102" s="2" t="s">
        <v>1287</v>
      </c>
      <c r="P102" s="2" t="s">
        <v>1288</v>
      </c>
      <c r="Q102" s="2" t="s">
        <v>1289</v>
      </c>
      <c r="R102" s="2" t="s">
        <v>1290</v>
      </c>
      <c r="S102" s="2" t="s">
        <v>1291</v>
      </c>
      <c r="T102" s="2" t="s">
        <v>1292</v>
      </c>
      <c r="U102" s="2" t="s">
        <v>39</v>
      </c>
      <c r="V102" s="2" t="n">
        <v>3</v>
      </c>
    </row>
    <row r="103">
      <c r="A103" s="2" t="n">
        <v>102</v>
      </c>
      <c r="B103" s="2" t="s">
        <v>1293</v>
      </c>
      <c r="C103" s="2" t="n">
        <v>164.001752093</v>
      </c>
      <c r="D103" s="2" t="n">
        <v>19.9775578744461</v>
      </c>
      <c r="E103" s="2" t="s">
        <v>1294</v>
      </c>
      <c r="F103" s="2" t="s">
        <v>42</v>
      </c>
      <c r="G103" s="2" t="s">
        <v>1295</v>
      </c>
      <c r="H103" s="2" t="s">
        <v>1296</v>
      </c>
      <c r="I103" s="2" t="s">
        <v>1297</v>
      </c>
      <c r="J103" s="2" t="s">
        <v>1298</v>
      </c>
      <c r="K103" s="2" t="s">
        <v>29</v>
      </c>
      <c r="L103" s="2" t="s">
        <v>1299</v>
      </c>
      <c r="M103" s="2" t="s">
        <v>1300</v>
      </c>
      <c r="N103" s="2" t="s">
        <v>1301</v>
      </c>
      <c r="O103" s="2" t="s">
        <v>1302</v>
      </c>
      <c r="P103" s="2" t="s">
        <v>1303</v>
      </c>
      <c r="Q103" s="2" t="s">
        <v>1304</v>
      </c>
      <c r="R103" s="2" t="s">
        <v>49</v>
      </c>
      <c r="S103" s="2" t="s">
        <v>165</v>
      </c>
      <c r="T103" s="2" t="s">
        <v>166</v>
      </c>
      <c r="U103" s="2" t="s">
        <v>39</v>
      </c>
      <c r="V103" s="2" t="n">
        <v>1</v>
      </c>
    </row>
    <row r="104">
      <c r="A104" s="2" t="n">
        <v>103</v>
      </c>
      <c r="B104" s="2" t="s">
        <v>1305</v>
      </c>
      <c r="C104" s="2" t="n">
        <v>164.034766781</v>
      </c>
      <c r="D104" s="2" t="n">
        <v>6.88646380797132</v>
      </c>
      <c r="E104" s="2" t="s">
        <v>1306</v>
      </c>
      <c r="F104" s="2" t="s">
        <v>42</v>
      </c>
      <c r="G104" s="2" t="s">
        <v>1307</v>
      </c>
      <c r="H104" s="2" t="s">
        <v>1308</v>
      </c>
      <c r="I104" s="2" t="s">
        <v>1309</v>
      </c>
      <c r="J104" s="2" t="s">
        <v>161</v>
      </c>
      <c r="K104" s="2" t="s">
        <v>29</v>
      </c>
      <c r="L104" s="2" t="s">
        <v>1310</v>
      </c>
      <c r="M104" s="2" t="s">
        <v>1311</v>
      </c>
      <c r="N104" s="2" t="s">
        <v>1312</v>
      </c>
      <c r="O104" s="2" t="s">
        <v>1313</v>
      </c>
      <c r="P104" s="2" t="s">
        <v>1314</v>
      </c>
      <c r="Q104" s="2" t="s">
        <v>1315</v>
      </c>
      <c r="R104" s="2" t="s">
        <v>355</v>
      </c>
      <c r="S104" s="2" t="s">
        <v>1316</v>
      </c>
      <c r="T104" s="2" t="s">
        <v>1317</v>
      </c>
      <c r="U104" s="2" t="s">
        <v>39</v>
      </c>
      <c r="V104" s="2" t="n">
        <v>1</v>
      </c>
    </row>
    <row r="105">
      <c r="A105" s="2" t="n">
        <v>104</v>
      </c>
      <c r="B105" s="2" t="s">
        <v>1318</v>
      </c>
      <c r="C105" s="2" t="n">
        <v>164.071702601</v>
      </c>
      <c r="D105" s="2" t="n">
        <v>0.0530458698835324</v>
      </c>
      <c r="E105" s="2" t="s">
        <v>1319</v>
      </c>
      <c r="F105" s="2" t="s">
        <v>110</v>
      </c>
      <c r="G105" s="2" t="s">
        <v>1320</v>
      </c>
      <c r="H105" s="2" t="s">
        <v>1321</v>
      </c>
      <c r="I105" s="2" t="s">
        <v>1322</v>
      </c>
      <c r="J105" s="2" t="s">
        <v>1323</v>
      </c>
      <c r="K105" s="2" t="s">
        <v>226</v>
      </c>
      <c r="L105" s="2" t="s">
        <v>1324</v>
      </c>
      <c r="M105" s="2" t="s">
        <v>1325</v>
      </c>
      <c r="N105" s="2" t="s">
        <v>1326</v>
      </c>
      <c r="O105" s="2" t="s">
        <v>1327</v>
      </c>
      <c r="P105" s="2" t="s">
        <v>1328</v>
      </c>
      <c r="Q105" s="2" t="s">
        <v>1329</v>
      </c>
      <c r="R105" s="2" t="s">
        <v>1330</v>
      </c>
      <c r="S105" s="2" t="s">
        <v>1331</v>
      </c>
      <c r="T105" s="2" t="s">
        <v>1332</v>
      </c>
      <c r="U105" s="2" t="s">
        <v>39</v>
      </c>
      <c r="V105" s="2" t="n">
        <v>3</v>
      </c>
    </row>
    <row r="106">
      <c r="A106" s="2" t="n">
        <v>105</v>
      </c>
      <c r="B106" s="2" t="s">
        <v>1333</v>
      </c>
      <c r="C106" s="2" t="n">
        <v>164.935341454</v>
      </c>
      <c r="D106" s="2" t="n">
        <v>13.7659792634673</v>
      </c>
      <c r="E106" s="2" t="s">
        <v>1334</v>
      </c>
      <c r="F106" s="2" t="s">
        <v>522</v>
      </c>
      <c r="G106" s="2" t="s">
        <v>1335</v>
      </c>
      <c r="H106" s="2" t="s">
        <v>1336</v>
      </c>
      <c r="I106" s="2" t="s">
        <v>1337</v>
      </c>
      <c r="J106" s="2" t="s">
        <v>29</v>
      </c>
      <c r="K106" s="2" t="s">
        <v>29</v>
      </c>
      <c r="L106" s="2" t="s">
        <v>29</v>
      </c>
      <c r="M106" s="2" t="s">
        <v>1338</v>
      </c>
      <c r="N106" s="2" t="s">
        <v>1339</v>
      </c>
      <c r="O106" s="2" t="s">
        <v>29</v>
      </c>
      <c r="P106" s="2" t="s">
        <v>1340</v>
      </c>
      <c r="Q106" s="2" t="s">
        <v>1341</v>
      </c>
      <c r="R106" s="2" t="s">
        <v>638</v>
      </c>
      <c r="S106" s="2" t="s">
        <v>1342</v>
      </c>
      <c r="T106" s="2" t="s">
        <v>1343</v>
      </c>
      <c r="U106" s="2" t="s">
        <v>29</v>
      </c>
      <c r="V106" s="2" t="n">
        <v>1</v>
      </c>
    </row>
    <row r="107">
      <c r="A107" s="2" t="n">
        <v>106</v>
      </c>
      <c r="B107" s="2" t="s">
        <v>1344</v>
      </c>
      <c r="C107" s="2" t="n">
        <v>165.982506479</v>
      </c>
      <c r="D107" s="2" t="n">
        <v>13.8372721485696</v>
      </c>
      <c r="E107" s="2" t="s">
        <v>1345</v>
      </c>
      <c r="F107" s="2" t="s">
        <v>522</v>
      </c>
      <c r="G107" s="2" t="s">
        <v>1346</v>
      </c>
      <c r="H107" s="2" t="s">
        <v>1347</v>
      </c>
      <c r="I107" s="2" t="s">
        <v>1348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1349</v>
      </c>
      <c r="O107" s="2" t="s">
        <v>29</v>
      </c>
      <c r="P107" s="2" t="s">
        <v>1350</v>
      </c>
      <c r="Q107" s="2" t="s">
        <v>1351</v>
      </c>
      <c r="R107" s="2" t="s">
        <v>203</v>
      </c>
      <c r="S107" s="2" t="s">
        <v>1352</v>
      </c>
      <c r="T107" s="2" t="s">
        <v>1353</v>
      </c>
      <c r="U107" s="2" t="s">
        <v>29</v>
      </c>
      <c r="V107" s="2" t="n">
        <v>1</v>
      </c>
    </row>
    <row r="108">
      <c r="A108" s="2" t="n">
        <v>107</v>
      </c>
      <c r="B108" s="2" t="s">
        <v>1354</v>
      </c>
      <c r="C108" s="2" t="n">
        <v>166.014581645</v>
      </c>
      <c r="D108" s="2" t="n">
        <v>0.746742184092252</v>
      </c>
      <c r="E108" s="2" t="s">
        <v>1355</v>
      </c>
      <c r="F108" s="2" t="s">
        <v>110</v>
      </c>
      <c r="G108" s="2" t="s">
        <v>1356</v>
      </c>
      <c r="H108" s="2" t="s">
        <v>1357</v>
      </c>
      <c r="I108" s="2" t="s">
        <v>1358</v>
      </c>
      <c r="J108" s="2" t="s">
        <v>1359</v>
      </c>
      <c r="K108" s="2" t="s">
        <v>226</v>
      </c>
      <c r="L108" s="2" t="s">
        <v>1360</v>
      </c>
      <c r="M108" s="2" t="s">
        <v>1361</v>
      </c>
      <c r="N108" s="2" t="s">
        <v>1362</v>
      </c>
      <c r="O108" s="2" t="s">
        <v>1363</v>
      </c>
      <c r="P108" s="2" t="s">
        <v>1364</v>
      </c>
      <c r="Q108" s="2" t="s">
        <v>1365</v>
      </c>
      <c r="R108" s="2" t="s">
        <v>1366</v>
      </c>
      <c r="S108" s="2" t="s">
        <v>1367</v>
      </c>
      <c r="T108" s="2" t="s">
        <v>1368</v>
      </c>
      <c r="U108" s="2" t="s">
        <v>39</v>
      </c>
      <c r="V108" s="2" t="n">
        <v>3</v>
      </c>
    </row>
    <row r="109">
      <c r="A109" s="2" t="n">
        <v>108</v>
      </c>
      <c r="B109" s="2" t="s">
        <v>1369</v>
      </c>
      <c r="C109" s="2" t="n">
        <v>166.048560223</v>
      </c>
      <c r="D109" s="2" t="n">
        <v>2.67633441372081</v>
      </c>
      <c r="E109" s="2" t="s">
        <v>1370</v>
      </c>
      <c r="F109" s="2" t="s">
        <v>360</v>
      </c>
      <c r="G109" s="2" t="s">
        <v>1371</v>
      </c>
      <c r="H109" s="2" t="s">
        <v>1372</v>
      </c>
      <c r="I109" s="2" t="s">
        <v>1373</v>
      </c>
      <c r="J109" s="2" t="s">
        <v>1374</v>
      </c>
      <c r="K109" s="2" t="s">
        <v>1375</v>
      </c>
      <c r="L109" s="2" t="s">
        <v>1376</v>
      </c>
      <c r="M109" s="2" t="s">
        <v>1377</v>
      </c>
      <c r="N109" s="2" t="s">
        <v>1378</v>
      </c>
      <c r="O109" s="2" t="s">
        <v>1379</v>
      </c>
      <c r="P109" s="2" t="s">
        <v>1380</v>
      </c>
      <c r="Q109" s="2" t="s">
        <v>1381</v>
      </c>
      <c r="R109" s="2" t="s">
        <v>312</v>
      </c>
      <c r="S109" s="2" t="s">
        <v>1382</v>
      </c>
      <c r="T109" s="2" t="s">
        <v>1383</v>
      </c>
      <c r="U109" s="2" t="s">
        <v>39</v>
      </c>
      <c r="V109" s="2" t="n">
        <v>3</v>
      </c>
    </row>
    <row r="110">
      <c r="A110" s="2" t="n">
        <v>109</v>
      </c>
      <c r="B110" s="2" t="s">
        <v>1384</v>
      </c>
      <c r="C110" s="2" t="n">
        <v>168.033399239</v>
      </c>
      <c r="D110" s="2" t="n">
        <v>1.44703654825809</v>
      </c>
      <c r="E110" s="2" t="s">
        <v>1385</v>
      </c>
      <c r="F110" s="2" t="s">
        <v>522</v>
      </c>
      <c r="G110" s="2" t="s">
        <v>1386</v>
      </c>
      <c r="H110" s="2" t="s">
        <v>1387</v>
      </c>
      <c r="I110" s="2" t="s">
        <v>1388</v>
      </c>
      <c r="J110" s="2" t="s">
        <v>1389</v>
      </c>
      <c r="K110" s="2" t="s">
        <v>29</v>
      </c>
      <c r="L110" s="2" t="s">
        <v>1390</v>
      </c>
      <c r="M110" s="2" t="s">
        <v>1391</v>
      </c>
      <c r="N110" s="2" t="s">
        <v>1392</v>
      </c>
      <c r="O110" s="2" t="s">
        <v>1393</v>
      </c>
      <c r="P110" s="2" t="s">
        <v>1394</v>
      </c>
      <c r="Q110" s="2" t="s">
        <v>1395</v>
      </c>
      <c r="R110" s="2" t="s">
        <v>355</v>
      </c>
      <c r="S110" s="2" t="s">
        <v>1396</v>
      </c>
      <c r="T110" s="2" t="s">
        <v>205</v>
      </c>
      <c r="U110" s="2" t="s">
        <v>39</v>
      </c>
      <c r="V110" s="2" t="n">
        <v>1</v>
      </c>
    </row>
    <row r="111">
      <c r="A111" s="2" t="n">
        <v>110</v>
      </c>
      <c r="B111" s="2" t="s">
        <v>1397</v>
      </c>
      <c r="C111" s="2" t="n">
        <v>169.087018314</v>
      </c>
      <c r="D111" s="2" t="n">
        <v>1.38589311475419</v>
      </c>
      <c r="E111" s="2" t="s">
        <v>1398</v>
      </c>
      <c r="F111" s="2" t="s">
        <v>110</v>
      </c>
      <c r="G111" s="2" t="s">
        <v>1399</v>
      </c>
      <c r="H111" s="2" t="s">
        <v>1400</v>
      </c>
      <c r="I111" s="2" t="s">
        <v>1401</v>
      </c>
      <c r="J111" s="2" t="s">
        <v>1402</v>
      </c>
      <c r="K111" s="2" t="s">
        <v>72</v>
      </c>
      <c r="L111" s="2" t="s">
        <v>72</v>
      </c>
      <c r="M111" s="2" t="s">
        <v>1403</v>
      </c>
      <c r="N111" s="2" t="s">
        <v>1404</v>
      </c>
      <c r="O111" s="2" t="s">
        <v>1405</v>
      </c>
      <c r="P111" s="2" t="s">
        <v>1406</v>
      </c>
      <c r="Q111" s="2" t="s">
        <v>1407</v>
      </c>
      <c r="R111" s="2" t="s">
        <v>1408</v>
      </c>
      <c r="S111" s="2" t="s">
        <v>1409</v>
      </c>
      <c r="T111" s="2" t="s">
        <v>1410</v>
      </c>
      <c r="U111" s="2" t="s">
        <v>29</v>
      </c>
      <c r="V111" s="2" t="n">
        <v>2</v>
      </c>
    </row>
    <row r="112">
      <c r="A112" s="2" t="n">
        <v>111</v>
      </c>
      <c r="B112" s="2" t="s">
        <v>1411</v>
      </c>
      <c r="C112" s="2" t="n">
        <v>171.00577289</v>
      </c>
      <c r="D112" s="2" t="n">
        <v>7.44123022911081</v>
      </c>
      <c r="E112" s="2" t="s">
        <v>1412</v>
      </c>
      <c r="F112" s="2" t="s">
        <v>42</v>
      </c>
      <c r="G112" s="2" t="s">
        <v>1413</v>
      </c>
      <c r="H112" s="2" t="s">
        <v>1414</v>
      </c>
      <c r="I112" s="2" t="s">
        <v>1415</v>
      </c>
      <c r="J112" s="2" t="s">
        <v>1416</v>
      </c>
      <c r="K112" s="2" t="s">
        <v>29</v>
      </c>
      <c r="L112" s="2" t="s">
        <v>29</v>
      </c>
      <c r="M112" s="2" t="s">
        <v>1417</v>
      </c>
      <c r="N112" s="2" t="s">
        <v>1418</v>
      </c>
      <c r="O112" s="2" t="s">
        <v>29</v>
      </c>
      <c r="P112" s="2" t="s">
        <v>1419</v>
      </c>
      <c r="Q112" s="2" t="s">
        <v>1420</v>
      </c>
      <c r="R112" s="2" t="s">
        <v>502</v>
      </c>
      <c r="S112" s="2" t="s">
        <v>503</v>
      </c>
      <c r="T112" s="2" t="s">
        <v>1421</v>
      </c>
      <c r="U112" s="2" t="s">
        <v>29</v>
      </c>
      <c r="V112" s="2" t="n">
        <v>1</v>
      </c>
    </row>
    <row r="113">
      <c r="A113" s="2" t="n">
        <v>112</v>
      </c>
      <c r="B113" s="2" t="s">
        <v>1422</v>
      </c>
      <c r="C113" s="2" t="n">
        <v>171.9720782</v>
      </c>
      <c r="D113" s="2" t="n">
        <v>18.1441851944064</v>
      </c>
      <c r="E113" s="2" t="s">
        <v>1423</v>
      </c>
      <c r="F113" s="2" t="s">
        <v>42</v>
      </c>
      <c r="G113" s="2" t="s">
        <v>1424</v>
      </c>
      <c r="H113" s="2" t="s">
        <v>1425</v>
      </c>
      <c r="I113" s="2" t="s">
        <v>1426</v>
      </c>
      <c r="J113" s="2" t="s">
        <v>1427</v>
      </c>
      <c r="K113" s="2" t="s">
        <v>29</v>
      </c>
      <c r="L113" s="2" t="s">
        <v>29</v>
      </c>
      <c r="M113" s="2" t="s">
        <v>29</v>
      </c>
      <c r="N113" s="2" t="s">
        <v>1428</v>
      </c>
      <c r="O113" s="2" t="s">
        <v>1429</v>
      </c>
      <c r="P113" s="2" t="s">
        <v>1430</v>
      </c>
      <c r="Q113" s="2" t="s">
        <v>1431</v>
      </c>
      <c r="R113" s="2" t="s">
        <v>355</v>
      </c>
      <c r="S113" s="2" t="s">
        <v>1316</v>
      </c>
      <c r="T113" s="2" t="s">
        <v>1432</v>
      </c>
      <c r="U113" s="2" t="s">
        <v>29</v>
      </c>
      <c r="V113" s="2" t="n">
        <v>1</v>
      </c>
    </row>
    <row r="114">
      <c r="A114" s="2" t="n">
        <v>113</v>
      </c>
      <c r="B114" s="2" t="s">
        <v>1433</v>
      </c>
      <c r="C114" s="2" t="n">
        <v>172.007388263</v>
      </c>
      <c r="D114" s="2" t="n">
        <v>4.15751881916762</v>
      </c>
      <c r="E114" s="2" t="s">
        <v>1434</v>
      </c>
      <c r="F114" s="2" t="s">
        <v>110</v>
      </c>
      <c r="G114" s="2" t="s">
        <v>1435</v>
      </c>
      <c r="H114" s="2" t="s">
        <v>1436</v>
      </c>
      <c r="I114" s="2" t="s">
        <v>1437</v>
      </c>
      <c r="J114" s="2" t="s">
        <v>72</v>
      </c>
      <c r="K114" s="2" t="s">
        <v>72</v>
      </c>
      <c r="L114" s="2" t="s">
        <v>1438</v>
      </c>
      <c r="M114" s="2" t="s">
        <v>1439</v>
      </c>
      <c r="N114" s="2" t="s">
        <v>1440</v>
      </c>
      <c r="O114" s="2" t="s">
        <v>72</v>
      </c>
      <c r="P114" s="2" t="s">
        <v>1441</v>
      </c>
      <c r="Q114" s="2" t="s">
        <v>1442</v>
      </c>
      <c r="R114" s="2" t="s">
        <v>480</v>
      </c>
      <c r="S114" s="2" t="s">
        <v>1240</v>
      </c>
      <c r="T114" s="2" t="s">
        <v>1443</v>
      </c>
      <c r="U114" s="2" t="s">
        <v>39</v>
      </c>
      <c r="V114" s="2" t="n">
        <v>2</v>
      </c>
    </row>
    <row r="115">
      <c r="A115" s="2" t="n">
        <v>114</v>
      </c>
      <c r="B115" s="2" t="s">
        <v>1444</v>
      </c>
      <c r="C115" s="2" t="n">
        <v>172.061531845</v>
      </c>
      <c r="D115" s="2" t="n">
        <v>11.566268328501</v>
      </c>
      <c r="E115" s="2" t="s">
        <v>1445</v>
      </c>
      <c r="F115" s="2" t="s">
        <v>110</v>
      </c>
      <c r="G115" s="2" t="s">
        <v>1446</v>
      </c>
      <c r="H115" s="2" t="s">
        <v>1447</v>
      </c>
      <c r="I115" s="2" t="s">
        <v>1448</v>
      </c>
      <c r="J115" s="2" t="s">
        <v>1449</v>
      </c>
      <c r="K115" s="2" t="s">
        <v>29</v>
      </c>
      <c r="L115" s="2" t="s">
        <v>1450</v>
      </c>
      <c r="M115" s="2" t="s">
        <v>1451</v>
      </c>
      <c r="N115" s="2" t="s">
        <v>1452</v>
      </c>
      <c r="O115" s="2" t="s">
        <v>1453</v>
      </c>
      <c r="P115" s="2" t="s">
        <v>1454</v>
      </c>
      <c r="Q115" s="2" t="s">
        <v>1455</v>
      </c>
      <c r="R115" s="2" t="s">
        <v>49</v>
      </c>
      <c r="S115" s="2" t="s">
        <v>165</v>
      </c>
      <c r="T115" s="2" t="s">
        <v>166</v>
      </c>
      <c r="U115" s="2" t="s">
        <v>39</v>
      </c>
      <c r="V115" s="2" t="n">
        <v>1</v>
      </c>
    </row>
    <row r="116">
      <c r="A116" s="2" t="n">
        <v>115</v>
      </c>
      <c r="B116" s="2" t="s">
        <v>1456</v>
      </c>
      <c r="C116" s="2" t="n">
        <v>173.04871495</v>
      </c>
      <c r="D116" s="2" t="n">
        <v>8.19247643692655</v>
      </c>
      <c r="E116" s="2" t="s">
        <v>1457</v>
      </c>
      <c r="F116" s="2" t="s">
        <v>522</v>
      </c>
      <c r="G116" s="2" t="s">
        <v>1458</v>
      </c>
      <c r="H116" s="2" t="s">
        <v>1459</v>
      </c>
      <c r="I116" s="2" t="s">
        <v>1460</v>
      </c>
      <c r="J116" s="2" t="s">
        <v>1461</v>
      </c>
      <c r="K116" s="2" t="s">
        <v>29</v>
      </c>
      <c r="L116" s="2" t="s">
        <v>1462</v>
      </c>
      <c r="M116" s="2" t="s">
        <v>29</v>
      </c>
      <c r="N116" s="2" t="s">
        <v>1463</v>
      </c>
      <c r="O116" s="2" t="s">
        <v>1464</v>
      </c>
      <c r="P116" s="2" t="s">
        <v>1465</v>
      </c>
      <c r="Q116" s="2" t="s">
        <v>1466</v>
      </c>
      <c r="R116" s="2" t="s">
        <v>502</v>
      </c>
      <c r="S116" s="2" t="s">
        <v>1467</v>
      </c>
      <c r="T116" s="2" t="s">
        <v>1468</v>
      </c>
      <c r="U116" s="2" t="s">
        <v>39</v>
      </c>
      <c r="V116" s="2" t="n">
        <v>1</v>
      </c>
    </row>
    <row r="117">
      <c r="A117" s="2" t="n">
        <v>116</v>
      </c>
      <c r="B117" s="2" t="s">
        <v>1469</v>
      </c>
      <c r="C117" s="2" t="n">
        <v>174.041583493</v>
      </c>
      <c r="D117" s="2" t="n">
        <v>1.39624002094282</v>
      </c>
      <c r="E117" s="2" t="s">
        <v>1470</v>
      </c>
      <c r="F117" s="2" t="s">
        <v>42</v>
      </c>
      <c r="G117" s="2" t="s">
        <v>1471</v>
      </c>
      <c r="H117" s="2" t="s">
        <v>1472</v>
      </c>
      <c r="I117" s="2" t="s">
        <v>1473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1474</v>
      </c>
      <c r="O117" s="2" t="s">
        <v>29</v>
      </c>
      <c r="P117" s="2" t="s">
        <v>1475</v>
      </c>
      <c r="Q117" s="2" t="s">
        <v>1476</v>
      </c>
      <c r="R117" s="2" t="s">
        <v>355</v>
      </c>
      <c r="S117" s="2" t="s">
        <v>1477</v>
      </c>
      <c r="T117" s="2" t="s">
        <v>1478</v>
      </c>
      <c r="U117" s="2" t="s">
        <v>29</v>
      </c>
      <c r="V117" s="2" t="n">
        <v>1</v>
      </c>
    </row>
    <row r="118">
      <c r="A118" s="2" t="n">
        <v>117</v>
      </c>
      <c r="B118" s="2" t="s">
        <v>1479</v>
      </c>
      <c r="C118" s="2" t="n">
        <v>174.988744566</v>
      </c>
      <c r="D118" s="2" t="n">
        <v>1.33346838879137</v>
      </c>
      <c r="E118" s="2" t="s">
        <v>1480</v>
      </c>
      <c r="F118" s="2" t="s">
        <v>42</v>
      </c>
      <c r="G118" s="2" t="s">
        <v>1481</v>
      </c>
      <c r="H118" s="2" t="s">
        <v>1482</v>
      </c>
      <c r="I118" s="2" t="s">
        <v>1483</v>
      </c>
      <c r="J118" s="2" t="s">
        <v>1484</v>
      </c>
      <c r="K118" s="2" t="s">
        <v>29</v>
      </c>
      <c r="L118" s="2" t="s">
        <v>29</v>
      </c>
      <c r="M118" s="2" t="s">
        <v>1485</v>
      </c>
      <c r="N118" s="2" t="s">
        <v>1486</v>
      </c>
      <c r="O118" s="2" t="s">
        <v>1487</v>
      </c>
      <c r="P118" s="2" t="s">
        <v>1488</v>
      </c>
      <c r="Q118" s="2" t="s">
        <v>1489</v>
      </c>
      <c r="R118" s="2" t="s">
        <v>1490</v>
      </c>
      <c r="S118" s="2" t="s">
        <v>1491</v>
      </c>
      <c r="T118" s="2" t="s">
        <v>1492</v>
      </c>
      <c r="U118" s="2" t="s">
        <v>29</v>
      </c>
      <c r="V118" s="2" t="n">
        <v>1</v>
      </c>
    </row>
    <row r="119">
      <c r="A119" s="2" t="n">
        <v>118</v>
      </c>
      <c r="B119" s="2" t="s">
        <v>1493</v>
      </c>
      <c r="C119" s="2" t="n">
        <v>175.970737707</v>
      </c>
      <c r="D119" s="2" t="n">
        <v>8.25690282111595</v>
      </c>
      <c r="E119" s="2" t="s">
        <v>1494</v>
      </c>
      <c r="F119" s="2" t="s">
        <v>522</v>
      </c>
      <c r="G119" s="2" t="s">
        <v>1495</v>
      </c>
      <c r="H119" s="2" t="s">
        <v>1496</v>
      </c>
      <c r="I119" s="2" t="s">
        <v>1497</v>
      </c>
      <c r="J119" s="2" t="s">
        <v>1498</v>
      </c>
      <c r="K119" s="2" t="s">
        <v>29</v>
      </c>
      <c r="L119" s="2" t="s">
        <v>1499</v>
      </c>
      <c r="M119" s="2" t="s">
        <v>1500</v>
      </c>
      <c r="N119" s="2" t="s">
        <v>1501</v>
      </c>
      <c r="O119" s="2" t="s">
        <v>1502</v>
      </c>
      <c r="P119" s="2" t="s">
        <v>1503</v>
      </c>
      <c r="Q119" s="2" t="s">
        <v>1504</v>
      </c>
      <c r="R119" s="2" t="s">
        <v>1505</v>
      </c>
      <c r="S119" s="2" t="s">
        <v>1506</v>
      </c>
      <c r="T119" s="2" t="s">
        <v>1507</v>
      </c>
      <c r="U119" s="2" t="s">
        <v>39</v>
      </c>
      <c r="V119" s="2" t="n">
        <v>1</v>
      </c>
    </row>
    <row r="120">
      <c r="A120" s="2" t="n">
        <v>119</v>
      </c>
      <c r="B120" s="2" t="s">
        <v>1508</v>
      </c>
      <c r="C120" s="2" t="n">
        <v>178.014031339</v>
      </c>
      <c r="D120" s="2" t="n">
        <v>7.24817924642421</v>
      </c>
      <c r="E120" s="2" t="s">
        <v>1509</v>
      </c>
      <c r="F120" s="2" t="s">
        <v>42</v>
      </c>
      <c r="G120" s="2" t="s">
        <v>1510</v>
      </c>
      <c r="H120" s="2" t="s">
        <v>1511</v>
      </c>
      <c r="I120" s="2" t="s">
        <v>1512</v>
      </c>
      <c r="J120" s="2" t="s">
        <v>1513</v>
      </c>
      <c r="K120" s="2" t="s">
        <v>29</v>
      </c>
      <c r="L120" s="2" t="s">
        <v>1514</v>
      </c>
      <c r="M120" s="2" t="s">
        <v>1515</v>
      </c>
      <c r="N120" s="2" t="s">
        <v>1516</v>
      </c>
      <c r="O120" s="2" t="s">
        <v>29</v>
      </c>
      <c r="P120" s="2" t="s">
        <v>1517</v>
      </c>
      <c r="Q120" s="2" t="s">
        <v>1518</v>
      </c>
      <c r="R120" s="2" t="s">
        <v>355</v>
      </c>
      <c r="S120" s="2" t="s">
        <v>1316</v>
      </c>
      <c r="T120" s="2" t="s">
        <v>1317</v>
      </c>
      <c r="U120" s="2" t="s">
        <v>39</v>
      </c>
      <c r="V120" s="2" t="n">
        <v>1</v>
      </c>
    </row>
    <row r="121">
      <c r="A121" s="2" t="n">
        <v>120</v>
      </c>
      <c r="B121" s="2" t="s">
        <v>1519</v>
      </c>
      <c r="C121" s="2" t="n">
        <v>178.949451</v>
      </c>
      <c r="D121" s="2" t="n">
        <v>9.97923319225498</v>
      </c>
      <c r="E121" s="2" t="s">
        <v>1520</v>
      </c>
      <c r="F121" s="2" t="s">
        <v>522</v>
      </c>
      <c r="G121" s="2" t="s">
        <v>1521</v>
      </c>
      <c r="H121" s="2" t="s">
        <v>1522</v>
      </c>
      <c r="I121" s="2" t="s">
        <v>1523</v>
      </c>
      <c r="J121" s="2" t="s">
        <v>1524</v>
      </c>
      <c r="K121" s="2" t="s">
        <v>29</v>
      </c>
      <c r="L121" s="2" t="s">
        <v>29</v>
      </c>
      <c r="M121" s="2" t="s">
        <v>29</v>
      </c>
      <c r="N121" s="2" t="s">
        <v>1525</v>
      </c>
      <c r="O121" s="2" t="s">
        <v>29</v>
      </c>
      <c r="P121" s="2" t="s">
        <v>1526</v>
      </c>
      <c r="Q121" s="2" t="s">
        <v>1527</v>
      </c>
      <c r="R121" s="2" t="s">
        <v>502</v>
      </c>
      <c r="S121" s="2" t="s">
        <v>1528</v>
      </c>
      <c r="T121" s="2" t="s">
        <v>205</v>
      </c>
      <c r="U121" s="2" t="s">
        <v>29</v>
      </c>
      <c r="V121" s="2" t="n">
        <v>1</v>
      </c>
    </row>
    <row r="122">
      <c r="A122" s="2" t="n">
        <v>121</v>
      </c>
      <c r="B122" s="2" t="s">
        <v>1529</v>
      </c>
      <c r="C122" s="2" t="n">
        <v>179.020513689</v>
      </c>
      <c r="D122" s="2" t="n">
        <v>0.660498439771568</v>
      </c>
      <c r="E122" s="2" t="s">
        <v>1530</v>
      </c>
      <c r="F122" s="2" t="s">
        <v>42</v>
      </c>
      <c r="G122" s="2" t="s">
        <v>1531</v>
      </c>
      <c r="H122" s="2" t="s">
        <v>1532</v>
      </c>
      <c r="I122" s="2" t="s">
        <v>1533</v>
      </c>
      <c r="J122" s="2" t="s">
        <v>1534</v>
      </c>
      <c r="K122" s="2" t="s">
        <v>72</v>
      </c>
      <c r="L122" s="2" t="s">
        <v>1535</v>
      </c>
      <c r="M122" s="2" t="s">
        <v>1536</v>
      </c>
      <c r="N122" s="2" t="s">
        <v>1537</v>
      </c>
      <c r="O122" s="2" t="s">
        <v>1538</v>
      </c>
      <c r="P122" s="2" t="s">
        <v>1539</v>
      </c>
      <c r="Q122" s="2" t="s">
        <v>1540</v>
      </c>
      <c r="R122" s="2" t="s">
        <v>1541</v>
      </c>
      <c r="S122" s="2" t="s">
        <v>1542</v>
      </c>
      <c r="T122" s="2" t="s">
        <v>1543</v>
      </c>
      <c r="U122" s="2" t="s">
        <v>39</v>
      </c>
      <c r="V122" s="2" t="n">
        <v>2</v>
      </c>
    </row>
    <row r="123">
      <c r="A123" s="2" t="n">
        <v>122</v>
      </c>
      <c r="B123" s="2" t="s">
        <v>1544</v>
      </c>
      <c r="C123" s="2" t="n">
        <v>180.030227405</v>
      </c>
      <c r="D123" s="2" t="n">
        <v>2.28825105997773</v>
      </c>
      <c r="E123" s="2" t="s">
        <v>1545</v>
      </c>
      <c r="F123" s="2" t="s">
        <v>24</v>
      </c>
      <c r="G123" s="2" t="s">
        <v>1546</v>
      </c>
      <c r="H123" s="2" t="s">
        <v>1547</v>
      </c>
      <c r="I123" s="2" t="s">
        <v>1548</v>
      </c>
      <c r="J123" s="2" t="s">
        <v>1549</v>
      </c>
      <c r="K123" s="2" t="s">
        <v>72</v>
      </c>
      <c r="L123" s="2" t="s">
        <v>72</v>
      </c>
      <c r="M123" s="2" t="s">
        <v>1550</v>
      </c>
      <c r="N123" s="2" t="s">
        <v>1551</v>
      </c>
      <c r="O123" s="2" t="s">
        <v>1552</v>
      </c>
      <c r="P123" s="2" t="s">
        <v>1553</v>
      </c>
      <c r="Q123" s="2" t="s">
        <v>1554</v>
      </c>
      <c r="R123" s="2" t="s">
        <v>537</v>
      </c>
      <c r="S123" s="2" t="s">
        <v>1555</v>
      </c>
      <c r="T123" s="2" t="s">
        <v>1556</v>
      </c>
      <c r="U123" s="2" t="s">
        <v>29</v>
      </c>
      <c r="V123" s="2" t="n">
        <v>2</v>
      </c>
    </row>
    <row r="124">
      <c r="A124" s="2" t="n">
        <v>123</v>
      </c>
      <c r="B124" s="2" t="s">
        <v>1557</v>
      </c>
      <c r="C124" s="2" t="n">
        <v>180.995938912</v>
      </c>
      <c r="D124" s="2" t="n">
        <v>4.76120661664536</v>
      </c>
      <c r="E124" s="2" t="s">
        <v>1558</v>
      </c>
      <c r="F124" s="2" t="s">
        <v>42</v>
      </c>
      <c r="G124" s="2" t="s">
        <v>1559</v>
      </c>
      <c r="H124" s="2" t="s">
        <v>1560</v>
      </c>
      <c r="I124" s="2" t="s">
        <v>1561</v>
      </c>
      <c r="J124" s="2" t="s">
        <v>29</v>
      </c>
      <c r="K124" s="2" t="s">
        <v>29</v>
      </c>
      <c r="L124" s="2" t="s">
        <v>29</v>
      </c>
      <c r="M124" s="2" t="s">
        <v>1562</v>
      </c>
      <c r="N124" s="2" t="s">
        <v>1563</v>
      </c>
      <c r="O124" s="2" t="s">
        <v>1564</v>
      </c>
      <c r="P124" s="2" t="s">
        <v>1565</v>
      </c>
      <c r="Q124" s="2" t="s">
        <v>1566</v>
      </c>
      <c r="R124" s="2" t="s">
        <v>49</v>
      </c>
      <c r="S124" s="2" t="s">
        <v>1567</v>
      </c>
      <c r="T124" s="2" t="s">
        <v>1568</v>
      </c>
      <c r="U124" s="2" t="s">
        <v>29</v>
      </c>
      <c r="V124" s="2" t="n">
        <v>1</v>
      </c>
    </row>
    <row r="125">
      <c r="A125" s="2" t="n">
        <v>124</v>
      </c>
      <c r="B125" s="2" t="s">
        <v>1569</v>
      </c>
      <c r="C125" s="2" t="n">
        <v>181.038482638</v>
      </c>
      <c r="D125" s="2" t="n">
        <v>2.4025254853033</v>
      </c>
      <c r="E125" s="2" t="s">
        <v>1570</v>
      </c>
      <c r="F125" s="2" t="s">
        <v>250</v>
      </c>
      <c r="G125" s="2" t="s">
        <v>1571</v>
      </c>
      <c r="H125" s="2" t="s">
        <v>1572</v>
      </c>
      <c r="I125" s="2" t="s">
        <v>1573</v>
      </c>
      <c r="J125" s="2" t="s">
        <v>1574</v>
      </c>
      <c r="K125" s="2" t="s">
        <v>29</v>
      </c>
      <c r="L125" s="2" t="s">
        <v>1575</v>
      </c>
      <c r="M125" s="2" t="s">
        <v>29</v>
      </c>
      <c r="N125" s="2" t="s">
        <v>1576</v>
      </c>
      <c r="O125" s="2" t="s">
        <v>1577</v>
      </c>
      <c r="P125" s="2" t="s">
        <v>1578</v>
      </c>
      <c r="Q125" s="2" t="s">
        <v>1579</v>
      </c>
      <c r="R125" s="2" t="s">
        <v>355</v>
      </c>
      <c r="S125" s="2" t="s">
        <v>1580</v>
      </c>
      <c r="T125" s="2" t="s">
        <v>1581</v>
      </c>
      <c r="U125" s="2" t="s">
        <v>39</v>
      </c>
      <c r="V125" s="2" t="n">
        <v>1</v>
      </c>
    </row>
    <row r="126">
      <c r="A126" s="2" t="n">
        <v>125</v>
      </c>
      <c r="B126" s="2" t="s">
        <v>1582</v>
      </c>
      <c r="C126" s="2" t="n">
        <v>183.011588976</v>
      </c>
      <c r="D126" s="2" t="n">
        <v>2.52552824911859</v>
      </c>
      <c r="E126" s="2" t="s">
        <v>1583</v>
      </c>
      <c r="F126" s="2" t="s">
        <v>42</v>
      </c>
      <c r="G126" s="2" t="s">
        <v>1584</v>
      </c>
      <c r="H126" s="2" t="s">
        <v>1585</v>
      </c>
      <c r="I126" s="2" t="s">
        <v>1586</v>
      </c>
      <c r="J126" s="2" t="s">
        <v>29</v>
      </c>
      <c r="K126" s="2" t="s">
        <v>29</v>
      </c>
      <c r="L126" s="2" t="s">
        <v>29</v>
      </c>
      <c r="M126" s="2" t="s">
        <v>1587</v>
      </c>
      <c r="N126" s="2" t="s">
        <v>1588</v>
      </c>
      <c r="O126" s="2" t="s">
        <v>29</v>
      </c>
      <c r="P126" s="2" t="s">
        <v>1589</v>
      </c>
      <c r="Q126" s="2" t="s">
        <v>1590</v>
      </c>
      <c r="R126" s="2" t="s">
        <v>49</v>
      </c>
      <c r="S126" s="2" t="s">
        <v>1567</v>
      </c>
      <c r="T126" s="2" t="s">
        <v>1568</v>
      </c>
      <c r="U126" s="2" t="s">
        <v>29</v>
      </c>
      <c r="V126" s="2" t="n">
        <v>1</v>
      </c>
    </row>
    <row r="127">
      <c r="A127" s="2" t="n">
        <v>126</v>
      </c>
      <c r="B127" s="2" t="s">
        <v>1591</v>
      </c>
      <c r="C127" s="2" t="n">
        <v>183.102118064</v>
      </c>
      <c r="D127" s="2" t="n">
        <v>0.5643490200726</v>
      </c>
      <c r="E127" s="2" t="s">
        <v>1592</v>
      </c>
      <c r="F127" s="2" t="s">
        <v>42</v>
      </c>
      <c r="G127" s="2" t="s">
        <v>1593</v>
      </c>
      <c r="H127" s="2" t="s">
        <v>1594</v>
      </c>
      <c r="I127" s="2" t="s">
        <v>1595</v>
      </c>
      <c r="J127" s="2" t="s">
        <v>1596</v>
      </c>
      <c r="K127" s="2" t="s">
        <v>1597</v>
      </c>
      <c r="L127" s="2" t="s">
        <v>1598</v>
      </c>
      <c r="M127" s="2" t="s">
        <v>1599</v>
      </c>
      <c r="N127" s="2" t="s">
        <v>1600</v>
      </c>
      <c r="O127" s="2" t="s">
        <v>1601</v>
      </c>
      <c r="P127" s="2" t="s">
        <v>1602</v>
      </c>
      <c r="Q127" s="2" t="s">
        <v>1603</v>
      </c>
      <c r="R127" s="2" t="s">
        <v>1490</v>
      </c>
      <c r="S127" s="2" t="s">
        <v>1491</v>
      </c>
      <c r="T127" s="2" t="s">
        <v>1492</v>
      </c>
      <c r="U127" s="2" t="s">
        <v>39</v>
      </c>
      <c r="V127" s="2" t="n">
        <v>1</v>
      </c>
    </row>
    <row r="128">
      <c r="A128" s="2" t="n">
        <v>127</v>
      </c>
      <c r="B128" s="2" t="s">
        <v>1604</v>
      </c>
      <c r="C128" s="2" t="n">
        <v>183.139049576</v>
      </c>
      <c r="D128" s="2" t="n">
        <v>2.76533294392346</v>
      </c>
      <c r="E128" s="2" t="s">
        <v>1605</v>
      </c>
      <c r="F128" s="2" t="s">
        <v>24</v>
      </c>
      <c r="G128" s="2" t="s">
        <v>1606</v>
      </c>
      <c r="H128" s="2" t="s">
        <v>1607</v>
      </c>
      <c r="I128" s="2" t="s">
        <v>1608</v>
      </c>
      <c r="J128" s="2" t="s">
        <v>1609</v>
      </c>
      <c r="K128" s="2" t="s">
        <v>226</v>
      </c>
      <c r="L128" s="2" t="s">
        <v>226</v>
      </c>
      <c r="M128" s="2" t="s">
        <v>1610</v>
      </c>
      <c r="N128" s="2" t="s">
        <v>1611</v>
      </c>
      <c r="O128" s="2" t="s">
        <v>226</v>
      </c>
      <c r="P128" s="2" t="s">
        <v>1612</v>
      </c>
      <c r="Q128" s="2" t="s">
        <v>1613</v>
      </c>
      <c r="R128" s="2" t="s">
        <v>105</v>
      </c>
      <c r="S128" s="2" t="s">
        <v>1614</v>
      </c>
      <c r="T128" s="2" t="s">
        <v>1615</v>
      </c>
      <c r="U128" s="2" t="s">
        <v>29</v>
      </c>
      <c r="V128" s="2" t="n">
        <v>3</v>
      </c>
    </row>
    <row r="129">
      <c r="A129" s="2" t="n">
        <v>128</v>
      </c>
      <c r="B129" s="2" t="s">
        <v>1616</v>
      </c>
      <c r="C129" s="2" t="n">
        <v>184.003161737</v>
      </c>
      <c r="D129" s="2" t="n">
        <v>2.47020196383074</v>
      </c>
      <c r="E129" s="2" t="s">
        <v>1617</v>
      </c>
      <c r="F129" s="2" t="s">
        <v>522</v>
      </c>
      <c r="G129" s="2" t="s">
        <v>1618</v>
      </c>
      <c r="H129" s="2" t="s">
        <v>1619</v>
      </c>
      <c r="I129" s="2" t="s">
        <v>1620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1621</v>
      </c>
      <c r="O129" s="2" t="s">
        <v>29</v>
      </c>
      <c r="P129" s="2" t="s">
        <v>1622</v>
      </c>
      <c r="Q129" s="2" t="s">
        <v>1623</v>
      </c>
      <c r="R129" s="2" t="s">
        <v>355</v>
      </c>
      <c r="S129" s="2" t="s">
        <v>466</v>
      </c>
      <c r="T129" s="2" t="s">
        <v>467</v>
      </c>
      <c r="U129" s="2" t="s">
        <v>29</v>
      </c>
      <c r="V129" s="2" t="n">
        <v>1</v>
      </c>
    </row>
    <row r="130">
      <c r="A130" s="2" t="n">
        <v>129</v>
      </c>
      <c r="B130" s="2" t="s">
        <v>1624</v>
      </c>
      <c r="C130" s="2" t="n">
        <v>184.979315235</v>
      </c>
      <c r="D130" s="2" t="n">
        <v>0.941203334335375</v>
      </c>
      <c r="E130" s="2" t="s">
        <v>1625</v>
      </c>
      <c r="F130" s="2" t="s">
        <v>522</v>
      </c>
      <c r="G130" s="2" t="s">
        <v>1626</v>
      </c>
      <c r="H130" s="2" t="s">
        <v>1627</v>
      </c>
      <c r="I130" s="2" t="s">
        <v>1628</v>
      </c>
      <c r="J130" s="2" t="s">
        <v>72</v>
      </c>
      <c r="K130" s="2" t="s">
        <v>72</v>
      </c>
      <c r="L130" s="2" t="s">
        <v>72</v>
      </c>
      <c r="M130" s="2" t="s">
        <v>72</v>
      </c>
      <c r="N130" s="2" t="s">
        <v>1629</v>
      </c>
      <c r="O130" s="2" t="s">
        <v>72</v>
      </c>
      <c r="P130" s="2" t="s">
        <v>1630</v>
      </c>
      <c r="Q130" s="2" t="s">
        <v>1631</v>
      </c>
      <c r="R130" s="2" t="s">
        <v>715</v>
      </c>
      <c r="S130" s="2" t="s">
        <v>716</v>
      </c>
      <c r="T130" s="2" t="s">
        <v>717</v>
      </c>
      <c r="U130" s="2" t="s">
        <v>29</v>
      </c>
      <c r="V130" s="2" t="n">
        <v>2</v>
      </c>
    </row>
    <row r="131">
      <c r="A131" s="2" t="n">
        <v>130</v>
      </c>
      <c r="B131" s="2" t="s">
        <v>1632</v>
      </c>
      <c r="C131" s="2" t="n">
        <v>185.013472305</v>
      </c>
      <c r="D131" s="2" t="n">
        <v>0.332561356164138</v>
      </c>
      <c r="E131" s="2" t="s">
        <v>1633</v>
      </c>
      <c r="F131" s="2" t="s">
        <v>522</v>
      </c>
      <c r="G131" s="2" t="s">
        <v>1634</v>
      </c>
      <c r="H131" s="2" t="s">
        <v>1635</v>
      </c>
      <c r="I131" s="2" t="s">
        <v>1636</v>
      </c>
      <c r="J131" s="2" t="s">
        <v>29</v>
      </c>
      <c r="K131" s="2" t="s">
        <v>29</v>
      </c>
      <c r="L131" s="2" t="s">
        <v>1637</v>
      </c>
      <c r="M131" s="2" t="s">
        <v>1638</v>
      </c>
      <c r="N131" s="2" t="s">
        <v>1639</v>
      </c>
      <c r="O131" s="2" t="s">
        <v>29</v>
      </c>
      <c r="P131" s="2" t="s">
        <v>1640</v>
      </c>
      <c r="Q131" s="2" t="s">
        <v>1641</v>
      </c>
      <c r="R131" s="2" t="s">
        <v>49</v>
      </c>
      <c r="S131" s="2" t="s">
        <v>165</v>
      </c>
      <c r="T131" s="2" t="s">
        <v>1642</v>
      </c>
      <c r="U131" s="2" t="s">
        <v>39</v>
      </c>
      <c r="V131" s="2" t="n">
        <v>1</v>
      </c>
    </row>
    <row r="132">
      <c r="A132" s="2" t="n">
        <v>131</v>
      </c>
      <c r="B132" s="2" t="s">
        <v>1643</v>
      </c>
      <c r="C132" s="2" t="n">
        <v>186.023033541</v>
      </c>
      <c r="D132" s="2" t="n">
        <v>1.48760256286276</v>
      </c>
      <c r="E132" s="2" t="s">
        <v>1644</v>
      </c>
      <c r="F132" s="2" t="s">
        <v>24</v>
      </c>
      <c r="G132" s="2" t="s">
        <v>1645</v>
      </c>
      <c r="H132" s="2" t="s">
        <v>1646</v>
      </c>
      <c r="I132" s="2" t="s">
        <v>1647</v>
      </c>
      <c r="J132" s="2" t="s">
        <v>1648</v>
      </c>
      <c r="K132" s="2" t="s">
        <v>226</v>
      </c>
      <c r="L132" s="2" t="s">
        <v>226</v>
      </c>
      <c r="M132" s="2" t="s">
        <v>226</v>
      </c>
      <c r="N132" s="2" t="s">
        <v>1649</v>
      </c>
      <c r="O132" s="2" t="s">
        <v>1650</v>
      </c>
      <c r="P132" s="2" t="s">
        <v>1651</v>
      </c>
      <c r="Q132" s="2" t="s">
        <v>1652</v>
      </c>
      <c r="R132" s="2" t="s">
        <v>1252</v>
      </c>
      <c r="S132" s="2" t="s">
        <v>1653</v>
      </c>
      <c r="T132" s="2" t="s">
        <v>1654</v>
      </c>
      <c r="U132" s="2" t="s">
        <v>29</v>
      </c>
      <c r="V132" s="2" t="n">
        <v>3</v>
      </c>
    </row>
    <row r="133">
      <c r="A133" s="2" t="n">
        <v>132</v>
      </c>
      <c r="B133" s="2" t="s">
        <v>1655</v>
      </c>
      <c r="C133" s="2" t="n">
        <v>186.113567415</v>
      </c>
      <c r="D133" s="2" t="n">
        <v>18.4893371434813</v>
      </c>
      <c r="E133" s="2" t="s">
        <v>1656</v>
      </c>
      <c r="F133" s="2" t="s">
        <v>110</v>
      </c>
      <c r="G133" s="2" t="s">
        <v>1657</v>
      </c>
      <c r="H133" s="2" t="s">
        <v>1658</v>
      </c>
      <c r="I133" s="2" t="s">
        <v>1659</v>
      </c>
      <c r="J133" s="2" t="s">
        <v>1660</v>
      </c>
      <c r="K133" s="2" t="s">
        <v>1661</v>
      </c>
      <c r="L133" s="2" t="s">
        <v>1662</v>
      </c>
      <c r="M133" s="2" t="s">
        <v>1663</v>
      </c>
      <c r="N133" s="2" t="s">
        <v>1664</v>
      </c>
      <c r="O133" s="2" t="s">
        <v>1665</v>
      </c>
      <c r="P133" s="2" t="s">
        <v>1666</v>
      </c>
      <c r="Q133" s="2" t="s">
        <v>1667</v>
      </c>
      <c r="R133" s="2" t="s">
        <v>1490</v>
      </c>
      <c r="S133" s="2" t="s">
        <v>1491</v>
      </c>
      <c r="T133" s="2" t="s">
        <v>1492</v>
      </c>
      <c r="U133" s="2" t="s">
        <v>39</v>
      </c>
      <c r="V133" s="2" t="n">
        <v>1</v>
      </c>
    </row>
    <row r="134">
      <c r="A134" s="2" t="n">
        <v>133</v>
      </c>
      <c r="B134" s="2" t="s">
        <v>1668</v>
      </c>
      <c r="C134" s="2" t="n">
        <v>187.011920898</v>
      </c>
      <c r="D134" s="2" t="n">
        <v>1.18944889140328</v>
      </c>
      <c r="E134" s="2" t="s">
        <v>1669</v>
      </c>
      <c r="F134" s="2" t="s">
        <v>42</v>
      </c>
      <c r="G134" s="2" t="s">
        <v>1670</v>
      </c>
      <c r="H134" s="2" t="s">
        <v>1671</v>
      </c>
      <c r="I134" s="2" t="s">
        <v>1672</v>
      </c>
      <c r="J134" s="2" t="s">
        <v>1673</v>
      </c>
      <c r="K134" s="2" t="s">
        <v>29</v>
      </c>
      <c r="L134" s="2" t="s">
        <v>29</v>
      </c>
      <c r="M134" s="2" t="s">
        <v>29</v>
      </c>
      <c r="N134" s="2" t="s">
        <v>1674</v>
      </c>
      <c r="O134" s="2" t="s">
        <v>1675</v>
      </c>
      <c r="P134" s="2" t="s">
        <v>1676</v>
      </c>
      <c r="Q134" s="2" t="s">
        <v>1677</v>
      </c>
      <c r="R134" s="2" t="s">
        <v>502</v>
      </c>
      <c r="S134" s="2" t="s">
        <v>503</v>
      </c>
      <c r="T134" s="2" t="s">
        <v>1421</v>
      </c>
      <c r="U134" s="2" t="s">
        <v>29</v>
      </c>
      <c r="V134" s="2" t="n">
        <v>1</v>
      </c>
    </row>
    <row r="135">
      <c r="A135" s="2" t="n">
        <v>134</v>
      </c>
      <c r="B135" s="2" t="s">
        <v>1678</v>
      </c>
      <c r="C135" s="2" t="n">
        <v>187.097583</v>
      </c>
      <c r="D135" s="2" t="n">
        <v>3.25287706125572</v>
      </c>
      <c r="E135" s="2" t="s">
        <v>1679</v>
      </c>
      <c r="F135" s="2" t="s">
        <v>110</v>
      </c>
      <c r="G135" s="2" t="s">
        <v>1680</v>
      </c>
      <c r="H135" s="2" t="s">
        <v>1681</v>
      </c>
      <c r="I135" s="2" t="s">
        <v>1682</v>
      </c>
      <c r="J135" s="2" t="s">
        <v>1683</v>
      </c>
      <c r="K135" s="2" t="s">
        <v>1684</v>
      </c>
      <c r="L135" s="2" t="s">
        <v>1685</v>
      </c>
      <c r="M135" s="2" t="s">
        <v>1686</v>
      </c>
      <c r="N135" s="2" t="s">
        <v>1687</v>
      </c>
      <c r="O135" s="2" t="s">
        <v>1688</v>
      </c>
      <c r="P135" s="2" t="s">
        <v>1689</v>
      </c>
      <c r="Q135" s="2" t="s">
        <v>1690</v>
      </c>
      <c r="R135" s="2" t="s">
        <v>1490</v>
      </c>
      <c r="S135" s="2" t="s">
        <v>1491</v>
      </c>
      <c r="T135" s="2" t="s">
        <v>1492</v>
      </c>
      <c r="U135" s="2" t="s">
        <v>39</v>
      </c>
      <c r="V135" s="2" t="n">
        <v>1</v>
      </c>
    </row>
    <row r="136">
      <c r="A136" s="2" t="n">
        <v>135</v>
      </c>
      <c r="B136" s="2" t="s">
        <v>1691</v>
      </c>
      <c r="C136" s="2" t="n">
        <v>188.972507277</v>
      </c>
      <c r="D136" s="2" t="n">
        <v>4.06723427241101</v>
      </c>
      <c r="E136" s="2" t="s">
        <v>1692</v>
      </c>
      <c r="F136" s="2" t="s">
        <v>24</v>
      </c>
      <c r="G136" s="2" t="s">
        <v>1693</v>
      </c>
      <c r="H136" s="2" t="s">
        <v>1694</v>
      </c>
      <c r="I136" s="2" t="s">
        <v>1695</v>
      </c>
      <c r="J136" s="2" t="s">
        <v>1696</v>
      </c>
      <c r="K136" s="2" t="s">
        <v>29</v>
      </c>
      <c r="L136" s="2" t="s">
        <v>1697</v>
      </c>
      <c r="M136" s="2" t="s">
        <v>1698</v>
      </c>
      <c r="N136" s="2" t="s">
        <v>1699</v>
      </c>
      <c r="O136" s="2" t="s">
        <v>1700</v>
      </c>
      <c r="P136" s="2" t="s">
        <v>1701</v>
      </c>
      <c r="Q136" s="2" t="s">
        <v>1702</v>
      </c>
      <c r="R136" s="2" t="s">
        <v>49</v>
      </c>
      <c r="S136" s="2" t="s">
        <v>782</v>
      </c>
      <c r="T136" s="2" t="s">
        <v>1119</v>
      </c>
      <c r="U136" s="2" t="s">
        <v>39</v>
      </c>
      <c r="V136" s="2" t="n">
        <v>1</v>
      </c>
    </row>
    <row r="137">
      <c r="A137" s="2" t="n">
        <v>136</v>
      </c>
      <c r="B137" s="2" t="s">
        <v>1703</v>
      </c>
      <c r="C137" s="2" t="n">
        <v>189.004940636</v>
      </c>
      <c r="D137" s="2" t="n">
        <v>8.49580576689442</v>
      </c>
      <c r="E137" s="2" t="s">
        <v>1704</v>
      </c>
      <c r="F137" s="2" t="s">
        <v>24</v>
      </c>
      <c r="G137" s="2" t="s">
        <v>1705</v>
      </c>
      <c r="H137" s="2" t="s">
        <v>1706</v>
      </c>
      <c r="I137" s="2" t="s">
        <v>1707</v>
      </c>
      <c r="J137" s="2" t="s">
        <v>1708</v>
      </c>
      <c r="K137" s="2" t="s">
        <v>29</v>
      </c>
      <c r="L137" s="2" t="s">
        <v>29</v>
      </c>
      <c r="M137" s="2" t="s">
        <v>29</v>
      </c>
      <c r="N137" s="2" t="s">
        <v>1709</v>
      </c>
      <c r="O137" s="2" t="s">
        <v>1710</v>
      </c>
      <c r="P137" s="2" t="s">
        <v>1711</v>
      </c>
      <c r="Q137" s="2" t="s">
        <v>1712</v>
      </c>
      <c r="R137" s="2" t="s">
        <v>355</v>
      </c>
      <c r="S137" s="2" t="s">
        <v>1713</v>
      </c>
      <c r="T137" s="2" t="s">
        <v>205</v>
      </c>
      <c r="U137" s="2" t="s">
        <v>29</v>
      </c>
      <c r="V137" s="2" t="n">
        <v>1</v>
      </c>
    </row>
    <row r="138">
      <c r="A138" s="2" t="n">
        <v>137</v>
      </c>
      <c r="B138" s="2" t="s">
        <v>1714</v>
      </c>
      <c r="C138" s="2" t="n">
        <v>189.976872882</v>
      </c>
      <c r="D138" s="2" t="n">
        <v>1.55650346798862</v>
      </c>
      <c r="E138" s="2" t="s">
        <v>1715</v>
      </c>
      <c r="F138" s="2" t="s">
        <v>522</v>
      </c>
      <c r="G138" s="2" t="s">
        <v>1716</v>
      </c>
      <c r="H138" s="2" t="s">
        <v>1717</v>
      </c>
      <c r="I138" s="2" t="s">
        <v>1718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1719</v>
      </c>
      <c r="O138" s="2" t="s">
        <v>29</v>
      </c>
      <c r="P138" s="2" t="s">
        <v>1720</v>
      </c>
      <c r="Q138" s="2" t="s">
        <v>1721</v>
      </c>
      <c r="R138" s="2" t="s">
        <v>49</v>
      </c>
      <c r="S138" s="2" t="s">
        <v>1202</v>
      </c>
      <c r="T138" s="2" t="s">
        <v>1203</v>
      </c>
      <c r="U138" s="2" t="s">
        <v>29</v>
      </c>
      <c r="V138" s="2" t="n">
        <v>1</v>
      </c>
    </row>
    <row r="139">
      <c r="A139" s="2" t="n">
        <v>138</v>
      </c>
      <c r="B139" s="2" t="s">
        <v>1722</v>
      </c>
      <c r="C139" s="2" t="n">
        <v>190.960887502</v>
      </c>
      <c r="D139" s="2" t="n">
        <v>6.89767798035577</v>
      </c>
      <c r="E139" s="2" t="s">
        <v>1723</v>
      </c>
      <c r="F139" s="2" t="s">
        <v>522</v>
      </c>
      <c r="G139" s="2" t="s">
        <v>1724</v>
      </c>
      <c r="H139" s="2" t="s">
        <v>1725</v>
      </c>
      <c r="I139" s="2" t="s">
        <v>1726</v>
      </c>
      <c r="J139" s="2" t="s">
        <v>1727</v>
      </c>
      <c r="K139" s="2" t="s">
        <v>29</v>
      </c>
      <c r="L139" s="2" t="s">
        <v>29</v>
      </c>
      <c r="M139" s="2" t="s">
        <v>1728</v>
      </c>
      <c r="N139" s="2" t="s">
        <v>1729</v>
      </c>
      <c r="O139" s="2" t="s">
        <v>29</v>
      </c>
      <c r="P139" s="2" t="s">
        <v>1730</v>
      </c>
      <c r="Q139" s="2" t="s">
        <v>1731</v>
      </c>
      <c r="R139" s="2" t="s">
        <v>49</v>
      </c>
      <c r="S139" s="2" t="s">
        <v>1732</v>
      </c>
      <c r="T139" s="2" t="s">
        <v>1733</v>
      </c>
      <c r="U139" s="2" t="s">
        <v>29</v>
      </c>
      <c r="V139" s="2" t="n">
        <v>1</v>
      </c>
    </row>
    <row r="140">
      <c r="A140" s="2" t="n">
        <v>139</v>
      </c>
      <c r="B140" s="2" t="s">
        <v>1734</v>
      </c>
      <c r="C140" s="2" t="n">
        <v>191.01972661</v>
      </c>
      <c r="D140" s="2" t="n">
        <v>5.90877677489914</v>
      </c>
      <c r="E140" s="2" t="s">
        <v>1735</v>
      </c>
      <c r="F140" s="2" t="s">
        <v>110</v>
      </c>
      <c r="G140" s="2" t="s">
        <v>1736</v>
      </c>
      <c r="H140" s="2" t="s">
        <v>1737</v>
      </c>
      <c r="I140" s="2" t="s">
        <v>1738</v>
      </c>
      <c r="J140" s="2" t="s">
        <v>1739</v>
      </c>
      <c r="K140" s="2" t="s">
        <v>1740</v>
      </c>
      <c r="L140" s="2" t="s">
        <v>1741</v>
      </c>
      <c r="M140" s="2" t="s">
        <v>1742</v>
      </c>
      <c r="N140" s="2" t="s">
        <v>1743</v>
      </c>
      <c r="O140" s="2" t="s">
        <v>1744</v>
      </c>
      <c r="P140" s="2" t="s">
        <v>1745</v>
      </c>
      <c r="Q140" s="2" t="s">
        <v>1746</v>
      </c>
      <c r="R140" s="2" t="s">
        <v>64</v>
      </c>
      <c r="S140" s="2" t="s">
        <v>65</v>
      </c>
      <c r="T140" s="2" t="s">
        <v>66</v>
      </c>
      <c r="U140" s="2" t="s">
        <v>39</v>
      </c>
      <c r="V140" s="2" t="n">
        <v>1</v>
      </c>
    </row>
    <row r="141">
      <c r="A141" s="2" t="n">
        <v>140</v>
      </c>
      <c r="B141" s="2" t="s">
        <v>1747</v>
      </c>
      <c r="C141" s="2" t="n">
        <v>191.056107808</v>
      </c>
      <c r="D141" s="2" t="n">
        <v>4.05996997866994</v>
      </c>
      <c r="E141" s="2" t="s">
        <v>1748</v>
      </c>
      <c r="F141" s="2" t="s">
        <v>24</v>
      </c>
      <c r="G141" s="2" t="s">
        <v>1749</v>
      </c>
      <c r="H141" s="2" t="s">
        <v>1750</v>
      </c>
      <c r="I141" s="2" t="s">
        <v>1751</v>
      </c>
      <c r="J141" s="2" t="s">
        <v>1752</v>
      </c>
      <c r="K141" s="2" t="s">
        <v>1753</v>
      </c>
      <c r="L141" s="2" t="s">
        <v>1754</v>
      </c>
      <c r="M141" s="2" t="s">
        <v>1755</v>
      </c>
      <c r="N141" s="2" t="s">
        <v>1756</v>
      </c>
      <c r="O141" s="2" t="s">
        <v>1757</v>
      </c>
      <c r="P141" s="2" t="s">
        <v>1758</v>
      </c>
      <c r="Q141" s="2" t="s">
        <v>1759</v>
      </c>
      <c r="R141" s="2" t="s">
        <v>1760</v>
      </c>
      <c r="S141" s="2" t="s">
        <v>1761</v>
      </c>
      <c r="T141" s="2" t="s">
        <v>1762</v>
      </c>
      <c r="U141" s="2" t="s">
        <v>39</v>
      </c>
      <c r="V141" s="2" t="n">
        <v>2</v>
      </c>
    </row>
    <row r="142">
      <c r="A142" s="2" t="n">
        <v>141</v>
      </c>
      <c r="B142" s="2" t="s">
        <v>1763</v>
      </c>
      <c r="C142" s="2" t="n">
        <v>192.955346636</v>
      </c>
      <c r="D142" s="2" t="n">
        <v>5.33023903372515</v>
      </c>
      <c r="E142" s="2" t="s">
        <v>1764</v>
      </c>
      <c r="F142" s="2" t="s">
        <v>250</v>
      </c>
      <c r="G142" s="2" t="s">
        <v>1765</v>
      </c>
      <c r="H142" s="2" t="s">
        <v>1766</v>
      </c>
      <c r="I142" s="2" t="s">
        <v>1767</v>
      </c>
      <c r="J142" s="2" t="s">
        <v>1768</v>
      </c>
      <c r="K142" s="2" t="s">
        <v>29</v>
      </c>
      <c r="L142" s="2" t="s">
        <v>29</v>
      </c>
      <c r="M142" s="2" t="s">
        <v>29</v>
      </c>
      <c r="N142" s="2" t="s">
        <v>1769</v>
      </c>
      <c r="O142" s="2" t="s">
        <v>1770</v>
      </c>
      <c r="P142" s="2" t="s">
        <v>1771</v>
      </c>
      <c r="Q142" s="2" t="s">
        <v>1772</v>
      </c>
      <c r="R142" s="2" t="s">
        <v>502</v>
      </c>
      <c r="S142" s="2" t="s">
        <v>503</v>
      </c>
      <c r="T142" s="2" t="s">
        <v>205</v>
      </c>
      <c r="U142" s="2" t="s">
        <v>29</v>
      </c>
      <c r="V142" s="2" t="n">
        <v>1</v>
      </c>
    </row>
    <row r="143">
      <c r="A143" s="2" t="n">
        <v>142</v>
      </c>
      <c r="B143" s="2" t="s">
        <v>1773</v>
      </c>
      <c r="C143" s="2" t="n">
        <v>194.045881781</v>
      </c>
      <c r="D143" s="2" t="n">
        <v>0.481476095953829</v>
      </c>
      <c r="E143" s="2" t="s">
        <v>1774</v>
      </c>
      <c r="F143" s="2" t="s">
        <v>110</v>
      </c>
      <c r="G143" s="2" t="s">
        <v>1775</v>
      </c>
      <c r="H143" s="2" t="s">
        <v>1776</v>
      </c>
      <c r="I143" s="2" t="s">
        <v>1777</v>
      </c>
      <c r="J143" s="2" t="s">
        <v>1778</v>
      </c>
      <c r="K143" s="2" t="s">
        <v>226</v>
      </c>
      <c r="L143" s="2" t="s">
        <v>1779</v>
      </c>
      <c r="M143" s="2" t="s">
        <v>1780</v>
      </c>
      <c r="N143" s="2" t="s">
        <v>1781</v>
      </c>
      <c r="O143" s="2" t="s">
        <v>1782</v>
      </c>
      <c r="P143" s="2" t="s">
        <v>1783</v>
      </c>
      <c r="Q143" s="2" t="s">
        <v>1784</v>
      </c>
      <c r="R143" s="2" t="s">
        <v>1785</v>
      </c>
      <c r="S143" s="2" t="s">
        <v>1786</v>
      </c>
      <c r="T143" s="2" t="s">
        <v>1787</v>
      </c>
      <c r="U143" s="2" t="s">
        <v>39</v>
      </c>
      <c r="V143" s="2" t="n">
        <v>3</v>
      </c>
    </row>
    <row r="144">
      <c r="A144" s="2" t="n">
        <v>143</v>
      </c>
      <c r="B144" s="2" t="s">
        <v>1788</v>
      </c>
      <c r="C144" s="2" t="n">
        <v>194.933077675</v>
      </c>
      <c r="D144" s="2" t="n">
        <v>3.97619786538808</v>
      </c>
      <c r="E144" s="2" t="s">
        <v>1789</v>
      </c>
      <c r="F144" s="2" t="s">
        <v>42</v>
      </c>
      <c r="G144" s="2" t="s">
        <v>1790</v>
      </c>
      <c r="H144" s="2" t="s">
        <v>1791</v>
      </c>
      <c r="I144" s="2" t="s">
        <v>1792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1793</v>
      </c>
      <c r="O144" s="2" t="s">
        <v>29</v>
      </c>
      <c r="P144" s="2" t="s">
        <v>1794</v>
      </c>
      <c r="Q144" s="2" t="s">
        <v>1795</v>
      </c>
      <c r="R144" s="2" t="s">
        <v>64</v>
      </c>
      <c r="S144" s="2" t="s">
        <v>1083</v>
      </c>
      <c r="T144" s="2" t="s">
        <v>1796</v>
      </c>
      <c r="U144" s="2" t="s">
        <v>29</v>
      </c>
      <c r="V144" s="2" t="n">
        <v>1</v>
      </c>
    </row>
    <row r="145">
      <c r="A145" s="2" t="n">
        <v>144</v>
      </c>
      <c r="B145" s="2" t="s">
        <v>1797</v>
      </c>
      <c r="C145" s="2" t="n">
        <v>194.979125086</v>
      </c>
      <c r="D145" s="2" t="n">
        <v>2.73673751971894</v>
      </c>
      <c r="E145" s="2" t="s">
        <v>1798</v>
      </c>
      <c r="F145" s="2" t="s">
        <v>110</v>
      </c>
      <c r="G145" s="2" t="s">
        <v>1799</v>
      </c>
      <c r="H145" s="2" t="s">
        <v>1800</v>
      </c>
      <c r="I145" s="2" t="s">
        <v>1801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1802</v>
      </c>
      <c r="O145" s="2" t="s">
        <v>29</v>
      </c>
      <c r="P145" s="2" t="s">
        <v>1803</v>
      </c>
      <c r="Q145" s="2" t="s">
        <v>1804</v>
      </c>
      <c r="R145" s="2" t="s">
        <v>1490</v>
      </c>
      <c r="S145" s="2" t="s">
        <v>1491</v>
      </c>
      <c r="T145" s="2" t="s">
        <v>1492</v>
      </c>
      <c r="U145" s="2" t="s">
        <v>29</v>
      </c>
      <c r="V145" s="2" t="n">
        <v>1</v>
      </c>
    </row>
    <row r="146">
      <c r="A146" s="2" t="n">
        <v>145</v>
      </c>
      <c r="B146" s="2" t="s">
        <v>1805</v>
      </c>
      <c r="C146" s="2" t="n">
        <v>195.139049576</v>
      </c>
      <c r="D146" s="2" t="n">
        <v>0.958702272879596</v>
      </c>
      <c r="E146" s="2" t="s">
        <v>1806</v>
      </c>
      <c r="F146" s="2" t="s">
        <v>24</v>
      </c>
      <c r="G146" s="2" t="s">
        <v>1807</v>
      </c>
      <c r="H146" s="2" t="s">
        <v>1808</v>
      </c>
      <c r="I146" s="2" t="s">
        <v>1809</v>
      </c>
      <c r="J146" s="2" t="s">
        <v>1810</v>
      </c>
      <c r="K146" s="2" t="s">
        <v>1811</v>
      </c>
      <c r="L146" s="2" t="s">
        <v>226</v>
      </c>
      <c r="M146" s="2" t="s">
        <v>1812</v>
      </c>
      <c r="N146" s="2" t="s">
        <v>1813</v>
      </c>
      <c r="O146" s="2" t="s">
        <v>1814</v>
      </c>
      <c r="P146" s="2" t="s">
        <v>1815</v>
      </c>
      <c r="Q146" s="2" t="s">
        <v>1816</v>
      </c>
      <c r="R146" s="2" t="s">
        <v>1817</v>
      </c>
      <c r="S146" s="2" t="s">
        <v>1818</v>
      </c>
      <c r="T146" s="2" t="s">
        <v>1819</v>
      </c>
      <c r="U146" s="2" t="s">
        <v>29</v>
      </c>
      <c r="V146" s="2" t="n">
        <v>3</v>
      </c>
    </row>
    <row r="147">
      <c r="A147" s="2" t="n">
        <v>146</v>
      </c>
      <c r="B147" s="2" t="s">
        <v>1820</v>
      </c>
      <c r="C147" s="2" t="n">
        <v>196.024291105</v>
      </c>
      <c r="D147" s="2" t="n">
        <v>3.30554529875729</v>
      </c>
      <c r="E147" s="2" t="s">
        <v>1821</v>
      </c>
      <c r="F147" s="2" t="s">
        <v>522</v>
      </c>
      <c r="G147" s="2" t="s">
        <v>1822</v>
      </c>
      <c r="H147" s="2" t="s">
        <v>1823</v>
      </c>
      <c r="I147" s="2" t="s">
        <v>1824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1825</v>
      </c>
      <c r="O147" s="2" t="s">
        <v>29</v>
      </c>
      <c r="P147" s="2" t="s">
        <v>1826</v>
      </c>
      <c r="Q147" s="2" t="s">
        <v>1827</v>
      </c>
      <c r="R147" s="2" t="s">
        <v>36</v>
      </c>
      <c r="S147" s="2" t="s">
        <v>37</v>
      </c>
      <c r="T147" s="2" t="s">
        <v>1828</v>
      </c>
      <c r="U147" s="2" t="s">
        <v>29</v>
      </c>
      <c r="V147" s="2" t="n">
        <v>1</v>
      </c>
    </row>
    <row r="148">
      <c r="A148" s="2" t="n">
        <v>147</v>
      </c>
      <c r="B148" s="2" t="s">
        <v>1829</v>
      </c>
      <c r="C148" s="2" t="n">
        <v>196.979314758</v>
      </c>
      <c r="D148" s="2" t="n">
        <v>2.87834457334296</v>
      </c>
      <c r="E148" s="2" t="s">
        <v>1830</v>
      </c>
      <c r="F148" s="2" t="s">
        <v>522</v>
      </c>
      <c r="G148" s="2" t="s">
        <v>1831</v>
      </c>
      <c r="H148" s="2" t="s">
        <v>1832</v>
      </c>
      <c r="I148" s="2" t="s">
        <v>1833</v>
      </c>
      <c r="J148" s="2" t="s">
        <v>1834</v>
      </c>
      <c r="K148" s="2" t="s">
        <v>29</v>
      </c>
      <c r="L148" s="2" t="s">
        <v>29</v>
      </c>
      <c r="M148" s="2" t="s">
        <v>29</v>
      </c>
      <c r="N148" s="2" t="s">
        <v>1835</v>
      </c>
      <c r="O148" s="2" t="s">
        <v>1836</v>
      </c>
      <c r="P148" s="2" t="s">
        <v>1837</v>
      </c>
      <c r="Q148" s="2" t="s">
        <v>1838</v>
      </c>
      <c r="R148" s="2" t="s">
        <v>49</v>
      </c>
      <c r="S148" s="2" t="s">
        <v>165</v>
      </c>
      <c r="T148" s="2" t="s">
        <v>166</v>
      </c>
      <c r="U148" s="2" t="s">
        <v>29</v>
      </c>
      <c r="V148" s="2" t="n">
        <v>1</v>
      </c>
    </row>
    <row r="149">
      <c r="A149" s="2" t="n">
        <v>148</v>
      </c>
      <c r="B149" s="2" t="s">
        <v>1839</v>
      </c>
      <c r="C149" s="2" t="n">
        <v>197.025215857</v>
      </c>
      <c r="D149" s="2" t="n">
        <v>3.90008968774936</v>
      </c>
      <c r="E149" s="2" t="s">
        <v>1840</v>
      </c>
      <c r="F149" s="2" t="s">
        <v>110</v>
      </c>
      <c r="G149" s="2" t="s">
        <v>1841</v>
      </c>
      <c r="H149" s="2" t="s">
        <v>1842</v>
      </c>
      <c r="I149" s="2" t="s">
        <v>1843</v>
      </c>
      <c r="J149" s="2" t="s">
        <v>1844</v>
      </c>
      <c r="K149" s="2" t="s">
        <v>72</v>
      </c>
      <c r="L149" s="2" t="s">
        <v>1845</v>
      </c>
      <c r="M149" s="2" t="s">
        <v>1846</v>
      </c>
      <c r="N149" s="2" t="s">
        <v>1847</v>
      </c>
      <c r="O149" s="2" t="s">
        <v>1848</v>
      </c>
      <c r="P149" s="2" t="s">
        <v>1849</v>
      </c>
      <c r="Q149" s="2" t="s">
        <v>1850</v>
      </c>
      <c r="R149" s="2" t="s">
        <v>715</v>
      </c>
      <c r="S149" s="2" t="s">
        <v>1851</v>
      </c>
      <c r="T149" s="2" t="s">
        <v>1852</v>
      </c>
      <c r="U149" s="2" t="s">
        <v>39</v>
      </c>
      <c r="V149" s="2" t="n">
        <v>2</v>
      </c>
    </row>
    <row r="150">
      <c r="A150" s="2" t="n">
        <v>149</v>
      </c>
      <c r="B150" s="2" t="s">
        <v>1853</v>
      </c>
      <c r="C150" s="2" t="n">
        <v>197.11831844</v>
      </c>
      <c r="D150" s="2" t="n">
        <v>0.738737722818899</v>
      </c>
      <c r="E150" s="2" t="s">
        <v>1854</v>
      </c>
      <c r="F150" s="2" t="s">
        <v>110</v>
      </c>
      <c r="G150" s="2" t="s">
        <v>1855</v>
      </c>
      <c r="H150" s="2" t="s">
        <v>1856</v>
      </c>
      <c r="I150" s="2" t="s">
        <v>1857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1858</v>
      </c>
      <c r="O150" s="2" t="s">
        <v>29</v>
      </c>
      <c r="P150" s="2" t="s">
        <v>1859</v>
      </c>
      <c r="Q150" s="2" t="s">
        <v>1860</v>
      </c>
      <c r="R150" s="2" t="s">
        <v>49</v>
      </c>
      <c r="S150" s="2" t="s">
        <v>396</v>
      </c>
      <c r="T150" s="2" t="s">
        <v>1861</v>
      </c>
      <c r="U150" s="2" t="s">
        <v>29</v>
      </c>
      <c r="V150" s="2" t="n">
        <v>1</v>
      </c>
    </row>
    <row r="151">
      <c r="A151" s="2" t="n">
        <v>150</v>
      </c>
      <c r="B151" s="2" t="s">
        <v>1862</v>
      </c>
      <c r="C151" s="2" t="n">
        <v>198.030900413</v>
      </c>
      <c r="D151" s="2" t="n">
        <v>8.54840975071427</v>
      </c>
      <c r="E151" s="2" t="s">
        <v>1863</v>
      </c>
      <c r="F151" s="2" t="s">
        <v>110</v>
      </c>
      <c r="G151" s="2" t="s">
        <v>1864</v>
      </c>
      <c r="H151" s="2" t="s">
        <v>1865</v>
      </c>
      <c r="I151" s="2" t="s">
        <v>1866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1867</v>
      </c>
      <c r="O151" s="2" t="s">
        <v>29</v>
      </c>
      <c r="P151" s="2" t="s">
        <v>1868</v>
      </c>
      <c r="Q151" s="2" t="s">
        <v>1869</v>
      </c>
      <c r="R151" s="2" t="s">
        <v>502</v>
      </c>
      <c r="S151" s="2" t="s">
        <v>503</v>
      </c>
      <c r="T151" s="2" t="s">
        <v>504</v>
      </c>
      <c r="U151" s="2" t="s">
        <v>29</v>
      </c>
      <c r="V151" s="2" t="n">
        <v>1</v>
      </c>
    </row>
    <row r="152">
      <c r="A152" s="2" t="n">
        <v>151</v>
      </c>
      <c r="B152" s="2" t="s">
        <v>1870</v>
      </c>
      <c r="C152" s="2" t="n">
        <v>199.002358386</v>
      </c>
      <c r="D152" s="2" t="n">
        <v>1.2709245521795</v>
      </c>
      <c r="E152" s="2" t="s">
        <v>1871</v>
      </c>
      <c r="F152" s="2" t="s">
        <v>522</v>
      </c>
      <c r="G152" s="2" t="s">
        <v>1872</v>
      </c>
      <c r="H152" s="2" t="s">
        <v>1873</v>
      </c>
      <c r="I152" s="2" t="s">
        <v>1874</v>
      </c>
      <c r="J152" s="2" t="s">
        <v>1875</v>
      </c>
      <c r="K152" s="2" t="s">
        <v>72</v>
      </c>
      <c r="L152" s="2" t="s">
        <v>72</v>
      </c>
      <c r="M152" s="2" t="s">
        <v>72</v>
      </c>
      <c r="N152" s="2" t="s">
        <v>1876</v>
      </c>
      <c r="O152" s="2" t="s">
        <v>1877</v>
      </c>
      <c r="P152" s="2" t="s">
        <v>1878</v>
      </c>
      <c r="Q152" s="2" t="s">
        <v>1879</v>
      </c>
      <c r="R152" s="2" t="s">
        <v>715</v>
      </c>
      <c r="S152" s="2" t="s">
        <v>1880</v>
      </c>
      <c r="T152" s="2" t="s">
        <v>247</v>
      </c>
      <c r="U152" s="2" t="s">
        <v>29</v>
      </c>
      <c r="V152" s="2" t="n">
        <v>2</v>
      </c>
    </row>
    <row r="153">
      <c r="A153" s="2" t="n">
        <v>152</v>
      </c>
      <c r="B153" s="2" t="s">
        <v>1881</v>
      </c>
      <c r="C153" s="2" t="n">
        <v>199.133964198</v>
      </c>
      <c r="D153" s="2" t="n">
        <v>0.35106922015773</v>
      </c>
      <c r="E153" s="2" t="s">
        <v>1882</v>
      </c>
      <c r="F153" s="2" t="s">
        <v>24</v>
      </c>
      <c r="G153" s="2" t="s">
        <v>1883</v>
      </c>
      <c r="H153" s="2" t="s">
        <v>1884</v>
      </c>
      <c r="I153" s="2" t="s">
        <v>1885</v>
      </c>
      <c r="J153" s="2" t="s">
        <v>1886</v>
      </c>
      <c r="K153" s="2" t="s">
        <v>1887</v>
      </c>
      <c r="L153" s="2" t="s">
        <v>1888</v>
      </c>
      <c r="M153" s="2" t="s">
        <v>1889</v>
      </c>
      <c r="N153" s="2" t="s">
        <v>1890</v>
      </c>
      <c r="O153" s="2" t="s">
        <v>1891</v>
      </c>
      <c r="P153" s="2" t="s">
        <v>1892</v>
      </c>
      <c r="Q153" s="2" t="s">
        <v>1893</v>
      </c>
      <c r="R153" s="2" t="s">
        <v>105</v>
      </c>
      <c r="S153" s="2" t="s">
        <v>1614</v>
      </c>
      <c r="T153" s="2" t="s">
        <v>1615</v>
      </c>
      <c r="U153" s="2" t="s">
        <v>39</v>
      </c>
      <c r="V153" s="2" t="n">
        <v>3</v>
      </c>
    </row>
    <row r="154">
      <c r="A154" s="2" t="n">
        <v>153</v>
      </c>
      <c r="B154" s="2" t="s">
        <v>1894</v>
      </c>
      <c r="C154" s="2" t="n">
        <v>200.055896153</v>
      </c>
      <c r="D154" s="2" t="n">
        <v>4.5731395793499</v>
      </c>
      <c r="E154" s="2" t="s">
        <v>1895</v>
      </c>
      <c r="F154" s="2" t="s">
        <v>42</v>
      </c>
      <c r="G154" s="2" t="s">
        <v>1896</v>
      </c>
      <c r="H154" s="2" t="s">
        <v>1897</v>
      </c>
      <c r="I154" s="2" t="s">
        <v>1898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1899</v>
      </c>
      <c r="O154" s="2" t="s">
        <v>29</v>
      </c>
      <c r="P154" s="2" t="s">
        <v>1900</v>
      </c>
      <c r="Q154" s="2" t="s">
        <v>1901</v>
      </c>
      <c r="R154" s="2" t="s">
        <v>49</v>
      </c>
      <c r="S154" s="2" t="s">
        <v>165</v>
      </c>
      <c r="T154" s="2" t="s">
        <v>166</v>
      </c>
      <c r="U154" s="2" t="s">
        <v>29</v>
      </c>
      <c r="V154" s="2" t="n">
        <v>1</v>
      </c>
    </row>
    <row r="155">
      <c r="A155" s="2" t="n">
        <v>154</v>
      </c>
      <c r="B155" s="2" t="s">
        <v>1902</v>
      </c>
      <c r="C155" s="2" t="n">
        <v>201.113228756</v>
      </c>
      <c r="D155" s="2" t="n">
        <v>0.448273036327311</v>
      </c>
      <c r="E155" s="2" t="s">
        <v>1903</v>
      </c>
      <c r="F155" s="2" t="s">
        <v>24</v>
      </c>
      <c r="G155" s="2" t="s">
        <v>1904</v>
      </c>
      <c r="H155" s="2" t="s">
        <v>1905</v>
      </c>
      <c r="I155" s="2" t="s">
        <v>1906</v>
      </c>
      <c r="J155" s="2" t="s">
        <v>1907</v>
      </c>
      <c r="K155" s="2" t="s">
        <v>1908</v>
      </c>
      <c r="L155" s="2" t="s">
        <v>1909</v>
      </c>
      <c r="M155" s="2" t="s">
        <v>29</v>
      </c>
      <c r="N155" s="2" t="s">
        <v>1910</v>
      </c>
      <c r="O155" s="2" t="s">
        <v>1911</v>
      </c>
      <c r="P155" s="2" t="s">
        <v>1912</v>
      </c>
      <c r="Q155" s="2" t="s">
        <v>1913</v>
      </c>
      <c r="R155" s="2" t="s">
        <v>355</v>
      </c>
      <c r="S155" s="2" t="s">
        <v>1914</v>
      </c>
      <c r="T155" s="2" t="s">
        <v>1915</v>
      </c>
      <c r="U155" s="2" t="s">
        <v>39</v>
      </c>
      <c r="V155" s="2" t="n">
        <v>1</v>
      </c>
    </row>
    <row r="156">
      <c r="A156" s="2" t="n">
        <v>155</v>
      </c>
      <c r="B156" s="2" t="s">
        <v>1916</v>
      </c>
      <c r="C156" s="2" t="n">
        <v>201.989916982</v>
      </c>
      <c r="D156" s="2" t="n">
        <v>19.3787703323968</v>
      </c>
      <c r="E156" s="2" t="s">
        <v>1917</v>
      </c>
      <c r="F156" s="2" t="s">
        <v>522</v>
      </c>
      <c r="G156" s="2" t="s">
        <v>1918</v>
      </c>
      <c r="H156" s="2" t="s">
        <v>1919</v>
      </c>
      <c r="I156" s="2" t="s">
        <v>1920</v>
      </c>
      <c r="J156" s="2" t="s">
        <v>29</v>
      </c>
      <c r="K156" s="2" t="s">
        <v>29</v>
      </c>
      <c r="L156" s="2" t="s">
        <v>29</v>
      </c>
      <c r="M156" s="2" t="s">
        <v>1921</v>
      </c>
      <c r="N156" s="2" t="s">
        <v>29</v>
      </c>
      <c r="O156" s="2" t="s">
        <v>29</v>
      </c>
      <c r="P156" s="2" t="s">
        <v>1922</v>
      </c>
      <c r="Q156" s="2" t="s">
        <v>1923</v>
      </c>
      <c r="R156" s="2" t="s">
        <v>355</v>
      </c>
      <c r="S156" s="2" t="s">
        <v>466</v>
      </c>
      <c r="T156" s="2" t="s">
        <v>467</v>
      </c>
      <c r="U156" s="2" t="s">
        <v>29</v>
      </c>
      <c r="V156" s="2" t="n">
        <v>1</v>
      </c>
    </row>
    <row r="157">
      <c r="A157" s="2" t="n">
        <v>156</v>
      </c>
      <c r="B157" s="2" t="s">
        <v>1924</v>
      </c>
      <c r="C157" s="2" t="n">
        <v>202.009887088</v>
      </c>
      <c r="D157" s="2" t="n">
        <v>1.74208801373602</v>
      </c>
      <c r="E157" s="2" t="s">
        <v>1925</v>
      </c>
      <c r="F157" s="2" t="s">
        <v>522</v>
      </c>
      <c r="G157" s="2" t="s">
        <v>1926</v>
      </c>
      <c r="H157" s="2" t="s">
        <v>1927</v>
      </c>
      <c r="I157" s="2" t="s">
        <v>1928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1929</v>
      </c>
      <c r="O157" s="2" t="s">
        <v>29</v>
      </c>
      <c r="P157" s="2" t="s">
        <v>1930</v>
      </c>
      <c r="Q157" s="2" t="s">
        <v>1931</v>
      </c>
      <c r="R157" s="2" t="s">
        <v>502</v>
      </c>
      <c r="S157" s="2" t="s">
        <v>503</v>
      </c>
      <c r="T157" s="2" t="s">
        <v>1932</v>
      </c>
      <c r="U157" s="2" t="s">
        <v>29</v>
      </c>
      <c r="V157" s="2" t="n">
        <v>1</v>
      </c>
    </row>
    <row r="158">
      <c r="A158" s="2" t="n">
        <v>157</v>
      </c>
      <c r="B158" s="2" t="s">
        <v>1933</v>
      </c>
      <c r="C158" s="2" t="n">
        <v>203.0166579</v>
      </c>
      <c r="D158" s="2" t="n">
        <v>7.15648692472504</v>
      </c>
      <c r="E158" s="2" t="s">
        <v>1934</v>
      </c>
      <c r="F158" s="2" t="s">
        <v>522</v>
      </c>
      <c r="G158" s="2" t="s">
        <v>1935</v>
      </c>
      <c r="H158" s="2" t="s">
        <v>1936</v>
      </c>
      <c r="I158" s="2" t="s">
        <v>1937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1938</v>
      </c>
      <c r="O158" s="2" t="s">
        <v>29</v>
      </c>
      <c r="P158" s="2" t="s">
        <v>1939</v>
      </c>
      <c r="Q158" s="2" t="s">
        <v>1940</v>
      </c>
      <c r="R158" s="2" t="s">
        <v>203</v>
      </c>
      <c r="S158" s="2" t="s">
        <v>1941</v>
      </c>
      <c r="T158" s="2" t="s">
        <v>205</v>
      </c>
      <c r="U158" s="2" t="s">
        <v>29</v>
      </c>
      <c r="V158" s="2" t="n">
        <v>1</v>
      </c>
    </row>
    <row r="159">
      <c r="A159" s="2" t="n">
        <v>158</v>
      </c>
      <c r="B159" s="2" t="s">
        <v>1942</v>
      </c>
      <c r="C159" s="2" t="n">
        <v>203.085422622</v>
      </c>
      <c r="D159" s="2" t="n">
        <v>3.85197550235977</v>
      </c>
      <c r="E159" s="2" t="s">
        <v>1943</v>
      </c>
      <c r="F159" s="2" t="s">
        <v>42</v>
      </c>
      <c r="G159" s="2" t="s">
        <v>1944</v>
      </c>
      <c r="H159" s="2" t="s">
        <v>1945</v>
      </c>
      <c r="I159" s="2" t="s">
        <v>1946</v>
      </c>
      <c r="J159" s="2" t="s">
        <v>1947</v>
      </c>
      <c r="K159" s="2" t="s">
        <v>29</v>
      </c>
      <c r="L159" s="2" t="s">
        <v>1948</v>
      </c>
      <c r="M159" s="2" t="s">
        <v>1949</v>
      </c>
      <c r="N159" s="2" t="s">
        <v>1950</v>
      </c>
      <c r="O159" s="2" t="s">
        <v>1951</v>
      </c>
      <c r="P159" s="2" t="s">
        <v>1952</v>
      </c>
      <c r="Q159" s="2" t="s">
        <v>1953</v>
      </c>
      <c r="R159" s="2" t="s">
        <v>49</v>
      </c>
      <c r="S159" s="2" t="s">
        <v>165</v>
      </c>
      <c r="T159" s="2" t="s">
        <v>166</v>
      </c>
      <c r="U159" s="2" t="s">
        <v>39</v>
      </c>
      <c r="V159" s="2" t="n">
        <v>1</v>
      </c>
    </row>
    <row r="160">
      <c r="A160" s="2" t="n">
        <v>159</v>
      </c>
      <c r="B160" s="2" t="s">
        <v>1954</v>
      </c>
      <c r="C160" s="2" t="n">
        <v>203.9891514</v>
      </c>
      <c r="D160" s="2" t="n">
        <v>8.96856815860124</v>
      </c>
      <c r="E160" s="2" t="s">
        <v>1955</v>
      </c>
      <c r="F160" s="2" t="s">
        <v>110</v>
      </c>
      <c r="G160" s="2" t="s">
        <v>1956</v>
      </c>
      <c r="H160" s="2" t="s">
        <v>1957</v>
      </c>
      <c r="I160" s="2" t="s">
        <v>1958</v>
      </c>
      <c r="J160" s="2" t="s">
        <v>1959</v>
      </c>
      <c r="K160" s="2" t="s">
        <v>29</v>
      </c>
      <c r="L160" s="2" t="s">
        <v>29</v>
      </c>
      <c r="M160" s="2" t="s">
        <v>1960</v>
      </c>
      <c r="N160" s="2" t="s">
        <v>1961</v>
      </c>
      <c r="O160" s="2" t="s">
        <v>29</v>
      </c>
      <c r="P160" s="2" t="s">
        <v>1962</v>
      </c>
      <c r="Q160" s="2" t="s">
        <v>1963</v>
      </c>
      <c r="R160" s="2" t="s">
        <v>502</v>
      </c>
      <c r="S160" s="2" t="s">
        <v>503</v>
      </c>
      <c r="T160" s="2" t="s">
        <v>1964</v>
      </c>
      <c r="U160" s="2" t="s">
        <v>29</v>
      </c>
      <c r="V160" s="2" t="n">
        <v>1</v>
      </c>
    </row>
    <row r="161">
      <c r="A161" s="2" t="n">
        <v>160</v>
      </c>
      <c r="B161" s="2" t="s">
        <v>1965</v>
      </c>
      <c r="C161" s="2" t="n">
        <v>205.159789326</v>
      </c>
      <c r="D161" s="2" t="n">
        <v>0.689702176708904</v>
      </c>
      <c r="E161" s="2" t="s">
        <v>1966</v>
      </c>
      <c r="F161" s="2" t="s">
        <v>110</v>
      </c>
      <c r="G161" s="2" t="s">
        <v>1967</v>
      </c>
      <c r="H161" s="2" t="s">
        <v>1968</v>
      </c>
      <c r="I161" s="2" t="s">
        <v>1969</v>
      </c>
      <c r="J161" s="2" t="s">
        <v>1970</v>
      </c>
      <c r="K161" s="2" t="s">
        <v>226</v>
      </c>
      <c r="L161" s="2" t="s">
        <v>1971</v>
      </c>
      <c r="M161" s="2" t="s">
        <v>1972</v>
      </c>
      <c r="N161" s="2" t="s">
        <v>1973</v>
      </c>
      <c r="O161" s="2" t="s">
        <v>1974</v>
      </c>
      <c r="P161" s="2" t="s">
        <v>1975</v>
      </c>
      <c r="Q161" s="2" t="s">
        <v>1976</v>
      </c>
      <c r="R161" s="2" t="s">
        <v>1977</v>
      </c>
      <c r="S161" s="2" t="s">
        <v>1978</v>
      </c>
      <c r="T161" s="2" t="s">
        <v>1979</v>
      </c>
      <c r="U161" s="2" t="s">
        <v>39</v>
      </c>
      <c r="V161" s="2" t="n">
        <v>3</v>
      </c>
    </row>
    <row r="162">
      <c r="A162" s="2" t="n">
        <v>161</v>
      </c>
      <c r="B162" s="2" t="s">
        <v>1980</v>
      </c>
      <c r="C162" s="2" t="n">
        <v>206.937113614</v>
      </c>
      <c r="D162" s="2" t="n">
        <v>7.56333234562051</v>
      </c>
      <c r="E162" s="2" t="s">
        <v>1981</v>
      </c>
      <c r="F162" s="2" t="s">
        <v>250</v>
      </c>
      <c r="G162" s="2" t="s">
        <v>1982</v>
      </c>
      <c r="H162" s="2" t="s">
        <v>1983</v>
      </c>
      <c r="I162" s="2" t="s">
        <v>1984</v>
      </c>
      <c r="J162" s="2" t="s">
        <v>1985</v>
      </c>
      <c r="K162" s="2" t="s">
        <v>29</v>
      </c>
      <c r="L162" s="2" t="s">
        <v>1986</v>
      </c>
      <c r="M162" s="2" t="s">
        <v>1987</v>
      </c>
      <c r="N162" s="2" t="s">
        <v>1988</v>
      </c>
      <c r="O162" s="2" t="s">
        <v>29</v>
      </c>
      <c r="P162" s="2" t="s">
        <v>1989</v>
      </c>
      <c r="Q162" s="2" t="s">
        <v>1990</v>
      </c>
      <c r="R162" s="2" t="s">
        <v>49</v>
      </c>
      <c r="S162" s="2" t="s">
        <v>383</v>
      </c>
      <c r="T162" s="2" t="s">
        <v>384</v>
      </c>
      <c r="U162" s="2" t="s">
        <v>39</v>
      </c>
      <c r="V162" s="2" t="n">
        <v>1</v>
      </c>
    </row>
    <row r="163">
      <c r="A163" s="2" t="n">
        <v>162</v>
      </c>
      <c r="B163" s="2" t="s">
        <v>1991</v>
      </c>
      <c r="C163" s="2" t="n">
        <v>207.014641232</v>
      </c>
      <c r="D163" s="2" t="n">
        <v>2.46341489668376</v>
      </c>
      <c r="E163" s="2" t="s">
        <v>1992</v>
      </c>
      <c r="F163" s="2" t="s">
        <v>110</v>
      </c>
      <c r="G163" s="2" t="s">
        <v>1993</v>
      </c>
      <c r="H163" s="2" t="s">
        <v>1994</v>
      </c>
      <c r="I163" s="2" t="s">
        <v>1995</v>
      </c>
      <c r="J163" s="2" t="s">
        <v>1996</v>
      </c>
      <c r="K163" s="2" t="s">
        <v>29</v>
      </c>
      <c r="L163" s="2" t="s">
        <v>29</v>
      </c>
      <c r="M163" s="2" t="s">
        <v>29</v>
      </c>
      <c r="N163" s="2" t="s">
        <v>1997</v>
      </c>
      <c r="O163" s="2" t="s">
        <v>1998</v>
      </c>
      <c r="P163" s="2" t="s">
        <v>1999</v>
      </c>
      <c r="Q163" s="2" t="s">
        <v>2000</v>
      </c>
      <c r="R163" s="2" t="s">
        <v>49</v>
      </c>
      <c r="S163" s="2" t="s">
        <v>165</v>
      </c>
      <c r="T163" s="2" t="s">
        <v>2001</v>
      </c>
      <c r="U163" s="2" t="s">
        <v>29</v>
      </c>
      <c r="V163" s="2" t="n">
        <v>1</v>
      </c>
    </row>
    <row r="164">
      <c r="A164" s="2" t="n">
        <v>163</v>
      </c>
      <c r="B164" s="2" t="s">
        <v>2002</v>
      </c>
      <c r="C164" s="2" t="n">
        <v>208.061531845</v>
      </c>
      <c r="D164" s="2" t="n">
        <v>3.03698006936339</v>
      </c>
      <c r="E164" s="2" t="s">
        <v>2003</v>
      </c>
      <c r="F164" s="2" t="s">
        <v>110</v>
      </c>
      <c r="G164" s="2" t="s">
        <v>2004</v>
      </c>
      <c r="H164" s="2" t="s">
        <v>2005</v>
      </c>
      <c r="I164" s="2" t="s">
        <v>2006</v>
      </c>
      <c r="J164" s="2" t="s">
        <v>2007</v>
      </c>
      <c r="K164" s="2" t="s">
        <v>72</v>
      </c>
      <c r="L164" s="2" t="s">
        <v>2008</v>
      </c>
      <c r="M164" s="2" t="s">
        <v>2009</v>
      </c>
      <c r="N164" s="2" t="s">
        <v>2010</v>
      </c>
      <c r="O164" s="2" t="s">
        <v>2011</v>
      </c>
      <c r="P164" s="2" t="s">
        <v>2012</v>
      </c>
      <c r="Q164" s="2" t="s">
        <v>2013</v>
      </c>
      <c r="R164" s="2" t="s">
        <v>2014</v>
      </c>
      <c r="S164" s="2" t="s">
        <v>2015</v>
      </c>
      <c r="T164" s="2" t="s">
        <v>2016</v>
      </c>
      <c r="U164" s="2" t="s">
        <v>39</v>
      </c>
      <c r="V164" s="2" t="n">
        <v>2</v>
      </c>
    </row>
    <row r="165">
      <c r="A165" s="2" t="n">
        <v>164</v>
      </c>
      <c r="B165" s="2" t="s">
        <v>2017</v>
      </c>
      <c r="C165" s="2" t="n">
        <v>208.962303355</v>
      </c>
      <c r="D165" s="2" t="n">
        <v>1.46339698885044</v>
      </c>
      <c r="E165" s="2" t="s">
        <v>2018</v>
      </c>
      <c r="F165" s="2" t="s">
        <v>360</v>
      </c>
      <c r="G165" s="2" t="s">
        <v>2019</v>
      </c>
      <c r="H165" s="2" t="s">
        <v>2020</v>
      </c>
      <c r="I165" s="2" t="s">
        <v>2021</v>
      </c>
      <c r="J165" s="2" t="s">
        <v>2022</v>
      </c>
      <c r="K165" s="2" t="s">
        <v>72</v>
      </c>
      <c r="L165" s="2" t="s">
        <v>2023</v>
      </c>
      <c r="M165" s="2" t="s">
        <v>2024</v>
      </c>
      <c r="N165" s="2" t="s">
        <v>2025</v>
      </c>
      <c r="O165" s="2" t="s">
        <v>72</v>
      </c>
      <c r="P165" s="2" t="s">
        <v>2026</v>
      </c>
      <c r="Q165" s="2" t="s">
        <v>2027</v>
      </c>
      <c r="R165" s="2" t="s">
        <v>2028</v>
      </c>
      <c r="S165" s="2" t="s">
        <v>2029</v>
      </c>
      <c r="T165" s="2" t="s">
        <v>2030</v>
      </c>
      <c r="U165" s="2" t="s">
        <v>39</v>
      </c>
      <c r="V165" s="2" t="n">
        <v>2</v>
      </c>
    </row>
    <row r="166">
      <c r="A166" s="2" t="n">
        <v>165</v>
      </c>
      <c r="B166" s="2" t="s">
        <v>2031</v>
      </c>
      <c r="C166" s="2" t="n">
        <v>208.986708322</v>
      </c>
      <c r="D166" s="2" t="n">
        <v>4.79196305951813</v>
      </c>
      <c r="E166" s="2" t="s">
        <v>2032</v>
      </c>
      <c r="F166" s="2" t="s">
        <v>522</v>
      </c>
      <c r="G166" s="2" t="s">
        <v>2033</v>
      </c>
      <c r="H166" s="2" t="s">
        <v>2034</v>
      </c>
      <c r="I166" s="2" t="s">
        <v>2035</v>
      </c>
      <c r="J166" s="2" t="s">
        <v>2036</v>
      </c>
      <c r="K166" s="2" t="s">
        <v>29</v>
      </c>
      <c r="L166" s="2" t="s">
        <v>29</v>
      </c>
      <c r="M166" s="2" t="s">
        <v>29</v>
      </c>
      <c r="N166" s="2" t="s">
        <v>2037</v>
      </c>
      <c r="O166" s="2" t="s">
        <v>2038</v>
      </c>
      <c r="P166" s="2" t="s">
        <v>2039</v>
      </c>
      <c r="Q166" s="2" t="s">
        <v>2040</v>
      </c>
      <c r="R166" s="2" t="s">
        <v>355</v>
      </c>
      <c r="S166" s="2" t="s">
        <v>1713</v>
      </c>
      <c r="T166" s="2" t="s">
        <v>205</v>
      </c>
      <c r="U166" s="2" t="s">
        <v>29</v>
      </c>
      <c r="V166" s="2" t="n">
        <v>1</v>
      </c>
    </row>
    <row r="167">
      <c r="A167" s="2" t="n">
        <v>166</v>
      </c>
      <c r="B167" s="2" t="s">
        <v>2041</v>
      </c>
      <c r="C167" s="2" t="n">
        <v>209.061946377</v>
      </c>
      <c r="D167" s="2" t="n">
        <v>8.37452356596753</v>
      </c>
      <c r="E167" s="2" t="s">
        <v>2042</v>
      </c>
      <c r="F167" s="2" t="s">
        <v>110</v>
      </c>
      <c r="G167" s="2" t="s">
        <v>2043</v>
      </c>
      <c r="H167" s="2" t="s">
        <v>2044</v>
      </c>
      <c r="I167" s="2" t="s">
        <v>2045</v>
      </c>
      <c r="J167" s="2" t="s">
        <v>2046</v>
      </c>
      <c r="K167" s="2" t="s">
        <v>29</v>
      </c>
      <c r="L167" s="2" t="s">
        <v>29</v>
      </c>
      <c r="M167" s="2" t="s">
        <v>29</v>
      </c>
      <c r="N167" s="2" t="s">
        <v>2047</v>
      </c>
      <c r="O167" s="2" t="s">
        <v>29</v>
      </c>
      <c r="P167" s="2" t="s">
        <v>2048</v>
      </c>
      <c r="Q167" s="2" t="s">
        <v>2049</v>
      </c>
      <c r="R167" s="2" t="s">
        <v>64</v>
      </c>
      <c r="S167" s="2" t="s">
        <v>65</v>
      </c>
      <c r="T167" s="2" t="s">
        <v>91</v>
      </c>
      <c r="U167" s="2" t="s">
        <v>29</v>
      </c>
      <c r="V167" s="2" t="n">
        <v>1</v>
      </c>
    </row>
    <row r="168">
      <c r="A168" s="2" t="n">
        <v>167</v>
      </c>
      <c r="B168" s="2" t="s">
        <v>2050</v>
      </c>
      <c r="C168" s="2" t="n">
        <v>209.118318442</v>
      </c>
      <c r="D168" s="2" t="n">
        <v>3.72991893340508</v>
      </c>
      <c r="E168" s="2" t="s">
        <v>2051</v>
      </c>
      <c r="F168" s="2" t="s">
        <v>110</v>
      </c>
      <c r="G168" s="2" t="s">
        <v>2052</v>
      </c>
      <c r="H168" s="2" t="s">
        <v>2053</v>
      </c>
      <c r="I168" s="2" t="s">
        <v>2054</v>
      </c>
      <c r="J168" s="2" t="s">
        <v>72</v>
      </c>
      <c r="K168" s="2" t="s">
        <v>2055</v>
      </c>
      <c r="L168" s="2" t="s">
        <v>2056</v>
      </c>
      <c r="M168" s="2" t="s">
        <v>2057</v>
      </c>
      <c r="N168" s="2" t="s">
        <v>2058</v>
      </c>
      <c r="O168" s="2" t="s">
        <v>2059</v>
      </c>
      <c r="P168" s="2" t="s">
        <v>2060</v>
      </c>
      <c r="Q168" s="2" t="s">
        <v>2061</v>
      </c>
      <c r="R168" s="2" t="s">
        <v>575</v>
      </c>
      <c r="S168" s="2" t="s">
        <v>576</v>
      </c>
      <c r="T168" s="2" t="s">
        <v>2062</v>
      </c>
      <c r="U168" s="2" t="s">
        <v>39</v>
      </c>
      <c r="V168" s="2" t="n">
        <v>2</v>
      </c>
    </row>
    <row r="169">
      <c r="A169" s="2" t="n">
        <v>168</v>
      </c>
      <c r="B169" s="2" t="s">
        <v>2063</v>
      </c>
      <c r="C169" s="2" t="n">
        <v>210.040796403</v>
      </c>
      <c r="D169" s="2" t="n">
        <v>1.72247636731942</v>
      </c>
      <c r="E169" s="2" t="s">
        <v>2064</v>
      </c>
      <c r="F169" s="2" t="s">
        <v>110</v>
      </c>
      <c r="G169" s="2" t="s">
        <v>2065</v>
      </c>
      <c r="H169" s="2" t="s">
        <v>2066</v>
      </c>
      <c r="I169" s="2" t="s">
        <v>2067</v>
      </c>
      <c r="J169" s="2" t="s">
        <v>29</v>
      </c>
      <c r="K169" s="2" t="s">
        <v>29</v>
      </c>
      <c r="L169" s="2" t="s">
        <v>2068</v>
      </c>
      <c r="M169" s="2" t="s">
        <v>2069</v>
      </c>
      <c r="N169" s="2" t="s">
        <v>2070</v>
      </c>
      <c r="O169" s="2" t="s">
        <v>2071</v>
      </c>
      <c r="P169" s="2" t="s">
        <v>2072</v>
      </c>
      <c r="Q169" s="2" t="s">
        <v>2073</v>
      </c>
      <c r="R169" s="2" t="s">
        <v>49</v>
      </c>
      <c r="S169" s="2" t="s">
        <v>165</v>
      </c>
      <c r="T169" s="2" t="s">
        <v>166</v>
      </c>
      <c r="U169" s="2" t="s">
        <v>39</v>
      </c>
      <c r="V169" s="2" t="n">
        <v>1</v>
      </c>
    </row>
    <row r="170">
      <c r="A170" s="2" t="n">
        <v>169</v>
      </c>
      <c r="B170" s="2" t="s">
        <v>2074</v>
      </c>
      <c r="C170" s="2" t="n">
        <v>210.965042924</v>
      </c>
      <c r="D170" s="2" t="n">
        <v>0.297275473866437</v>
      </c>
      <c r="E170" s="2" t="s">
        <v>2075</v>
      </c>
      <c r="F170" s="2" t="s">
        <v>250</v>
      </c>
      <c r="G170" s="2" t="s">
        <v>2076</v>
      </c>
      <c r="H170" s="2" t="s">
        <v>2077</v>
      </c>
      <c r="I170" s="2" t="s">
        <v>2078</v>
      </c>
      <c r="J170" s="2" t="s">
        <v>2079</v>
      </c>
      <c r="K170" s="2" t="s">
        <v>226</v>
      </c>
      <c r="L170" s="2" t="s">
        <v>2080</v>
      </c>
      <c r="M170" s="2" t="s">
        <v>2081</v>
      </c>
      <c r="N170" s="2" t="s">
        <v>2082</v>
      </c>
      <c r="O170" s="2" t="s">
        <v>2083</v>
      </c>
      <c r="P170" s="2" t="s">
        <v>2084</v>
      </c>
      <c r="Q170" s="2" t="s">
        <v>2085</v>
      </c>
      <c r="R170" s="2" t="s">
        <v>2086</v>
      </c>
      <c r="S170" s="2" t="s">
        <v>2087</v>
      </c>
      <c r="T170" s="2" t="s">
        <v>2088</v>
      </c>
      <c r="U170" s="2" t="s">
        <v>39</v>
      </c>
      <c r="V170" s="2" t="n">
        <v>3</v>
      </c>
    </row>
    <row r="171">
      <c r="A171" s="2" t="n">
        <v>170</v>
      </c>
      <c r="B171" s="2" t="s">
        <v>2089</v>
      </c>
      <c r="C171" s="2" t="n">
        <v>211.001632689</v>
      </c>
      <c r="D171" s="2" t="n">
        <v>0.551608764909364</v>
      </c>
      <c r="E171" s="2" t="s">
        <v>2090</v>
      </c>
      <c r="F171" s="2" t="s">
        <v>42</v>
      </c>
      <c r="G171" s="2" t="s">
        <v>2091</v>
      </c>
      <c r="H171" s="2" t="s">
        <v>2092</v>
      </c>
      <c r="I171" s="2" t="s">
        <v>2093</v>
      </c>
      <c r="J171" s="2" t="s">
        <v>2094</v>
      </c>
      <c r="K171" s="2" t="s">
        <v>29</v>
      </c>
      <c r="L171" s="2" t="s">
        <v>2095</v>
      </c>
      <c r="M171" s="2" t="s">
        <v>2096</v>
      </c>
      <c r="N171" s="2" t="s">
        <v>2097</v>
      </c>
      <c r="O171" s="2" t="s">
        <v>2098</v>
      </c>
      <c r="P171" s="2" t="s">
        <v>2099</v>
      </c>
      <c r="Q171" s="2" t="s">
        <v>2100</v>
      </c>
      <c r="R171" s="2" t="s">
        <v>1505</v>
      </c>
      <c r="S171" s="2" t="s">
        <v>1506</v>
      </c>
      <c r="T171" s="2" t="s">
        <v>205</v>
      </c>
      <c r="U171" s="2" t="s">
        <v>39</v>
      </c>
      <c r="V171" s="2" t="n">
        <v>1</v>
      </c>
    </row>
    <row r="172">
      <c r="A172" s="2" t="n">
        <v>171</v>
      </c>
      <c r="B172" s="2" t="s">
        <v>2101</v>
      </c>
      <c r="C172" s="2" t="n">
        <v>211.133968506</v>
      </c>
      <c r="D172" s="2" t="n">
        <v>0.0667762337902944</v>
      </c>
      <c r="E172" s="2" t="s">
        <v>2102</v>
      </c>
      <c r="F172" s="2" t="s">
        <v>110</v>
      </c>
      <c r="G172" s="2" t="s">
        <v>2103</v>
      </c>
      <c r="H172" s="2" t="s">
        <v>2104</v>
      </c>
      <c r="I172" s="2" t="s">
        <v>2105</v>
      </c>
      <c r="J172" s="2" t="s">
        <v>2106</v>
      </c>
      <c r="K172" s="2" t="s">
        <v>2107</v>
      </c>
      <c r="L172" s="2" t="s">
        <v>2108</v>
      </c>
      <c r="M172" s="2" t="s">
        <v>2109</v>
      </c>
      <c r="N172" s="2" t="s">
        <v>2110</v>
      </c>
      <c r="O172" s="2" t="s">
        <v>2111</v>
      </c>
      <c r="P172" s="2" t="s">
        <v>2112</v>
      </c>
      <c r="Q172" s="2" t="s">
        <v>2113</v>
      </c>
      <c r="R172" s="2" t="s">
        <v>1490</v>
      </c>
      <c r="S172" s="2" t="s">
        <v>1491</v>
      </c>
      <c r="T172" s="2" t="s">
        <v>1492</v>
      </c>
      <c r="U172" s="2" t="s">
        <v>39</v>
      </c>
      <c r="V172" s="2" t="n">
        <v>1</v>
      </c>
    </row>
    <row r="173">
      <c r="A173" s="2" t="n">
        <v>172</v>
      </c>
      <c r="B173" s="2" t="s">
        <v>2114</v>
      </c>
      <c r="C173" s="2" t="n">
        <v>212.990557208</v>
      </c>
      <c r="D173" s="2" t="n">
        <v>6.77660700429034</v>
      </c>
      <c r="E173" s="2" t="s">
        <v>2115</v>
      </c>
      <c r="F173" s="2" t="s">
        <v>110</v>
      </c>
      <c r="G173" s="2" t="s">
        <v>2116</v>
      </c>
      <c r="H173" s="2" t="s">
        <v>2117</v>
      </c>
      <c r="I173" s="2" t="s">
        <v>2118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2119</v>
      </c>
      <c r="Q173" s="2" t="s">
        <v>2120</v>
      </c>
      <c r="R173" s="2" t="s">
        <v>638</v>
      </c>
      <c r="S173" s="2" t="s">
        <v>2121</v>
      </c>
      <c r="T173" s="2" t="s">
        <v>205</v>
      </c>
      <c r="U173" s="2" t="s">
        <v>29</v>
      </c>
      <c r="V173" s="2" t="n">
        <v>1</v>
      </c>
    </row>
    <row r="174">
      <c r="A174" s="2" t="n">
        <v>173</v>
      </c>
      <c r="B174" s="2" t="s">
        <v>2122</v>
      </c>
      <c r="C174" s="2" t="n">
        <v>214.0211202</v>
      </c>
      <c r="D174" s="2" t="n">
        <v>0.100718198071102</v>
      </c>
      <c r="E174" s="2" t="s">
        <v>2123</v>
      </c>
      <c r="F174" s="2" t="s">
        <v>110</v>
      </c>
      <c r="G174" s="2" t="s">
        <v>2124</v>
      </c>
      <c r="H174" s="2" t="s">
        <v>2125</v>
      </c>
      <c r="I174" s="2" t="s">
        <v>2126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2127</v>
      </c>
      <c r="Q174" s="2" t="s">
        <v>2128</v>
      </c>
      <c r="R174" s="2" t="s">
        <v>203</v>
      </c>
      <c r="S174" s="2" t="s">
        <v>1352</v>
      </c>
      <c r="T174" s="2" t="s">
        <v>2129</v>
      </c>
      <c r="U174" s="2" t="s">
        <v>29</v>
      </c>
      <c r="V174" s="2" t="n">
        <v>1</v>
      </c>
    </row>
    <row r="175">
      <c r="A175" s="2" t="n">
        <v>174</v>
      </c>
      <c r="B175" s="2" t="s">
        <v>2130</v>
      </c>
      <c r="C175" s="2" t="n">
        <v>214.046394086</v>
      </c>
      <c r="D175" s="2" t="n">
        <v>1.2502288086081</v>
      </c>
      <c r="E175" s="2" t="s">
        <v>2131</v>
      </c>
      <c r="F175" s="2" t="s">
        <v>42</v>
      </c>
      <c r="G175" s="2" t="s">
        <v>2132</v>
      </c>
      <c r="H175" s="2" t="s">
        <v>2133</v>
      </c>
      <c r="I175" s="2" t="s">
        <v>2134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2135</v>
      </c>
      <c r="O175" s="2" t="s">
        <v>29</v>
      </c>
      <c r="P175" s="2" t="s">
        <v>2136</v>
      </c>
      <c r="Q175" s="2" t="s">
        <v>2137</v>
      </c>
      <c r="R175" s="2" t="s">
        <v>49</v>
      </c>
      <c r="S175" s="2" t="s">
        <v>165</v>
      </c>
      <c r="T175" s="2" t="s">
        <v>166</v>
      </c>
      <c r="U175" s="2" t="s">
        <v>29</v>
      </c>
      <c r="V175" s="2" t="n">
        <v>1</v>
      </c>
    </row>
    <row r="176">
      <c r="A176" s="2" t="n">
        <v>175</v>
      </c>
      <c r="B176" s="2" t="s">
        <v>2138</v>
      </c>
      <c r="C176" s="2" t="n">
        <v>214.9883382</v>
      </c>
      <c r="D176" s="2" t="n">
        <v>2.53721256026245</v>
      </c>
      <c r="E176" s="2" t="s">
        <v>2139</v>
      </c>
      <c r="F176" s="2" t="s">
        <v>1019</v>
      </c>
      <c r="G176" s="2" t="s">
        <v>2140</v>
      </c>
      <c r="H176" s="2" t="s">
        <v>2141</v>
      </c>
      <c r="I176" s="2" t="s">
        <v>2142</v>
      </c>
      <c r="J176" s="2" t="s">
        <v>2143</v>
      </c>
      <c r="K176" s="2" t="s">
        <v>72</v>
      </c>
      <c r="L176" s="2" t="s">
        <v>72</v>
      </c>
      <c r="M176" s="2" t="s">
        <v>72</v>
      </c>
      <c r="N176" s="2" t="s">
        <v>2144</v>
      </c>
      <c r="O176" s="2" t="s">
        <v>72</v>
      </c>
      <c r="P176" s="2" t="s">
        <v>2145</v>
      </c>
      <c r="Q176" s="2" t="s">
        <v>2146</v>
      </c>
      <c r="R176" s="2" t="s">
        <v>715</v>
      </c>
      <c r="S176" s="2" t="s">
        <v>2147</v>
      </c>
      <c r="T176" s="2" t="s">
        <v>2148</v>
      </c>
      <c r="U176" s="2" t="s">
        <v>29</v>
      </c>
      <c r="V176" s="2" t="n">
        <v>2</v>
      </c>
    </row>
    <row r="177">
      <c r="A177" s="2" t="n">
        <v>176</v>
      </c>
      <c r="B177" s="2" t="s">
        <v>2149</v>
      </c>
      <c r="C177" s="2" t="n">
        <v>215.011660744</v>
      </c>
      <c r="D177" s="2" t="n">
        <v>2.09552748965513</v>
      </c>
      <c r="E177" s="2" t="s">
        <v>2150</v>
      </c>
      <c r="F177" s="2" t="s">
        <v>522</v>
      </c>
      <c r="G177" s="2" t="s">
        <v>2151</v>
      </c>
      <c r="H177" s="2" t="s">
        <v>2152</v>
      </c>
      <c r="I177" s="2" t="s">
        <v>2153</v>
      </c>
      <c r="J177" s="2" t="s">
        <v>2154</v>
      </c>
      <c r="K177" s="2" t="s">
        <v>226</v>
      </c>
      <c r="L177" s="2" t="s">
        <v>2155</v>
      </c>
      <c r="M177" s="2" t="s">
        <v>2156</v>
      </c>
      <c r="N177" s="2" t="s">
        <v>2157</v>
      </c>
      <c r="O177" s="2" t="s">
        <v>2158</v>
      </c>
      <c r="P177" s="2" t="s">
        <v>2159</v>
      </c>
      <c r="Q177" s="2" t="s">
        <v>2160</v>
      </c>
      <c r="R177" s="2" t="s">
        <v>2161</v>
      </c>
      <c r="S177" s="2" t="s">
        <v>2162</v>
      </c>
      <c r="T177" s="2" t="s">
        <v>2163</v>
      </c>
      <c r="U177" s="2" t="s">
        <v>39</v>
      </c>
      <c r="V177" s="2" t="n">
        <v>3</v>
      </c>
    </row>
    <row r="178">
      <c r="A178" s="2" t="n">
        <v>177</v>
      </c>
      <c r="B178" s="2" t="s">
        <v>2164</v>
      </c>
      <c r="C178" s="2" t="n">
        <v>216.0069051</v>
      </c>
      <c r="D178" s="2" t="n">
        <v>5.20989957578904</v>
      </c>
      <c r="E178" s="2" t="s">
        <v>2165</v>
      </c>
      <c r="F178" s="2" t="s">
        <v>24</v>
      </c>
      <c r="G178" s="2" t="s">
        <v>2166</v>
      </c>
      <c r="H178" s="2" t="s">
        <v>2167</v>
      </c>
      <c r="I178" s="2" t="s">
        <v>2168</v>
      </c>
      <c r="J178" s="2" t="s">
        <v>2169</v>
      </c>
      <c r="K178" s="2" t="s">
        <v>29</v>
      </c>
      <c r="L178" s="2" t="s">
        <v>29</v>
      </c>
      <c r="M178" s="2" t="s">
        <v>2170</v>
      </c>
      <c r="N178" s="2" t="s">
        <v>2171</v>
      </c>
      <c r="O178" s="2" t="s">
        <v>29</v>
      </c>
      <c r="P178" s="2" t="s">
        <v>2172</v>
      </c>
      <c r="Q178" s="2" t="s">
        <v>2173</v>
      </c>
      <c r="R178" s="2" t="s">
        <v>502</v>
      </c>
      <c r="S178" s="2" t="s">
        <v>503</v>
      </c>
      <c r="T178" s="2" t="s">
        <v>2174</v>
      </c>
      <c r="U178" s="2" t="s">
        <v>29</v>
      </c>
      <c r="V178" s="2" t="n">
        <v>1</v>
      </c>
    </row>
    <row r="179">
      <c r="A179" s="2" t="n">
        <v>178</v>
      </c>
      <c r="B179" s="2" t="s">
        <v>2175</v>
      </c>
      <c r="C179" s="2" t="n">
        <v>216.9110147</v>
      </c>
      <c r="D179" s="2" t="n">
        <v>2.29119405335595</v>
      </c>
      <c r="E179" s="2" t="s">
        <v>2176</v>
      </c>
      <c r="F179" s="2" t="s">
        <v>522</v>
      </c>
      <c r="G179" s="2" t="s">
        <v>2177</v>
      </c>
      <c r="H179" s="2" t="s">
        <v>2178</v>
      </c>
      <c r="I179" s="2" t="s">
        <v>2179</v>
      </c>
      <c r="J179" s="2" t="s">
        <v>2180</v>
      </c>
      <c r="K179" s="2" t="s">
        <v>29</v>
      </c>
      <c r="L179" s="2" t="s">
        <v>29</v>
      </c>
      <c r="M179" s="2" t="s">
        <v>29</v>
      </c>
      <c r="N179" s="2" t="s">
        <v>2181</v>
      </c>
      <c r="O179" s="2" t="s">
        <v>29</v>
      </c>
      <c r="P179" s="2" t="s">
        <v>2182</v>
      </c>
      <c r="Q179" s="2" t="s">
        <v>2183</v>
      </c>
      <c r="R179" s="2" t="s">
        <v>203</v>
      </c>
      <c r="S179" s="2" t="s">
        <v>2184</v>
      </c>
      <c r="T179" s="2" t="s">
        <v>2185</v>
      </c>
      <c r="U179" s="2" t="s">
        <v>29</v>
      </c>
      <c r="V179" s="2" t="n">
        <v>1</v>
      </c>
    </row>
    <row r="180">
      <c r="A180" s="2" t="n">
        <v>179</v>
      </c>
      <c r="B180" s="2" t="s">
        <v>2186</v>
      </c>
      <c r="C180" s="2" t="n">
        <v>216.972479922</v>
      </c>
      <c r="D180" s="2" t="n">
        <v>17.9052824371074</v>
      </c>
      <c r="E180" s="2" t="s">
        <v>2187</v>
      </c>
      <c r="F180" s="2" t="s">
        <v>110</v>
      </c>
      <c r="G180" s="2" t="s">
        <v>2188</v>
      </c>
      <c r="H180" s="2" t="s">
        <v>2189</v>
      </c>
      <c r="I180" s="2" t="s">
        <v>2190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2191</v>
      </c>
      <c r="Q180" s="2" t="s">
        <v>2192</v>
      </c>
      <c r="R180" s="2" t="s">
        <v>355</v>
      </c>
      <c r="S180" s="2" t="s">
        <v>2193</v>
      </c>
      <c r="T180" s="2" t="s">
        <v>205</v>
      </c>
      <c r="U180" s="2" t="s">
        <v>29</v>
      </c>
      <c r="V180" s="2" t="n">
        <v>1</v>
      </c>
    </row>
    <row r="181">
      <c r="A181" s="2" t="n">
        <v>180</v>
      </c>
      <c r="B181" s="2" t="s">
        <v>2194</v>
      </c>
      <c r="C181" s="2" t="n">
        <v>217.981302393</v>
      </c>
      <c r="D181" s="2" t="n">
        <v>6.48371033894218</v>
      </c>
      <c r="E181" s="2" t="s">
        <v>2195</v>
      </c>
      <c r="F181" s="2" t="s">
        <v>522</v>
      </c>
      <c r="G181" s="2" t="s">
        <v>2196</v>
      </c>
      <c r="H181" s="2" t="s">
        <v>2197</v>
      </c>
      <c r="I181" s="2" t="s">
        <v>2198</v>
      </c>
      <c r="J181" s="2" t="s">
        <v>2199</v>
      </c>
      <c r="K181" s="2" t="s">
        <v>29</v>
      </c>
      <c r="L181" s="2" t="s">
        <v>2200</v>
      </c>
      <c r="M181" s="2" t="s">
        <v>2201</v>
      </c>
      <c r="N181" s="2" t="s">
        <v>2202</v>
      </c>
      <c r="O181" s="2" t="s">
        <v>2203</v>
      </c>
      <c r="P181" s="2" t="s">
        <v>2204</v>
      </c>
      <c r="Q181" s="2" t="s">
        <v>2205</v>
      </c>
      <c r="R181" s="2" t="s">
        <v>1505</v>
      </c>
      <c r="S181" s="2" t="s">
        <v>1506</v>
      </c>
      <c r="T181" s="2" t="s">
        <v>205</v>
      </c>
      <c r="U181" s="2" t="s">
        <v>39</v>
      </c>
      <c r="V181" s="2" t="n">
        <v>1</v>
      </c>
    </row>
    <row r="182">
      <c r="A182" s="2" t="n">
        <v>181</v>
      </c>
      <c r="B182" s="2" t="s">
        <v>2206</v>
      </c>
      <c r="C182" s="2" t="n">
        <v>218.041854717</v>
      </c>
      <c r="D182" s="2" t="n">
        <v>5.64339354633979</v>
      </c>
      <c r="E182" s="2" t="s">
        <v>2207</v>
      </c>
      <c r="F182" s="2" t="s">
        <v>24</v>
      </c>
      <c r="G182" s="2" t="s">
        <v>2208</v>
      </c>
      <c r="H182" s="2" t="s">
        <v>2209</v>
      </c>
      <c r="I182" s="2" t="s">
        <v>2210</v>
      </c>
      <c r="J182" s="2" t="s">
        <v>72</v>
      </c>
      <c r="K182" s="2" t="s">
        <v>72</v>
      </c>
      <c r="L182" s="2" t="s">
        <v>72</v>
      </c>
      <c r="M182" s="2" t="s">
        <v>72</v>
      </c>
      <c r="N182" s="2" t="s">
        <v>2211</v>
      </c>
      <c r="O182" s="2" t="s">
        <v>72</v>
      </c>
      <c r="P182" s="2" t="s">
        <v>2212</v>
      </c>
      <c r="Q182" s="2" t="s">
        <v>2213</v>
      </c>
      <c r="R182" s="2" t="s">
        <v>715</v>
      </c>
      <c r="S182" s="2" t="s">
        <v>716</v>
      </c>
      <c r="T182" s="2" t="s">
        <v>717</v>
      </c>
      <c r="U182" s="2" t="s">
        <v>29</v>
      </c>
      <c r="V182" s="2" t="n">
        <v>2</v>
      </c>
    </row>
    <row r="183">
      <c r="A183" s="2" t="n">
        <v>182</v>
      </c>
      <c r="B183" s="2" t="s">
        <v>2214</v>
      </c>
      <c r="C183" s="2" t="n">
        <v>218.103392351</v>
      </c>
      <c r="D183" s="2" t="n">
        <v>1.38799638413769</v>
      </c>
      <c r="E183" s="2" t="s">
        <v>2215</v>
      </c>
      <c r="F183" s="2" t="s">
        <v>24</v>
      </c>
      <c r="G183" s="2" t="s">
        <v>2216</v>
      </c>
      <c r="H183" s="2" t="s">
        <v>2217</v>
      </c>
      <c r="I183" s="2" t="s">
        <v>2218</v>
      </c>
      <c r="J183" s="2" t="s">
        <v>2219</v>
      </c>
      <c r="K183" s="2" t="s">
        <v>29</v>
      </c>
      <c r="L183" s="2" t="s">
        <v>2220</v>
      </c>
      <c r="M183" s="2" t="s">
        <v>2221</v>
      </c>
      <c r="N183" s="2" t="s">
        <v>2222</v>
      </c>
      <c r="O183" s="2" t="s">
        <v>2223</v>
      </c>
      <c r="P183" s="2" t="s">
        <v>2224</v>
      </c>
      <c r="Q183" s="2" t="s">
        <v>2225</v>
      </c>
      <c r="R183" s="2" t="s">
        <v>49</v>
      </c>
      <c r="S183" s="2" t="s">
        <v>165</v>
      </c>
      <c r="T183" s="2" t="s">
        <v>166</v>
      </c>
      <c r="U183" s="2" t="s">
        <v>39</v>
      </c>
      <c r="V183" s="2" t="n">
        <v>1</v>
      </c>
    </row>
    <row r="184">
      <c r="A184" s="2" t="n">
        <v>183</v>
      </c>
      <c r="B184" s="2" t="s">
        <v>2226</v>
      </c>
      <c r="C184" s="2" t="n">
        <v>218.166271688</v>
      </c>
      <c r="D184" s="2" t="n">
        <v>6.720550842303</v>
      </c>
      <c r="E184" s="2" t="s">
        <v>2227</v>
      </c>
      <c r="F184" s="2" t="s">
        <v>110</v>
      </c>
      <c r="G184" s="2" t="s">
        <v>2228</v>
      </c>
      <c r="H184" s="2" t="s">
        <v>2229</v>
      </c>
      <c r="I184" s="2" t="s">
        <v>2230</v>
      </c>
      <c r="J184" s="2" t="s">
        <v>29</v>
      </c>
      <c r="K184" s="2" t="s">
        <v>29</v>
      </c>
      <c r="L184" s="2" t="s">
        <v>29</v>
      </c>
      <c r="M184" s="2" t="s">
        <v>2231</v>
      </c>
      <c r="N184" s="2" t="s">
        <v>2232</v>
      </c>
      <c r="O184" s="2" t="s">
        <v>29</v>
      </c>
      <c r="P184" s="2" t="s">
        <v>2233</v>
      </c>
      <c r="Q184" s="2" t="s">
        <v>2234</v>
      </c>
      <c r="R184" s="2" t="s">
        <v>36</v>
      </c>
      <c r="S184" s="2" t="s">
        <v>37</v>
      </c>
      <c r="T184" s="2" t="s">
        <v>679</v>
      </c>
      <c r="U184" s="2" t="s">
        <v>29</v>
      </c>
      <c r="V184" s="2" t="n">
        <v>1</v>
      </c>
    </row>
    <row r="185">
      <c r="A185" s="2" t="n">
        <v>184</v>
      </c>
      <c r="B185" s="2" t="s">
        <v>2235</v>
      </c>
      <c r="C185" s="2" t="n">
        <v>219.051813818</v>
      </c>
      <c r="D185" s="2" t="n">
        <v>1.34559499893158</v>
      </c>
      <c r="E185" s="2" t="s">
        <v>2236</v>
      </c>
      <c r="F185" s="2" t="s">
        <v>42</v>
      </c>
      <c r="G185" s="2" t="s">
        <v>2237</v>
      </c>
      <c r="H185" s="2" t="s">
        <v>2238</v>
      </c>
      <c r="I185" s="2" t="s">
        <v>2239</v>
      </c>
      <c r="J185" s="2" t="s">
        <v>2240</v>
      </c>
      <c r="K185" s="2" t="s">
        <v>72</v>
      </c>
      <c r="L185" s="2" t="s">
        <v>72</v>
      </c>
      <c r="M185" s="2" t="s">
        <v>72</v>
      </c>
      <c r="N185" s="2" t="s">
        <v>2241</v>
      </c>
      <c r="O185" s="2" t="s">
        <v>72</v>
      </c>
      <c r="P185" s="2" t="s">
        <v>2242</v>
      </c>
      <c r="Q185" s="2" t="s">
        <v>2243</v>
      </c>
      <c r="R185" s="2" t="s">
        <v>537</v>
      </c>
      <c r="S185" s="2" t="s">
        <v>2244</v>
      </c>
      <c r="T185" s="2" t="s">
        <v>2245</v>
      </c>
      <c r="U185" s="2" t="s">
        <v>29</v>
      </c>
      <c r="V185" s="2" t="n">
        <v>2</v>
      </c>
    </row>
    <row r="186">
      <c r="A186" s="2" t="n">
        <v>185</v>
      </c>
      <c r="B186" s="2" t="s">
        <v>2246</v>
      </c>
      <c r="C186" s="2" t="n">
        <v>219.17543939</v>
      </c>
      <c r="D186" s="2" t="n">
        <v>0.566208012375347</v>
      </c>
      <c r="E186" s="2" t="s">
        <v>2247</v>
      </c>
      <c r="F186" s="2" t="s">
        <v>110</v>
      </c>
      <c r="G186" s="2" t="s">
        <v>2248</v>
      </c>
      <c r="H186" s="2" t="s">
        <v>2249</v>
      </c>
      <c r="I186" s="2" t="s">
        <v>2250</v>
      </c>
      <c r="J186" s="2" t="s">
        <v>2251</v>
      </c>
      <c r="K186" s="2" t="s">
        <v>2252</v>
      </c>
      <c r="L186" s="2" t="s">
        <v>2253</v>
      </c>
      <c r="M186" s="2" t="s">
        <v>2254</v>
      </c>
      <c r="N186" s="2" t="s">
        <v>2255</v>
      </c>
      <c r="O186" s="2" t="s">
        <v>2256</v>
      </c>
      <c r="P186" s="2" t="s">
        <v>2257</v>
      </c>
      <c r="Q186" s="2" t="s">
        <v>2258</v>
      </c>
      <c r="R186" s="2" t="s">
        <v>2259</v>
      </c>
      <c r="S186" s="2" t="s">
        <v>2260</v>
      </c>
      <c r="T186" s="2" t="s">
        <v>2261</v>
      </c>
      <c r="U186" s="2" t="s">
        <v>39</v>
      </c>
      <c r="V186" s="2" t="n">
        <v>3</v>
      </c>
    </row>
    <row r="187">
      <c r="A187" s="2" t="n">
        <v>186</v>
      </c>
      <c r="B187" s="2" t="s">
        <v>2262</v>
      </c>
      <c r="C187" s="2" t="n">
        <v>221.152297012</v>
      </c>
      <c r="D187" s="2" t="n">
        <v>5.74421438557546</v>
      </c>
      <c r="E187" s="2" t="s">
        <v>2263</v>
      </c>
      <c r="F187" s="2" t="s">
        <v>360</v>
      </c>
      <c r="G187" s="2" t="s">
        <v>2264</v>
      </c>
      <c r="H187" s="2" t="s">
        <v>2265</v>
      </c>
      <c r="I187" s="2" t="s">
        <v>2266</v>
      </c>
      <c r="J187" s="2" t="s">
        <v>2267</v>
      </c>
      <c r="K187" s="2" t="s">
        <v>2268</v>
      </c>
      <c r="L187" s="2" t="s">
        <v>2269</v>
      </c>
      <c r="M187" s="2" t="s">
        <v>2270</v>
      </c>
      <c r="N187" s="2" t="s">
        <v>2271</v>
      </c>
      <c r="O187" s="2" t="s">
        <v>2272</v>
      </c>
      <c r="P187" s="2" t="s">
        <v>2273</v>
      </c>
      <c r="Q187" s="2" t="s">
        <v>2274</v>
      </c>
      <c r="R187" s="2" t="s">
        <v>1490</v>
      </c>
      <c r="S187" s="2" t="s">
        <v>1491</v>
      </c>
      <c r="T187" s="2" t="s">
        <v>1492</v>
      </c>
      <c r="U187" s="2" t="s">
        <v>39</v>
      </c>
      <c r="V187" s="2" t="n">
        <v>1</v>
      </c>
    </row>
    <row r="188">
      <c r="A188" s="2" t="n">
        <v>187</v>
      </c>
      <c r="B188" s="2" t="s">
        <v>2275</v>
      </c>
      <c r="C188" s="2" t="n">
        <v>225.026070008</v>
      </c>
      <c r="D188" s="2" t="n">
        <v>2.98293359551421</v>
      </c>
      <c r="E188" s="2" t="s">
        <v>2276</v>
      </c>
      <c r="F188" s="2" t="s">
        <v>24</v>
      </c>
      <c r="G188" s="2" t="s">
        <v>2277</v>
      </c>
      <c r="H188" s="2" t="s">
        <v>2278</v>
      </c>
      <c r="I188" s="2" t="s">
        <v>2279</v>
      </c>
      <c r="J188" s="2" t="s">
        <v>2280</v>
      </c>
      <c r="K188" s="2" t="s">
        <v>226</v>
      </c>
      <c r="L188" s="2" t="s">
        <v>226</v>
      </c>
      <c r="M188" s="2" t="s">
        <v>226</v>
      </c>
      <c r="N188" s="2" t="s">
        <v>2281</v>
      </c>
      <c r="O188" s="2" t="s">
        <v>2282</v>
      </c>
      <c r="P188" s="2" t="s">
        <v>2283</v>
      </c>
      <c r="Q188" s="2" t="s">
        <v>2284</v>
      </c>
      <c r="R188" s="2" t="s">
        <v>2285</v>
      </c>
      <c r="S188" s="2" t="s">
        <v>2286</v>
      </c>
      <c r="T188" s="2" t="s">
        <v>2287</v>
      </c>
      <c r="U188" s="2" t="s">
        <v>29</v>
      </c>
      <c r="V188" s="2" t="n">
        <v>3</v>
      </c>
    </row>
    <row r="189">
      <c r="A189" s="2" t="n">
        <v>188</v>
      </c>
      <c r="B189" s="2" t="s">
        <v>2288</v>
      </c>
      <c r="C189" s="2" t="n">
        <v>225.14961857</v>
      </c>
      <c r="D189" s="2" t="n">
        <v>0.174768313103398</v>
      </c>
      <c r="E189" s="2" t="s">
        <v>2289</v>
      </c>
      <c r="F189" s="2" t="s">
        <v>110</v>
      </c>
      <c r="G189" s="2" t="s">
        <v>2290</v>
      </c>
      <c r="H189" s="2" t="s">
        <v>2291</v>
      </c>
      <c r="I189" s="2" t="s">
        <v>2292</v>
      </c>
      <c r="J189" s="2" t="s">
        <v>2293</v>
      </c>
      <c r="K189" s="2" t="s">
        <v>226</v>
      </c>
      <c r="L189" s="2" t="s">
        <v>226</v>
      </c>
      <c r="M189" s="2" t="s">
        <v>2294</v>
      </c>
      <c r="N189" s="2" t="s">
        <v>2295</v>
      </c>
      <c r="O189" s="2" t="s">
        <v>2296</v>
      </c>
      <c r="P189" s="2" t="s">
        <v>2297</v>
      </c>
      <c r="Q189" s="2" t="s">
        <v>2298</v>
      </c>
      <c r="R189" s="2" t="s">
        <v>2299</v>
      </c>
      <c r="S189" s="2" t="s">
        <v>2300</v>
      </c>
      <c r="T189" s="2" t="s">
        <v>2301</v>
      </c>
      <c r="U189" s="2" t="s">
        <v>29</v>
      </c>
      <c r="V189" s="2" t="n">
        <v>3</v>
      </c>
    </row>
    <row r="190">
      <c r="A190" s="2" t="n">
        <v>189</v>
      </c>
      <c r="B190" s="2" t="s">
        <v>2302</v>
      </c>
      <c r="C190" s="2" t="n">
        <v>225.9266427</v>
      </c>
      <c r="D190" s="2" t="n">
        <v>4.65502504948579</v>
      </c>
      <c r="E190" s="2" t="s">
        <v>2303</v>
      </c>
      <c r="F190" s="2" t="s">
        <v>360</v>
      </c>
      <c r="G190" s="2" t="s">
        <v>2304</v>
      </c>
      <c r="H190" s="2" t="s">
        <v>2305</v>
      </c>
      <c r="I190" s="2" t="s">
        <v>2306</v>
      </c>
      <c r="J190" s="2" t="s">
        <v>2307</v>
      </c>
      <c r="K190" s="2" t="s">
        <v>29</v>
      </c>
      <c r="L190" s="2" t="s">
        <v>2308</v>
      </c>
      <c r="M190" s="2" t="s">
        <v>29</v>
      </c>
      <c r="N190" s="2" t="s">
        <v>2309</v>
      </c>
      <c r="O190" s="2" t="s">
        <v>2310</v>
      </c>
      <c r="P190" s="2" t="s">
        <v>2311</v>
      </c>
      <c r="Q190" s="2" t="s">
        <v>2312</v>
      </c>
      <c r="R190" s="2" t="s">
        <v>502</v>
      </c>
      <c r="S190" s="2" t="s">
        <v>503</v>
      </c>
      <c r="T190" s="2" t="s">
        <v>2313</v>
      </c>
      <c r="U190" s="2" t="s">
        <v>39</v>
      </c>
      <c r="V190" s="2" t="n">
        <v>1</v>
      </c>
    </row>
    <row r="191">
      <c r="A191" s="2" t="n">
        <v>190</v>
      </c>
      <c r="B191" s="2" t="s">
        <v>2314</v>
      </c>
      <c r="C191" s="2" t="n">
        <v>226.959957546</v>
      </c>
      <c r="D191" s="2" t="n">
        <v>2.73084992825121</v>
      </c>
      <c r="E191" s="2" t="s">
        <v>2315</v>
      </c>
      <c r="F191" s="2" t="s">
        <v>250</v>
      </c>
      <c r="G191" s="2" t="s">
        <v>2316</v>
      </c>
      <c r="H191" s="2" t="s">
        <v>2317</v>
      </c>
      <c r="I191" s="2" t="s">
        <v>2318</v>
      </c>
      <c r="J191" s="2" t="s">
        <v>2319</v>
      </c>
      <c r="K191" s="2" t="s">
        <v>72</v>
      </c>
      <c r="L191" s="2" t="s">
        <v>2320</v>
      </c>
      <c r="M191" s="2" t="s">
        <v>2321</v>
      </c>
      <c r="N191" s="2" t="s">
        <v>2322</v>
      </c>
      <c r="O191" s="2" t="s">
        <v>2323</v>
      </c>
      <c r="P191" s="2" t="s">
        <v>2324</v>
      </c>
      <c r="Q191" s="2" t="s">
        <v>2325</v>
      </c>
      <c r="R191" s="2" t="s">
        <v>715</v>
      </c>
      <c r="S191" s="2" t="s">
        <v>716</v>
      </c>
      <c r="T191" s="2" t="s">
        <v>2326</v>
      </c>
      <c r="U191" s="2" t="s">
        <v>39</v>
      </c>
      <c r="V191" s="2" t="n">
        <v>2</v>
      </c>
    </row>
    <row r="192">
      <c r="A192" s="2" t="n">
        <v>191</v>
      </c>
      <c r="B192" s="2" t="s">
        <v>2327</v>
      </c>
      <c r="C192" s="2" t="n">
        <v>227.128883128</v>
      </c>
      <c r="D192" s="2" t="n">
        <v>10.2066374735592</v>
      </c>
      <c r="E192" s="2" t="s">
        <v>2328</v>
      </c>
      <c r="F192" s="2" t="s">
        <v>110</v>
      </c>
      <c r="G192" s="2" t="s">
        <v>2329</v>
      </c>
      <c r="H192" s="2" t="s">
        <v>2330</v>
      </c>
      <c r="I192" s="2" t="s">
        <v>2331</v>
      </c>
      <c r="J192" s="2" t="s">
        <v>2332</v>
      </c>
      <c r="K192" s="2" t="s">
        <v>2333</v>
      </c>
      <c r="L192" s="2" t="s">
        <v>2334</v>
      </c>
      <c r="M192" s="2" t="s">
        <v>2335</v>
      </c>
      <c r="N192" s="2" t="s">
        <v>2336</v>
      </c>
      <c r="O192" s="2" t="s">
        <v>2337</v>
      </c>
      <c r="P192" s="2" t="s">
        <v>2338</v>
      </c>
      <c r="Q192" s="2" t="s">
        <v>2339</v>
      </c>
      <c r="R192" s="2" t="s">
        <v>1490</v>
      </c>
      <c r="S192" s="2" t="s">
        <v>1491</v>
      </c>
      <c r="T192" s="2" t="s">
        <v>1492</v>
      </c>
      <c r="U192" s="2" t="s">
        <v>39</v>
      </c>
      <c r="V192" s="2" t="n">
        <v>1</v>
      </c>
    </row>
    <row r="193">
      <c r="A193" s="2" t="n">
        <v>192</v>
      </c>
      <c r="B193" s="2" t="s">
        <v>2340</v>
      </c>
      <c r="C193" s="2" t="n">
        <v>228.033598708</v>
      </c>
      <c r="D193" s="2" t="n">
        <v>5.80957588756962</v>
      </c>
      <c r="E193" s="2" t="s">
        <v>2341</v>
      </c>
      <c r="F193" s="2" t="s">
        <v>24</v>
      </c>
      <c r="G193" s="2" t="s">
        <v>2342</v>
      </c>
      <c r="H193" s="2" t="s">
        <v>2343</v>
      </c>
      <c r="I193" s="2" t="s">
        <v>2344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2345</v>
      </c>
      <c r="O193" s="2" t="s">
        <v>29</v>
      </c>
      <c r="P193" s="2" t="s">
        <v>2346</v>
      </c>
      <c r="Q193" s="2" t="s">
        <v>2347</v>
      </c>
      <c r="R193" s="2" t="s">
        <v>64</v>
      </c>
      <c r="S193" s="2" t="s">
        <v>65</v>
      </c>
      <c r="T193" s="2" t="s">
        <v>91</v>
      </c>
      <c r="U193" s="2" t="s">
        <v>29</v>
      </c>
      <c r="V193" s="2" t="n">
        <v>1</v>
      </c>
    </row>
    <row r="194">
      <c r="A194" s="2" t="n">
        <v>193</v>
      </c>
      <c r="B194" s="2" t="s">
        <v>2348</v>
      </c>
      <c r="C194" s="2" t="n">
        <v>228.99898686</v>
      </c>
      <c r="D194" s="2" t="n">
        <v>4.09940713407686</v>
      </c>
      <c r="E194" s="2" t="s">
        <v>2349</v>
      </c>
      <c r="F194" s="2" t="s">
        <v>24</v>
      </c>
      <c r="G194" s="2" t="s">
        <v>2350</v>
      </c>
      <c r="H194" s="2" t="s">
        <v>2351</v>
      </c>
      <c r="I194" s="2" t="s">
        <v>2352</v>
      </c>
      <c r="J194" s="2" t="s">
        <v>2353</v>
      </c>
      <c r="K194" s="2" t="s">
        <v>29</v>
      </c>
      <c r="L194" s="2" t="s">
        <v>2354</v>
      </c>
      <c r="M194" s="2" t="s">
        <v>29</v>
      </c>
      <c r="N194" s="2" t="s">
        <v>2355</v>
      </c>
      <c r="O194" s="2" t="s">
        <v>2356</v>
      </c>
      <c r="P194" s="2" t="s">
        <v>2357</v>
      </c>
      <c r="Q194" s="2" t="s">
        <v>2358</v>
      </c>
      <c r="R194" s="2" t="s">
        <v>355</v>
      </c>
      <c r="S194" s="2" t="s">
        <v>874</v>
      </c>
      <c r="T194" s="2" t="s">
        <v>875</v>
      </c>
      <c r="U194" s="2" t="s">
        <v>39</v>
      </c>
      <c r="V194" s="2" t="n">
        <v>1</v>
      </c>
    </row>
    <row r="195">
      <c r="A195" s="2" t="n">
        <v>194</v>
      </c>
      <c r="B195" s="2" t="s">
        <v>2359</v>
      </c>
      <c r="C195" s="2" t="n">
        <v>229.046605746</v>
      </c>
      <c r="D195" s="2" t="n">
        <v>5.52486818193812</v>
      </c>
      <c r="E195" s="2" t="s">
        <v>2360</v>
      </c>
      <c r="F195" s="2" t="s">
        <v>24</v>
      </c>
      <c r="G195" s="2" t="s">
        <v>2361</v>
      </c>
      <c r="H195" s="2" t="s">
        <v>2362</v>
      </c>
      <c r="I195" s="2" t="s">
        <v>2363</v>
      </c>
      <c r="J195" s="2" t="s">
        <v>2364</v>
      </c>
      <c r="K195" s="2" t="s">
        <v>29</v>
      </c>
      <c r="L195" s="2" t="s">
        <v>29</v>
      </c>
      <c r="M195" s="2" t="s">
        <v>29</v>
      </c>
      <c r="N195" s="2" t="s">
        <v>2365</v>
      </c>
      <c r="O195" s="2" t="s">
        <v>2366</v>
      </c>
      <c r="P195" s="2" t="s">
        <v>2367</v>
      </c>
      <c r="Q195" s="2" t="s">
        <v>2368</v>
      </c>
      <c r="R195" s="2" t="s">
        <v>502</v>
      </c>
      <c r="S195" s="2" t="s">
        <v>2369</v>
      </c>
      <c r="T195" s="2" t="s">
        <v>2370</v>
      </c>
      <c r="U195" s="2" t="s">
        <v>29</v>
      </c>
      <c r="V195" s="2" t="n">
        <v>1</v>
      </c>
    </row>
    <row r="196">
      <c r="A196" s="2" t="n">
        <v>195</v>
      </c>
      <c r="B196" s="2" t="s">
        <v>2371</v>
      </c>
      <c r="C196" s="2" t="n">
        <v>230.028119403</v>
      </c>
      <c r="D196" s="2" t="n">
        <v>4.06141281311035</v>
      </c>
      <c r="E196" s="2" t="s">
        <v>2372</v>
      </c>
      <c r="F196" s="2" t="s">
        <v>24</v>
      </c>
      <c r="G196" s="2" t="s">
        <v>2373</v>
      </c>
      <c r="H196" s="2" t="s">
        <v>2374</v>
      </c>
      <c r="I196" s="2" t="s">
        <v>2375</v>
      </c>
      <c r="J196" s="2" t="s">
        <v>72</v>
      </c>
      <c r="K196" s="2" t="s">
        <v>72</v>
      </c>
      <c r="L196" s="2" t="s">
        <v>72</v>
      </c>
      <c r="M196" s="2" t="s">
        <v>2376</v>
      </c>
      <c r="N196" s="2" t="s">
        <v>2377</v>
      </c>
      <c r="O196" s="2" t="s">
        <v>72</v>
      </c>
      <c r="P196" s="2" t="s">
        <v>2378</v>
      </c>
      <c r="Q196" s="2" t="s">
        <v>2379</v>
      </c>
      <c r="R196" s="2" t="s">
        <v>480</v>
      </c>
      <c r="S196" s="2" t="s">
        <v>2380</v>
      </c>
      <c r="T196" s="2" t="s">
        <v>247</v>
      </c>
      <c r="U196" s="2" t="s">
        <v>29</v>
      </c>
      <c r="V196" s="2" t="n">
        <v>2</v>
      </c>
    </row>
    <row r="197">
      <c r="A197" s="2" t="n">
        <v>196</v>
      </c>
      <c r="B197" s="2" t="s">
        <v>2381</v>
      </c>
      <c r="C197" s="2" t="n">
        <v>230.155038299</v>
      </c>
      <c r="D197" s="2" t="n">
        <v>6.32406464946966</v>
      </c>
      <c r="E197" s="2" t="s">
        <v>2382</v>
      </c>
      <c r="F197" s="2" t="s">
        <v>110</v>
      </c>
      <c r="G197" s="2" t="s">
        <v>2383</v>
      </c>
      <c r="H197" s="2" t="s">
        <v>2384</v>
      </c>
      <c r="I197" s="2" t="s">
        <v>2385</v>
      </c>
      <c r="J197" s="2" t="s">
        <v>2386</v>
      </c>
      <c r="K197" s="2" t="s">
        <v>226</v>
      </c>
      <c r="L197" s="2" t="s">
        <v>226</v>
      </c>
      <c r="M197" s="2" t="s">
        <v>226</v>
      </c>
      <c r="N197" s="2" t="s">
        <v>2387</v>
      </c>
      <c r="O197" s="2" t="s">
        <v>2388</v>
      </c>
      <c r="P197" s="2" t="s">
        <v>2389</v>
      </c>
      <c r="Q197" s="2" t="s">
        <v>2390</v>
      </c>
      <c r="R197" s="2" t="s">
        <v>2391</v>
      </c>
      <c r="S197" s="2" t="s">
        <v>2392</v>
      </c>
      <c r="T197" s="2" t="s">
        <v>2393</v>
      </c>
      <c r="U197" s="2" t="s">
        <v>29</v>
      </c>
      <c r="V197" s="2" t="n">
        <v>3</v>
      </c>
    </row>
    <row r="198">
      <c r="A198" s="2" t="n">
        <v>197</v>
      </c>
      <c r="B198" s="2" t="s">
        <v>2394</v>
      </c>
      <c r="C198" s="2" t="n">
        <v>230.979912177</v>
      </c>
      <c r="D198" s="2" t="n">
        <v>7.35036852272733</v>
      </c>
      <c r="E198" s="2" t="s">
        <v>2395</v>
      </c>
      <c r="F198" s="2" t="s">
        <v>42</v>
      </c>
      <c r="G198" s="2" t="s">
        <v>2396</v>
      </c>
      <c r="H198" s="2" t="s">
        <v>2397</v>
      </c>
      <c r="I198" s="2" t="s">
        <v>2398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2399</v>
      </c>
      <c r="O198" s="2" t="s">
        <v>29</v>
      </c>
      <c r="P198" s="2" t="s">
        <v>2400</v>
      </c>
      <c r="Q198" s="2" t="s">
        <v>2401</v>
      </c>
      <c r="R198" s="2" t="s">
        <v>502</v>
      </c>
      <c r="S198" s="2" t="s">
        <v>503</v>
      </c>
      <c r="T198" s="2" t="s">
        <v>205</v>
      </c>
      <c r="U198" s="2" t="s">
        <v>29</v>
      </c>
      <c r="V198" s="2" t="n">
        <v>1</v>
      </c>
    </row>
    <row r="199">
      <c r="A199" s="2" t="n">
        <v>198</v>
      </c>
      <c r="B199" s="2" t="s">
        <v>2402</v>
      </c>
      <c r="C199" s="2" t="n">
        <v>231.017594441</v>
      </c>
      <c r="D199" s="2" t="n">
        <v>11.2344057074431</v>
      </c>
      <c r="E199" s="2" t="s">
        <v>2403</v>
      </c>
      <c r="F199" s="2" t="s">
        <v>360</v>
      </c>
      <c r="G199" s="2" t="s">
        <v>2404</v>
      </c>
      <c r="H199" s="2" t="s">
        <v>2405</v>
      </c>
      <c r="I199" s="2" t="s">
        <v>2406</v>
      </c>
      <c r="J199" s="2" t="s">
        <v>2407</v>
      </c>
      <c r="K199" s="2" t="s">
        <v>29</v>
      </c>
      <c r="L199" s="2" t="s">
        <v>2408</v>
      </c>
      <c r="M199" s="2" t="s">
        <v>29</v>
      </c>
      <c r="N199" s="2" t="s">
        <v>2409</v>
      </c>
      <c r="O199" s="2" t="s">
        <v>2410</v>
      </c>
      <c r="P199" s="2" t="s">
        <v>2411</v>
      </c>
      <c r="Q199" s="2" t="s">
        <v>2412</v>
      </c>
      <c r="R199" s="2" t="s">
        <v>502</v>
      </c>
      <c r="S199" s="2" t="s">
        <v>2413</v>
      </c>
      <c r="T199" s="2" t="s">
        <v>205</v>
      </c>
      <c r="U199" s="2" t="s">
        <v>39</v>
      </c>
      <c r="V199" s="2" t="n">
        <v>1</v>
      </c>
    </row>
    <row r="200">
      <c r="A200" s="2" t="n">
        <v>199</v>
      </c>
      <c r="B200" s="2" t="s">
        <v>2414</v>
      </c>
      <c r="C200" s="2" t="n">
        <v>232.043773291</v>
      </c>
      <c r="D200" s="2" t="n">
        <v>9.33822231261432</v>
      </c>
      <c r="E200" s="2" t="s">
        <v>2415</v>
      </c>
      <c r="F200" s="2" t="s">
        <v>110</v>
      </c>
      <c r="G200" s="2" t="s">
        <v>2416</v>
      </c>
      <c r="H200" s="2" t="s">
        <v>2417</v>
      </c>
      <c r="I200" s="2" t="s">
        <v>2418</v>
      </c>
      <c r="J200" s="2" t="s">
        <v>2419</v>
      </c>
      <c r="K200" s="2" t="s">
        <v>29</v>
      </c>
      <c r="L200" s="2" t="s">
        <v>29</v>
      </c>
      <c r="M200" s="2" t="s">
        <v>29</v>
      </c>
      <c r="N200" s="2" t="s">
        <v>2420</v>
      </c>
      <c r="O200" s="2" t="s">
        <v>2421</v>
      </c>
      <c r="P200" s="2" t="s">
        <v>2422</v>
      </c>
      <c r="Q200" s="2" t="s">
        <v>2423</v>
      </c>
      <c r="R200" s="2" t="s">
        <v>355</v>
      </c>
      <c r="S200" s="2" t="s">
        <v>2424</v>
      </c>
      <c r="T200" s="2" t="s">
        <v>2425</v>
      </c>
      <c r="U200" s="2" t="s">
        <v>29</v>
      </c>
      <c r="V200" s="2" t="n">
        <v>1</v>
      </c>
    </row>
    <row r="201">
      <c r="A201" s="2" t="n">
        <v>200</v>
      </c>
      <c r="B201" s="2" t="s">
        <v>2426</v>
      </c>
      <c r="C201" s="2" t="n">
        <v>232.889852578</v>
      </c>
      <c r="D201" s="2" t="n">
        <v>8.65783770056204</v>
      </c>
      <c r="E201" s="2" t="s">
        <v>2427</v>
      </c>
      <c r="F201" s="2" t="s">
        <v>24</v>
      </c>
      <c r="G201" s="2" t="s">
        <v>2428</v>
      </c>
      <c r="H201" s="2" t="s">
        <v>2429</v>
      </c>
      <c r="I201" s="2" t="s">
        <v>2430</v>
      </c>
      <c r="J201" s="2" t="s">
        <v>2431</v>
      </c>
      <c r="K201" s="2" t="s">
        <v>29</v>
      </c>
      <c r="L201" s="2" t="s">
        <v>2432</v>
      </c>
      <c r="M201" s="2" t="s">
        <v>2433</v>
      </c>
      <c r="N201" s="2" t="s">
        <v>2434</v>
      </c>
      <c r="O201" s="2" t="s">
        <v>2435</v>
      </c>
      <c r="P201" s="2" t="s">
        <v>2436</v>
      </c>
      <c r="Q201" s="2" t="s">
        <v>2437</v>
      </c>
      <c r="R201" s="2" t="s">
        <v>638</v>
      </c>
      <c r="S201" s="2" t="s">
        <v>2438</v>
      </c>
      <c r="T201" s="2" t="s">
        <v>205</v>
      </c>
      <c r="U201" s="2" t="s">
        <v>39</v>
      </c>
      <c r="V201" s="2" t="n">
        <v>1</v>
      </c>
    </row>
    <row r="202">
      <c r="A202" s="2" t="n">
        <v>201</v>
      </c>
      <c r="B202" s="2" t="s">
        <v>2439</v>
      </c>
      <c r="C202" s="2" t="n">
        <v>232.99104092</v>
      </c>
      <c r="D202" s="2" t="n">
        <v>1.88013569302778</v>
      </c>
      <c r="E202" s="2" t="s">
        <v>2440</v>
      </c>
      <c r="F202" s="2" t="s">
        <v>522</v>
      </c>
      <c r="G202" s="2" t="s">
        <v>2441</v>
      </c>
      <c r="H202" s="2" t="s">
        <v>2442</v>
      </c>
      <c r="I202" s="2" t="s">
        <v>2443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2444</v>
      </c>
      <c r="Q202" s="2" t="s">
        <v>2445</v>
      </c>
      <c r="R202" s="2" t="s">
        <v>502</v>
      </c>
      <c r="S202" s="2" t="s">
        <v>503</v>
      </c>
      <c r="T202" s="2" t="s">
        <v>2446</v>
      </c>
      <c r="U202" s="2" t="s">
        <v>29</v>
      </c>
      <c r="V202" s="2" t="n">
        <v>1</v>
      </c>
    </row>
    <row r="203">
      <c r="A203" s="2" t="n">
        <v>202</v>
      </c>
      <c r="B203" s="2" t="s">
        <v>2447</v>
      </c>
      <c r="C203" s="2" t="n">
        <v>233.963330343</v>
      </c>
      <c r="D203" s="2" t="n">
        <v>12.94640859706</v>
      </c>
      <c r="E203" s="2" t="s">
        <v>2448</v>
      </c>
      <c r="F203" s="2" t="s">
        <v>522</v>
      </c>
      <c r="G203" s="2" t="s">
        <v>2449</v>
      </c>
      <c r="H203" s="2" t="s">
        <v>2450</v>
      </c>
      <c r="I203" s="2" t="s">
        <v>2451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2452</v>
      </c>
      <c r="O203" s="2" t="s">
        <v>29</v>
      </c>
      <c r="P203" s="2" t="s">
        <v>2453</v>
      </c>
      <c r="Q203" s="2" t="s">
        <v>2454</v>
      </c>
      <c r="R203" s="2" t="s">
        <v>502</v>
      </c>
      <c r="S203" s="2" t="s">
        <v>503</v>
      </c>
      <c r="T203" s="2" t="s">
        <v>2174</v>
      </c>
      <c r="U203" s="2" t="s">
        <v>29</v>
      </c>
      <c r="V203" s="2" t="n">
        <v>1</v>
      </c>
    </row>
    <row r="204">
      <c r="A204" s="2" t="n">
        <v>203</v>
      </c>
      <c r="B204" s="2" t="s">
        <v>2455</v>
      </c>
      <c r="C204" s="2" t="n">
        <v>234.9507174</v>
      </c>
      <c r="D204" s="2" t="n">
        <v>1.21203310023545</v>
      </c>
      <c r="E204" s="2" t="s">
        <v>2456</v>
      </c>
      <c r="F204" s="2" t="s">
        <v>110</v>
      </c>
      <c r="G204" s="2" t="s">
        <v>2457</v>
      </c>
      <c r="H204" s="2" t="s">
        <v>2458</v>
      </c>
      <c r="I204" s="2" t="s">
        <v>2459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2460</v>
      </c>
      <c r="O204" s="2" t="s">
        <v>29</v>
      </c>
      <c r="P204" s="2" t="s">
        <v>2461</v>
      </c>
      <c r="Q204" s="2" t="s">
        <v>2462</v>
      </c>
      <c r="R204" s="2" t="s">
        <v>49</v>
      </c>
      <c r="S204" s="2" t="s">
        <v>218</v>
      </c>
      <c r="T204" s="2" t="s">
        <v>219</v>
      </c>
      <c r="U204" s="2" t="s">
        <v>29</v>
      </c>
      <c r="V204" s="2" t="n">
        <v>1</v>
      </c>
    </row>
    <row r="205">
      <c r="A205" s="2" t="n">
        <v>204</v>
      </c>
      <c r="B205" s="2" t="s">
        <v>2463</v>
      </c>
      <c r="C205" s="2" t="n">
        <v>235.04594136</v>
      </c>
      <c r="D205" s="2" t="n">
        <v>1.1491250776643</v>
      </c>
      <c r="E205" s="2" t="s">
        <v>2464</v>
      </c>
      <c r="F205" s="2" t="s">
        <v>1019</v>
      </c>
      <c r="G205" s="2" t="s">
        <v>2465</v>
      </c>
      <c r="H205" s="2" t="s">
        <v>2466</v>
      </c>
      <c r="I205" s="2" t="s">
        <v>2467</v>
      </c>
      <c r="J205" s="2" t="s">
        <v>2468</v>
      </c>
      <c r="K205" s="2" t="s">
        <v>2469</v>
      </c>
      <c r="L205" s="2" t="s">
        <v>2470</v>
      </c>
      <c r="M205" s="2" t="s">
        <v>2471</v>
      </c>
      <c r="N205" s="2" t="s">
        <v>2472</v>
      </c>
      <c r="O205" s="2" t="s">
        <v>2473</v>
      </c>
      <c r="P205" s="2" t="s">
        <v>2474</v>
      </c>
      <c r="Q205" s="2" t="s">
        <v>2475</v>
      </c>
      <c r="R205" s="2" t="s">
        <v>715</v>
      </c>
      <c r="S205" s="2" t="s">
        <v>716</v>
      </c>
      <c r="T205" s="2" t="s">
        <v>2476</v>
      </c>
      <c r="U205" s="2" t="s">
        <v>39</v>
      </c>
      <c r="V205" s="2" t="n">
        <v>2</v>
      </c>
    </row>
    <row r="206">
      <c r="A206" s="2" t="n">
        <v>205</v>
      </c>
      <c r="B206" s="2" t="s">
        <v>2477</v>
      </c>
      <c r="C206" s="2" t="n">
        <v>235.169498789</v>
      </c>
      <c r="D206" s="2" t="n">
        <v>9.464350457656</v>
      </c>
      <c r="E206" s="2" t="s">
        <v>2478</v>
      </c>
      <c r="F206" s="2" t="s">
        <v>522</v>
      </c>
      <c r="G206" s="2" t="s">
        <v>2479</v>
      </c>
      <c r="H206" s="2" t="s">
        <v>2480</v>
      </c>
      <c r="I206" s="2" t="s">
        <v>2481</v>
      </c>
      <c r="J206" s="2" t="s">
        <v>72</v>
      </c>
      <c r="K206" s="2" t="s">
        <v>72</v>
      </c>
      <c r="L206" s="2" t="s">
        <v>72</v>
      </c>
      <c r="M206" s="2" t="s">
        <v>2482</v>
      </c>
      <c r="N206" s="2" t="s">
        <v>2483</v>
      </c>
      <c r="O206" s="2" t="s">
        <v>72</v>
      </c>
      <c r="P206" s="2" t="s">
        <v>2484</v>
      </c>
      <c r="Q206" s="2" t="s">
        <v>2485</v>
      </c>
      <c r="R206" s="2" t="s">
        <v>2486</v>
      </c>
      <c r="S206" s="2" t="s">
        <v>2487</v>
      </c>
      <c r="T206" s="2" t="s">
        <v>2488</v>
      </c>
      <c r="U206" s="2" t="s">
        <v>29</v>
      </c>
      <c r="V206" s="2" t="n">
        <v>2</v>
      </c>
    </row>
    <row r="207">
      <c r="A207" s="2" t="n">
        <v>206</v>
      </c>
      <c r="B207" s="2" t="s">
        <v>2489</v>
      </c>
      <c r="C207" s="2" t="n">
        <v>236.099370798</v>
      </c>
      <c r="D207" s="2" t="n">
        <v>2.0071473776126</v>
      </c>
      <c r="E207" s="2" t="s">
        <v>2490</v>
      </c>
      <c r="F207" s="2" t="s">
        <v>522</v>
      </c>
      <c r="G207" s="2" t="s">
        <v>2491</v>
      </c>
      <c r="H207" s="2" t="s">
        <v>2492</v>
      </c>
      <c r="I207" s="2" t="s">
        <v>2493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2494</v>
      </c>
      <c r="O207" s="2" t="s">
        <v>29</v>
      </c>
      <c r="P207" s="2" t="s">
        <v>2495</v>
      </c>
      <c r="Q207" s="2" t="s">
        <v>2496</v>
      </c>
      <c r="R207" s="2" t="s">
        <v>2497</v>
      </c>
      <c r="S207" s="2" t="s">
        <v>2498</v>
      </c>
      <c r="T207" s="2" t="s">
        <v>205</v>
      </c>
      <c r="U207" s="2" t="s">
        <v>29</v>
      </c>
      <c r="V207" s="2" t="n">
        <v>1</v>
      </c>
    </row>
    <row r="208">
      <c r="A208" s="2" t="n">
        <v>207</v>
      </c>
      <c r="B208" s="2" t="s">
        <v>2499</v>
      </c>
      <c r="C208" s="2" t="n">
        <v>237.059084696</v>
      </c>
      <c r="D208" s="2" t="n">
        <v>2.38604759119421</v>
      </c>
      <c r="E208" s="2" t="s">
        <v>2500</v>
      </c>
      <c r="F208" s="2" t="s">
        <v>24</v>
      </c>
      <c r="G208" s="2" t="s">
        <v>2501</v>
      </c>
      <c r="H208" s="2" t="s">
        <v>2502</v>
      </c>
      <c r="I208" s="2" t="s">
        <v>2503</v>
      </c>
      <c r="J208" s="2" t="s">
        <v>2504</v>
      </c>
      <c r="K208" s="2" t="s">
        <v>29</v>
      </c>
      <c r="L208" s="2" t="s">
        <v>29</v>
      </c>
      <c r="M208" s="2" t="s">
        <v>29</v>
      </c>
      <c r="N208" s="2" t="s">
        <v>2505</v>
      </c>
      <c r="O208" s="2" t="s">
        <v>2506</v>
      </c>
      <c r="P208" s="2" t="s">
        <v>2507</v>
      </c>
      <c r="Q208" s="2" t="s">
        <v>2508</v>
      </c>
      <c r="R208" s="2" t="s">
        <v>2509</v>
      </c>
      <c r="S208" s="2" t="s">
        <v>2510</v>
      </c>
      <c r="T208" s="2" t="s">
        <v>205</v>
      </c>
      <c r="U208" s="2" t="s">
        <v>29</v>
      </c>
      <c r="V208" s="2" t="n">
        <v>1</v>
      </c>
    </row>
    <row r="209">
      <c r="A209" s="2" t="n">
        <v>208</v>
      </c>
      <c r="B209" s="2" t="s">
        <v>2511</v>
      </c>
      <c r="C209" s="2" t="n">
        <v>237.087530632</v>
      </c>
      <c r="D209" s="2" t="n">
        <v>6.05282624866154</v>
      </c>
      <c r="E209" s="2" t="s">
        <v>2512</v>
      </c>
      <c r="F209" s="2" t="s">
        <v>42</v>
      </c>
      <c r="G209" s="2" t="s">
        <v>2513</v>
      </c>
      <c r="H209" s="2" t="s">
        <v>2514</v>
      </c>
      <c r="I209" s="2" t="s">
        <v>2515</v>
      </c>
      <c r="J209" s="2" t="s">
        <v>2516</v>
      </c>
      <c r="K209" s="2" t="s">
        <v>29</v>
      </c>
      <c r="L209" s="2" t="s">
        <v>2517</v>
      </c>
      <c r="M209" s="2" t="s">
        <v>2518</v>
      </c>
      <c r="N209" s="2" t="s">
        <v>2519</v>
      </c>
      <c r="O209" s="2" t="s">
        <v>29</v>
      </c>
      <c r="P209" s="2" t="s">
        <v>2520</v>
      </c>
      <c r="Q209" s="2" t="s">
        <v>2521</v>
      </c>
      <c r="R209" s="2" t="s">
        <v>64</v>
      </c>
      <c r="S209" s="2" t="s">
        <v>65</v>
      </c>
      <c r="T209" s="2" t="s">
        <v>66</v>
      </c>
      <c r="U209" s="2" t="s">
        <v>39</v>
      </c>
      <c r="V209" s="2" t="n">
        <v>1</v>
      </c>
    </row>
    <row r="210">
      <c r="A210" s="2" t="n">
        <v>209</v>
      </c>
      <c r="B210" s="2" t="s">
        <v>2522</v>
      </c>
      <c r="C210" s="2" t="n">
        <v>238.991421102</v>
      </c>
      <c r="D210" s="2" t="n">
        <v>4.27328440914633</v>
      </c>
      <c r="E210" s="2" t="s">
        <v>2523</v>
      </c>
      <c r="F210" s="2" t="s">
        <v>110</v>
      </c>
      <c r="G210" s="2" t="s">
        <v>2524</v>
      </c>
      <c r="H210" s="2" t="s">
        <v>2525</v>
      </c>
      <c r="I210" s="2" t="s">
        <v>2526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2527</v>
      </c>
      <c r="Q210" s="2" t="s">
        <v>2528</v>
      </c>
      <c r="R210" s="2" t="s">
        <v>49</v>
      </c>
      <c r="S210" s="2" t="s">
        <v>1567</v>
      </c>
      <c r="T210" s="2" t="s">
        <v>2529</v>
      </c>
      <c r="U210" s="2" t="s">
        <v>29</v>
      </c>
      <c r="V210" s="2" t="n">
        <v>1</v>
      </c>
    </row>
    <row r="211">
      <c r="A211" s="2" t="n">
        <v>210</v>
      </c>
      <c r="B211" s="2" t="s">
        <v>2530</v>
      </c>
      <c r="C211" s="2" t="n">
        <v>240.051361089</v>
      </c>
      <c r="D211" s="2" t="n">
        <v>11.0341008508833</v>
      </c>
      <c r="E211" s="2" t="s">
        <v>2531</v>
      </c>
      <c r="F211" s="2" t="s">
        <v>110</v>
      </c>
      <c r="G211" s="2" t="s">
        <v>2532</v>
      </c>
      <c r="H211" s="2" t="s">
        <v>2533</v>
      </c>
      <c r="I211" s="2" t="s">
        <v>2534</v>
      </c>
      <c r="J211" s="2" t="s">
        <v>2535</v>
      </c>
      <c r="K211" s="2" t="s">
        <v>72</v>
      </c>
      <c r="L211" s="2" t="s">
        <v>72</v>
      </c>
      <c r="M211" s="2" t="s">
        <v>72</v>
      </c>
      <c r="N211" s="2" t="s">
        <v>2536</v>
      </c>
      <c r="O211" s="2" t="s">
        <v>2537</v>
      </c>
      <c r="P211" s="2" t="s">
        <v>2538</v>
      </c>
      <c r="Q211" s="2" t="s">
        <v>2539</v>
      </c>
      <c r="R211" s="2" t="s">
        <v>537</v>
      </c>
      <c r="S211" s="2" t="s">
        <v>2540</v>
      </c>
      <c r="T211" s="2" t="s">
        <v>2541</v>
      </c>
      <c r="U211" s="2" t="s">
        <v>29</v>
      </c>
      <c r="V211" s="2" t="n">
        <v>2</v>
      </c>
    </row>
    <row r="212">
      <c r="A212" s="2" t="n">
        <v>211</v>
      </c>
      <c r="B212" s="2" t="s">
        <v>2542</v>
      </c>
      <c r="C212" s="2" t="n">
        <v>241.01187784</v>
      </c>
      <c r="D212" s="2" t="n">
        <v>1.64488894724865</v>
      </c>
      <c r="E212" s="2" t="s">
        <v>2543</v>
      </c>
      <c r="F212" s="2" t="s">
        <v>110</v>
      </c>
      <c r="G212" s="2" t="s">
        <v>2544</v>
      </c>
      <c r="H212" s="2" t="s">
        <v>2545</v>
      </c>
      <c r="I212" s="2" t="s">
        <v>2546</v>
      </c>
      <c r="J212" s="2" t="s">
        <v>2547</v>
      </c>
      <c r="K212" s="2" t="s">
        <v>29</v>
      </c>
      <c r="L212" s="2" t="s">
        <v>2548</v>
      </c>
      <c r="M212" s="2" t="s">
        <v>2549</v>
      </c>
      <c r="N212" s="2" t="s">
        <v>2550</v>
      </c>
      <c r="O212" s="2" t="s">
        <v>2551</v>
      </c>
      <c r="P212" s="2" t="s">
        <v>2552</v>
      </c>
      <c r="Q212" s="2" t="s">
        <v>2553</v>
      </c>
      <c r="R212" s="2" t="s">
        <v>49</v>
      </c>
      <c r="S212" s="2" t="s">
        <v>771</v>
      </c>
      <c r="T212" s="2" t="s">
        <v>205</v>
      </c>
      <c r="U212" s="2" t="s">
        <v>39</v>
      </c>
      <c r="V212" s="2" t="n">
        <v>1</v>
      </c>
    </row>
    <row r="213">
      <c r="A213" s="2" t="n">
        <v>212</v>
      </c>
      <c r="B213" s="2" t="s">
        <v>2554</v>
      </c>
      <c r="C213" s="2" t="n">
        <v>241.035372366</v>
      </c>
      <c r="D213" s="2" t="n">
        <v>2.50532673319837</v>
      </c>
      <c r="E213" s="2" t="s">
        <v>2555</v>
      </c>
      <c r="F213" s="2" t="s">
        <v>24</v>
      </c>
      <c r="G213" s="2" t="s">
        <v>2556</v>
      </c>
      <c r="H213" s="2" t="s">
        <v>2557</v>
      </c>
      <c r="I213" s="2" t="s">
        <v>2558</v>
      </c>
      <c r="J213" s="2" t="s">
        <v>2559</v>
      </c>
      <c r="K213" s="2" t="s">
        <v>72</v>
      </c>
      <c r="L213" s="2" t="s">
        <v>72</v>
      </c>
      <c r="M213" s="2" t="s">
        <v>2560</v>
      </c>
      <c r="N213" s="2" t="s">
        <v>2561</v>
      </c>
      <c r="O213" s="2" t="s">
        <v>2562</v>
      </c>
      <c r="P213" s="2" t="s">
        <v>2563</v>
      </c>
      <c r="Q213" s="2" t="s">
        <v>2564</v>
      </c>
      <c r="R213" s="2" t="s">
        <v>480</v>
      </c>
      <c r="S213" s="2" t="s">
        <v>2565</v>
      </c>
      <c r="T213" s="2" t="s">
        <v>2566</v>
      </c>
      <c r="U213" s="2" t="s">
        <v>29</v>
      </c>
      <c r="V213" s="2" t="n">
        <v>2</v>
      </c>
    </row>
    <row r="214">
      <c r="A214" s="2" t="n">
        <v>213</v>
      </c>
      <c r="B214" s="2" t="s">
        <v>2567</v>
      </c>
      <c r="C214" s="2" t="n">
        <v>241.059496734</v>
      </c>
      <c r="D214" s="2" t="n">
        <v>3.01053375751695</v>
      </c>
      <c r="E214" s="2" t="s">
        <v>2568</v>
      </c>
      <c r="F214" s="2" t="s">
        <v>110</v>
      </c>
      <c r="G214" s="2" t="s">
        <v>2569</v>
      </c>
      <c r="H214" s="2" t="s">
        <v>2570</v>
      </c>
      <c r="I214" s="2" t="s">
        <v>2571</v>
      </c>
      <c r="J214" s="2" t="s">
        <v>2572</v>
      </c>
      <c r="K214" s="2" t="s">
        <v>29</v>
      </c>
      <c r="L214" s="2" t="s">
        <v>2573</v>
      </c>
      <c r="M214" s="2" t="s">
        <v>2574</v>
      </c>
      <c r="N214" s="2" t="s">
        <v>2575</v>
      </c>
      <c r="O214" s="2" t="s">
        <v>29</v>
      </c>
      <c r="P214" s="2" t="s">
        <v>2576</v>
      </c>
      <c r="Q214" s="2" t="s">
        <v>2577</v>
      </c>
      <c r="R214" s="2" t="s">
        <v>49</v>
      </c>
      <c r="S214" s="2" t="s">
        <v>165</v>
      </c>
      <c r="T214" s="2" t="s">
        <v>166</v>
      </c>
      <c r="U214" s="2" t="s">
        <v>39</v>
      </c>
      <c r="V214" s="2" t="n">
        <v>1</v>
      </c>
    </row>
    <row r="215">
      <c r="A215" s="2" t="n">
        <v>214</v>
      </c>
      <c r="B215" s="2" t="s">
        <v>2578</v>
      </c>
      <c r="C215" s="2" t="n">
        <v>241.082995568</v>
      </c>
      <c r="D215" s="2" t="n">
        <v>1.92233998915151</v>
      </c>
      <c r="E215" s="2" t="s">
        <v>2579</v>
      </c>
      <c r="F215" s="2" t="s">
        <v>110</v>
      </c>
      <c r="G215" s="2" t="s">
        <v>2580</v>
      </c>
      <c r="H215" s="2" t="s">
        <v>2581</v>
      </c>
      <c r="I215" s="2" t="s">
        <v>2582</v>
      </c>
      <c r="J215" s="2" t="s">
        <v>2583</v>
      </c>
      <c r="K215" s="2" t="s">
        <v>29</v>
      </c>
      <c r="L215" s="2" t="s">
        <v>2584</v>
      </c>
      <c r="M215" s="2" t="s">
        <v>2585</v>
      </c>
      <c r="N215" s="2" t="s">
        <v>2586</v>
      </c>
      <c r="O215" s="2" t="s">
        <v>2587</v>
      </c>
      <c r="P215" s="2" t="s">
        <v>2588</v>
      </c>
      <c r="Q215" s="2" t="s">
        <v>2589</v>
      </c>
      <c r="R215" s="2" t="s">
        <v>2590</v>
      </c>
      <c r="S215" s="2" t="s">
        <v>2591</v>
      </c>
      <c r="T215" s="2" t="s">
        <v>2592</v>
      </c>
      <c r="U215" s="2" t="s">
        <v>39</v>
      </c>
      <c r="V215" s="2" t="n">
        <v>1</v>
      </c>
    </row>
    <row r="216">
      <c r="A216" s="2" t="n">
        <v>215</v>
      </c>
      <c r="B216" s="2" t="s">
        <v>2593</v>
      </c>
      <c r="C216" s="2" t="n">
        <v>242.018355893</v>
      </c>
      <c r="D216" s="2" t="n">
        <v>2.2989402467059</v>
      </c>
      <c r="E216" s="2" t="s">
        <v>2594</v>
      </c>
      <c r="F216" s="2" t="s">
        <v>24</v>
      </c>
      <c r="G216" s="2" t="s">
        <v>2595</v>
      </c>
      <c r="H216" s="2" t="s">
        <v>2596</v>
      </c>
      <c r="I216" s="2" t="s">
        <v>2597</v>
      </c>
      <c r="J216" s="2" t="s">
        <v>2598</v>
      </c>
      <c r="K216" s="2" t="s">
        <v>29</v>
      </c>
      <c r="L216" s="2" t="s">
        <v>2599</v>
      </c>
      <c r="M216" s="2" t="s">
        <v>2600</v>
      </c>
      <c r="N216" s="2" t="s">
        <v>2601</v>
      </c>
      <c r="O216" s="2" t="s">
        <v>2602</v>
      </c>
      <c r="P216" s="2" t="s">
        <v>2603</v>
      </c>
      <c r="Q216" s="2" t="s">
        <v>2604</v>
      </c>
      <c r="R216" s="2" t="s">
        <v>49</v>
      </c>
      <c r="S216" s="2" t="s">
        <v>165</v>
      </c>
      <c r="T216" s="2" t="s">
        <v>166</v>
      </c>
      <c r="U216" s="2" t="s">
        <v>39</v>
      </c>
      <c r="V216" s="2" t="n">
        <v>1</v>
      </c>
    </row>
    <row r="217">
      <c r="A217" s="2" t="n">
        <v>216</v>
      </c>
      <c r="B217" s="2" t="s">
        <v>2605</v>
      </c>
      <c r="C217" s="2" t="n">
        <v>242.048702761</v>
      </c>
      <c r="D217" s="2" t="n">
        <v>10.8847274366703</v>
      </c>
      <c r="E217" s="2" t="s">
        <v>2606</v>
      </c>
      <c r="F217" s="2" t="s">
        <v>42</v>
      </c>
      <c r="G217" s="2" t="s">
        <v>2607</v>
      </c>
      <c r="H217" s="2" t="s">
        <v>2608</v>
      </c>
      <c r="I217" s="2" t="s">
        <v>2609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2610</v>
      </c>
      <c r="O217" s="2" t="s">
        <v>29</v>
      </c>
      <c r="P217" s="2" t="s">
        <v>2611</v>
      </c>
      <c r="Q217" s="2" t="s">
        <v>2612</v>
      </c>
      <c r="R217" s="2" t="s">
        <v>502</v>
      </c>
      <c r="S217" s="2" t="s">
        <v>503</v>
      </c>
      <c r="T217" s="2" t="s">
        <v>2613</v>
      </c>
      <c r="U217" s="2" t="s">
        <v>29</v>
      </c>
      <c r="V217" s="2" t="n">
        <v>1</v>
      </c>
    </row>
    <row r="218">
      <c r="A218" s="2" t="n">
        <v>217</v>
      </c>
      <c r="B218" s="2" t="s">
        <v>2614</v>
      </c>
      <c r="C218" s="2" t="n">
        <v>242.077694215</v>
      </c>
      <c r="D218" s="2" t="n">
        <v>0.0994160691068345</v>
      </c>
      <c r="E218" s="2" t="s">
        <v>2615</v>
      </c>
      <c r="F218" s="2" t="s">
        <v>42</v>
      </c>
      <c r="G218" s="2" t="s">
        <v>2616</v>
      </c>
      <c r="H218" s="2" t="s">
        <v>2617</v>
      </c>
      <c r="I218" s="2" t="s">
        <v>2618</v>
      </c>
      <c r="J218" s="2" t="s">
        <v>2619</v>
      </c>
      <c r="K218" s="2" t="s">
        <v>226</v>
      </c>
      <c r="L218" s="2" t="s">
        <v>226</v>
      </c>
      <c r="M218" s="2" t="s">
        <v>2620</v>
      </c>
      <c r="N218" s="2" t="s">
        <v>2621</v>
      </c>
      <c r="O218" s="2" t="s">
        <v>2622</v>
      </c>
      <c r="P218" s="2" t="s">
        <v>2623</v>
      </c>
      <c r="Q218" s="2" t="s">
        <v>2624</v>
      </c>
      <c r="R218" s="2" t="s">
        <v>312</v>
      </c>
      <c r="S218" s="2" t="s">
        <v>313</v>
      </c>
      <c r="T218" s="2" t="s">
        <v>314</v>
      </c>
      <c r="U218" s="2" t="s">
        <v>29</v>
      </c>
      <c r="V218" s="2" t="n">
        <v>3</v>
      </c>
    </row>
    <row r="219">
      <c r="A219" s="2" t="n">
        <v>218</v>
      </c>
      <c r="B219" s="2" t="s">
        <v>2625</v>
      </c>
      <c r="C219" s="2" t="n">
        <v>243.033268184</v>
      </c>
      <c r="D219" s="2" t="n">
        <v>3.45460667716372</v>
      </c>
      <c r="E219" s="2" t="s">
        <v>2626</v>
      </c>
      <c r="F219" s="2" t="s">
        <v>110</v>
      </c>
      <c r="G219" s="2" t="s">
        <v>2627</v>
      </c>
      <c r="H219" s="2" t="s">
        <v>2628</v>
      </c>
      <c r="I219" s="2" t="s">
        <v>2629</v>
      </c>
      <c r="J219" s="2" t="s">
        <v>29</v>
      </c>
      <c r="K219" s="2" t="s">
        <v>29</v>
      </c>
      <c r="L219" s="2" t="s">
        <v>29</v>
      </c>
      <c r="M219" s="2" t="s">
        <v>2630</v>
      </c>
      <c r="N219" s="2" t="s">
        <v>2631</v>
      </c>
      <c r="O219" s="2" t="s">
        <v>29</v>
      </c>
      <c r="P219" s="2" t="s">
        <v>2632</v>
      </c>
      <c r="Q219" s="2" t="s">
        <v>2633</v>
      </c>
      <c r="R219" s="2" t="s">
        <v>502</v>
      </c>
      <c r="S219" s="2" t="s">
        <v>503</v>
      </c>
      <c r="T219" s="2" t="s">
        <v>205</v>
      </c>
      <c r="U219" s="2" t="s">
        <v>29</v>
      </c>
      <c r="V219" s="2" t="n">
        <v>1</v>
      </c>
    </row>
    <row r="220">
      <c r="A220" s="2" t="n">
        <v>219</v>
      </c>
      <c r="B220" s="2" t="s">
        <v>2634</v>
      </c>
      <c r="C220" s="2" t="n">
        <v>243.064090235</v>
      </c>
      <c r="D220" s="2" t="n">
        <v>5.41899626818851</v>
      </c>
      <c r="E220" s="2" t="s">
        <v>2635</v>
      </c>
      <c r="F220" s="2" t="s">
        <v>522</v>
      </c>
      <c r="G220" s="2" t="s">
        <v>2636</v>
      </c>
      <c r="H220" s="2" t="s">
        <v>2637</v>
      </c>
      <c r="I220" s="2" t="s">
        <v>2638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2639</v>
      </c>
      <c r="O220" s="2" t="s">
        <v>2640</v>
      </c>
      <c r="P220" s="2" t="s">
        <v>2641</v>
      </c>
      <c r="Q220" s="2" t="s">
        <v>2642</v>
      </c>
      <c r="R220" s="2" t="s">
        <v>64</v>
      </c>
      <c r="S220" s="2" t="s">
        <v>65</v>
      </c>
      <c r="T220" s="2" t="s">
        <v>66</v>
      </c>
      <c r="U220" s="2" t="s">
        <v>29</v>
      </c>
      <c r="V220" s="2" t="n">
        <v>1</v>
      </c>
    </row>
    <row r="221">
      <c r="A221" s="2" t="n">
        <v>220</v>
      </c>
      <c r="B221" s="2" t="s">
        <v>2643</v>
      </c>
      <c r="C221" s="2" t="n">
        <v>244.033934934</v>
      </c>
      <c r="D221" s="2" t="n">
        <v>6.67449896568427</v>
      </c>
      <c r="E221" s="2" t="s">
        <v>2644</v>
      </c>
      <c r="F221" s="2" t="s">
        <v>110</v>
      </c>
      <c r="G221" s="2" t="s">
        <v>2645</v>
      </c>
      <c r="H221" s="2" t="s">
        <v>2646</v>
      </c>
      <c r="I221" s="2" t="s">
        <v>2647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2648</v>
      </c>
      <c r="O221" s="2" t="s">
        <v>29</v>
      </c>
      <c r="P221" s="2" t="s">
        <v>2649</v>
      </c>
      <c r="Q221" s="2" t="s">
        <v>2650</v>
      </c>
      <c r="R221" s="2" t="s">
        <v>502</v>
      </c>
      <c r="S221" s="2" t="s">
        <v>503</v>
      </c>
      <c r="T221" s="2" t="s">
        <v>2651</v>
      </c>
      <c r="U221" s="2" t="s">
        <v>29</v>
      </c>
      <c r="V221" s="2" t="n">
        <v>1</v>
      </c>
    </row>
    <row r="222">
      <c r="A222" s="2" t="n">
        <v>221</v>
      </c>
      <c r="B222" s="2" t="s">
        <v>2652</v>
      </c>
      <c r="C222" s="2" t="n">
        <v>244.062670349</v>
      </c>
      <c r="D222" s="2" t="n">
        <v>2.44695481134644</v>
      </c>
      <c r="E222" s="2" t="s">
        <v>2653</v>
      </c>
      <c r="F222" s="2" t="s">
        <v>24</v>
      </c>
      <c r="G222" s="2" t="s">
        <v>2654</v>
      </c>
      <c r="H222" s="2" t="s">
        <v>2655</v>
      </c>
      <c r="I222" s="2" t="s">
        <v>2656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2657</v>
      </c>
      <c r="O222" s="2" t="s">
        <v>29</v>
      </c>
      <c r="P222" s="2" t="s">
        <v>2658</v>
      </c>
      <c r="Q222" s="2" t="s">
        <v>2659</v>
      </c>
      <c r="R222" s="2" t="s">
        <v>49</v>
      </c>
      <c r="S222" s="2" t="s">
        <v>165</v>
      </c>
      <c r="T222" s="2" t="s">
        <v>166</v>
      </c>
      <c r="U222" s="2" t="s">
        <v>29</v>
      </c>
      <c r="V222" s="2" t="n">
        <v>1</v>
      </c>
    </row>
    <row r="223">
      <c r="A223" s="2" t="n">
        <v>222</v>
      </c>
      <c r="B223" s="2" t="s">
        <v>2660</v>
      </c>
      <c r="C223" s="2" t="n">
        <v>244.902396149</v>
      </c>
      <c r="D223" s="2" t="n">
        <v>9.5190227131972</v>
      </c>
      <c r="E223" s="2" t="s">
        <v>2661</v>
      </c>
      <c r="F223" s="2" t="s">
        <v>250</v>
      </c>
      <c r="G223" s="2" t="s">
        <v>2662</v>
      </c>
      <c r="H223" s="2" t="s">
        <v>2663</v>
      </c>
      <c r="I223" s="2" t="s">
        <v>2664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2665</v>
      </c>
      <c r="O223" s="2" t="s">
        <v>29</v>
      </c>
      <c r="P223" s="2" t="s">
        <v>2666</v>
      </c>
      <c r="Q223" s="2" t="s">
        <v>2667</v>
      </c>
      <c r="R223" s="2" t="s">
        <v>49</v>
      </c>
      <c r="S223" s="2" t="s">
        <v>771</v>
      </c>
      <c r="T223" s="2" t="s">
        <v>772</v>
      </c>
      <c r="U223" s="2" t="s">
        <v>29</v>
      </c>
      <c r="V223" s="2" t="n">
        <v>1</v>
      </c>
    </row>
    <row r="224">
      <c r="A224" s="2" t="n">
        <v>223</v>
      </c>
      <c r="B224" s="2" t="s">
        <v>2668</v>
      </c>
      <c r="C224" s="2" t="n">
        <v>247.048932048</v>
      </c>
      <c r="D224" s="2" t="n">
        <v>1.63599396535688</v>
      </c>
      <c r="E224" s="2" t="s">
        <v>2669</v>
      </c>
      <c r="F224" s="2" t="s">
        <v>110</v>
      </c>
      <c r="G224" s="2" t="s">
        <v>2670</v>
      </c>
      <c r="H224" s="2" t="s">
        <v>2671</v>
      </c>
      <c r="I224" s="2" t="s">
        <v>2672</v>
      </c>
      <c r="J224" s="2" t="s">
        <v>2673</v>
      </c>
      <c r="K224" s="2" t="s">
        <v>29</v>
      </c>
      <c r="L224" s="2" t="s">
        <v>2674</v>
      </c>
      <c r="M224" s="2" t="s">
        <v>2675</v>
      </c>
      <c r="N224" s="2" t="s">
        <v>2676</v>
      </c>
      <c r="O224" s="2" t="s">
        <v>2677</v>
      </c>
      <c r="P224" s="2" t="s">
        <v>2678</v>
      </c>
      <c r="Q224" s="2" t="s">
        <v>2679</v>
      </c>
      <c r="R224" s="2" t="s">
        <v>355</v>
      </c>
      <c r="S224" s="2" t="s">
        <v>1316</v>
      </c>
      <c r="T224" s="2" t="s">
        <v>2680</v>
      </c>
      <c r="U224" s="2" t="s">
        <v>39</v>
      </c>
      <c r="V224" s="2" t="n">
        <v>1</v>
      </c>
    </row>
    <row r="225">
      <c r="A225" s="2" t="n">
        <v>224</v>
      </c>
      <c r="B225" s="2" t="s">
        <v>2681</v>
      </c>
      <c r="C225" s="2" t="n">
        <v>247.987770074</v>
      </c>
      <c r="D225" s="2" t="n">
        <v>9.48935039002585</v>
      </c>
      <c r="E225" s="2" t="s">
        <v>2682</v>
      </c>
      <c r="F225" s="2" t="s">
        <v>42</v>
      </c>
      <c r="G225" s="2" t="s">
        <v>2683</v>
      </c>
      <c r="H225" s="2" t="s">
        <v>2684</v>
      </c>
      <c r="I225" s="2" t="s">
        <v>2685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2686</v>
      </c>
      <c r="Q225" s="2" t="s">
        <v>2687</v>
      </c>
      <c r="R225" s="2" t="s">
        <v>49</v>
      </c>
      <c r="S225" s="2" t="s">
        <v>782</v>
      </c>
      <c r="T225" s="2" t="s">
        <v>2688</v>
      </c>
      <c r="U225" s="2" t="s">
        <v>29</v>
      </c>
      <c r="V225" s="2" t="n">
        <v>1</v>
      </c>
    </row>
    <row r="226">
      <c r="A226" s="2" t="n">
        <v>225</v>
      </c>
      <c r="B226" s="2" t="s">
        <v>2689</v>
      </c>
      <c r="C226" s="2" t="n">
        <v>248.917783825</v>
      </c>
      <c r="D226" s="2" t="n">
        <v>0.2407668506094</v>
      </c>
      <c r="E226" s="2" t="s">
        <v>2690</v>
      </c>
      <c r="F226" s="2" t="s">
        <v>24</v>
      </c>
      <c r="G226" s="2" t="s">
        <v>2691</v>
      </c>
      <c r="H226" s="2" t="s">
        <v>2692</v>
      </c>
      <c r="I226" s="2" t="s">
        <v>2693</v>
      </c>
      <c r="J226" s="2" t="s">
        <v>29</v>
      </c>
      <c r="K226" s="2" t="s">
        <v>29</v>
      </c>
      <c r="L226" s="2" t="s">
        <v>29</v>
      </c>
      <c r="M226" s="2" t="s">
        <v>2694</v>
      </c>
      <c r="N226" s="2" t="s">
        <v>29</v>
      </c>
      <c r="O226" s="2" t="s">
        <v>29</v>
      </c>
      <c r="P226" s="2" t="s">
        <v>2695</v>
      </c>
      <c r="Q226" s="2" t="s">
        <v>2696</v>
      </c>
      <c r="R226" s="2" t="s">
        <v>355</v>
      </c>
      <c r="S226" s="2" t="s">
        <v>2697</v>
      </c>
      <c r="T226" s="2" t="s">
        <v>2698</v>
      </c>
      <c r="U226" s="2" t="s">
        <v>29</v>
      </c>
      <c r="V226" s="2" t="n">
        <v>1</v>
      </c>
    </row>
    <row r="227">
      <c r="A227" s="2" t="n">
        <v>226</v>
      </c>
      <c r="B227" s="2" t="s">
        <v>2699</v>
      </c>
      <c r="C227" s="2" t="n">
        <v>248.978938565</v>
      </c>
      <c r="D227" s="2" t="n">
        <v>4.29940230697988</v>
      </c>
      <c r="E227" s="2" t="s">
        <v>2700</v>
      </c>
      <c r="F227" s="2" t="s">
        <v>522</v>
      </c>
      <c r="G227" s="2" t="s">
        <v>2701</v>
      </c>
      <c r="H227" s="2" t="s">
        <v>2702</v>
      </c>
      <c r="I227" s="2" t="s">
        <v>2703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2704</v>
      </c>
      <c r="O227" s="2" t="s">
        <v>29</v>
      </c>
      <c r="P227" s="2" t="s">
        <v>2705</v>
      </c>
      <c r="Q227" s="2" t="s">
        <v>2706</v>
      </c>
      <c r="R227" s="2" t="s">
        <v>36</v>
      </c>
      <c r="S227" s="2" t="s">
        <v>37</v>
      </c>
      <c r="T227" s="2" t="s">
        <v>679</v>
      </c>
      <c r="U227" s="2" t="s">
        <v>29</v>
      </c>
      <c r="V227" s="2" t="n">
        <v>1</v>
      </c>
    </row>
    <row r="228">
      <c r="A228" s="2" t="n">
        <v>227</v>
      </c>
      <c r="B228" s="2" t="s">
        <v>2707</v>
      </c>
      <c r="C228" s="2" t="n">
        <v>249.149618568</v>
      </c>
      <c r="D228" s="2" t="n">
        <v>0.122381813250285</v>
      </c>
      <c r="E228" s="2" t="s">
        <v>2708</v>
      </c>
      <c r="F228" s="2" t="s">
        <v>110</v>
      </c>
      <c r="G228" s="2" t="s">
        <v>2709</v>
      </c>
      <c r="H228" s="2" t="s">
        <v>2710</v>
      </c>
      <c r="I228" s="2" t="s">
        <v>2711</v>
      </c>
      <c r="J228" s="2" t="s">
        <v>2712</v>
      </c>
      <c r="K228" s="2" t="s">
        <v>226</v>
      </c>
      <c r="L228" s="2" t="s">
        <v>2713</v>
      </c>
      <c r="M228" s="2" t="s">
        <v>2714</v>
      </c>
      <c r="N228" s="2" t="s">
        <v>2715</v>
      </c>
      <c r="O228" s="2" t="s">
        <v>2716</v>
      </c>
      <c r="P228" s="2" t="s">
        <v>2717</v>
      </c>
      <c r="Q228" s="2" t="s">
        <v>2718</v>
      </c>
      <c r="R228" s="2" t="s">
        <v>2719</v>
      </c>
      <c r="S228" s="2" t="s">
        <v>2720</v>
      </c>
      <c r="T228" s="2" t="s">
        <v>2721</v>
      </c>
      <c r="U228" s="2" t="s">
        <v>39</v>
      </c>
      <c r="V228" s="2" t="n">
        <v>3</v>
      </c>
    </row>
    <row r="229">
      <c r="A229" s="2" t="n">
        <v>228</v>
      </c>
      <c r="B229" s="2" t="s">
        <v>2722</v>
      </c>
      <c r="C229" s="2" t="n">
        <v>249.18359714</v>
      </c>
      <c r="D229" s="2" t="n">
        <v>6.72299962091314</v>
      </c>
      <c r="E229" s="2" t="s">
        <v>2723</v>
      </c>
      <c r="F229" s="2" t="s">
        <v>360</v>
      </c>
      <c r="G229" s="2" t="s">
        <v>2724</v>
      </c>
      <c r="H229" s="2" t="s">
        <v>2725</v>
      </c>
      <c r="I229" s="2" t="s">
        <v>2726</v>
      </c>
      <c r="J229" s="2" t="s">
        <v>2727</v>
      </c>
      <c r="K229" s="2" t="s">
        <v>2728</v>
      </c>
      <c r="L229" s="2" t="s">
        <v>2729</v>
      </c>
      <c r="M229" s="2" t="s">
        <v>2730</v>
      </c>
      <c r="N229" s="2" t="s">
        <v>2731</v>
      </c>
      <c r="O229" s="2" t="s">
        <v>2732</v>
      </c>
      <c r="P229" s="2" t="s">
        <v>2733</v>
      </c>
      <c r="Q229" s="2" t="s">
        <v>2734</v>
      </c>
      <c r="R229" s="2" t="s">
        <v>575</v>
      </c>
      <c r="S229" s="2" t="s">
        <v>576</v>
      </c>
      <c r="T229" s="2" t="s">
        <v>2735</v>
      </c>
      <c r="U229" s="2" t="s">
        <v>39</v>
      </c>
      <c r="V229" s="2" t="n">
        <v>2</v>
      </c>
    </row>
    <row r="230">
      <c r="A230" s="2" t="n">
        <v>229</v>
      </c>
      <c r="B230" s="2" t="s">
        <v>2736</v>
      </c>
      <c r="C230" s="2" t="n">
        <v>250.06317518</v>
      </c>
      <c r="D230" s="2" t="n">
        <v>5.38139394056355</v>
      </c>
      <c r="E230" s="2" t="s">
        <v>2737</v>
      </c>
      <c r="F230" s="2" t="s">
        <v>522</v>
      </c>
      <c r="G230" s="2" t="s">
        <v>2738</v>
      </c>
      <c r="H230" s="2" t="s">
        <v>2739</v>
      </c>
      <c r="I230" s="2" t="s">
        <v>2740</v>
      </c>
      <c r="J230" s="2" t="s">
        <v>2741</v>
      </c>
      <c r="K230" s="2" t="s">
        <v>29</v>
      </c>
      <c r="L230" s="2" t="s">
        <v>2742</v>
      </c>
      <c r="M230" s="2" t="s">
        <v>2743</v>
      </c>
      <c r="N230" s="2" t="s">
        <v>2744</v>
      </c>
      <c r="O230" s="2" t="s">
        <v>2745</v>
      </c>
      <c r="P230" s="2" t="s">
        <v>2746</v>
      </c>
      <c r="Q230" s="2" t="s">
        <v>2747</v>
      </c>
      <c r="R230" s="2" t="s">
        <v>355</v>
      </c>
      <c r="S230" s="2" t="s">
        <v>2748</v>
      </c>
      <c r="T230" s="2" t="s">
        <v>2749</v>
      </c>
      <c r="U230" s="2" t="s">
        <v>39</v>
      </c>
      <c r="V230" s="2" t="n">
        <v>1</v>
      </c>
    </row>
    <row r="231">
      <c r="A231" s="2" t="n">
        <v>230</v>
      </c>
      <c r="B231" s="2" t="s">
        <v>2750</v>
      </c>
      <c r="C231" s="2" t="n">
        <v>250.986707614</v>
      </c>
      <c r="D231" s="2" t="n">
        <v>11.4521481991622</v>
      </c>
      <c r="E231" s="2" t="s">
        <v>2751</v>
      </c>
      <c r="F231" s="2" t="s">
        <v>24</v>
      </c>
      <c r="G231" s="2" t="s">
        <v>2752</v>
      </c>
      <c r="H231" s="2" t="s">
        <v>2753</v>
      </c>
      <c r="I231" s="2" t="s">
        <v>2754</v>
      </c>
      <c r="J231" s="2" t="s">
        <v>2755</v>
      </c>
      <c r="K231" s="2" t="s">
        <v>226</v>
      </c>
      <c r="L231" s="2" t="s">
        <v>226</v>
      </c>
      <c r="M231" s="2" t="s">
        <v>2756</v>
      </c>
      <c r="N231" s="2" t="s">
        <v>2757</v>
      </c>
      <c r="O231" s="2" t="s">
        <v>226</v>
      </c>
      <c r="P231" s="2" t="s">
        <v>2758</v>
      </c>
      <c r="Q231" s="2" t="s">
        <v>2759</v>
      </c>
      <c r="R231" s="2" t="s">
        <v>328</v>
      </c>
      <c r="S231" s="2" t="s">
        <v>2760</v>
      </c>
      <c r="T231" s="2" t="s">
        <v>2761</v>
      </c>
      <c r="U231" s="2" t="s">
        <v>29</v>
      </c>
      <c r="V231" s="2" t="n">
        <v>3</v>
      </c>
    </row>
    <row r="232">
      <c r="A232" s="2" t="n">
        <v>231</v>
      </c>
      <c r="B232" s="2" t="s">
        <v>2762</v>
      </c>
      <c r="C232" s="2" t="n">
        <v>251.151349904</v>
      </c>
      <c r="D232" s="2" t="n">
        <v>15.5135495435087</v>
      </c>
      <c r="E232" s="2" t="s">
        <v>2763</v>
      </c>
      <c r="F232" s="2" t="s">
        <v>110</v>
      </c>
      <c r="G232" s="2" t="s">
        <v>2764</v>
      </c>
      <c r="H232" s="2" t="s">
        <v>2765</v>
      </c>
      <c r="I232" s="2" t="s">
        <v>2766</v>
      </c>
      <c r="J232" s="2" t="s">
        <v>2767</v>
      </c>
      <c r="K232" s="2" t="s">
        <v>29</v>
      </c>
      <c r="L232" s="2" t="s">
        <v>2768</v>
      </c>
      <c r="M232" s="2" t="s">
        <v>29</v>
      </c>
      <c r="N232" s="2" t="s">
        <v>2769</v>
      </c>
      <c r="O232" s="2" t="s">
        <v>2770</v>
      </c>
      <c r="P232" s="2" t="s">
        <v>2771</v>
      </c>
      <c r="Q232" s="2" t="s">
        <v>2772</v>
      </c>
      <c r="R232" s="2" t="s">
        <v>36</v>
      </c>
      <c r="S232" s="2" t="s">
        <v>37</v>
      </c>
      <c r="T232" s="2" t="s">
        <v>679</v>
      </c>
      <c r="U232" s="2" t="s">
        <v>39</v>
      </c>
      <c r="V232" s="2" t="n">
        <v>1</v>
      </c>
    </row>
    <row r="233">
      <c r="A233" s="2" t="n">
        <v>232</v>
      </c>
      <c r="B233" s="2" t="s">
        <v>2773</v>
      </c>
      <c r="C233" s="2" t="n">
        <v>251.20165414</v>
      </c>
      <c r="D233" s="2" t="n">
        <v>3.22367821092059</v>
      </c>
      <c r="E233" s="2" t="s">
        <v>2774</v>
      </c>
      <c r="F233" s="2" t="s">
        <v>110</v>
      </c>
      <c r="G233" s="2" t="s">
        <v>2775</v>
      </c>
      <c r="H233" s="2" t="s">
        <v>2776</v>
      </c>
      <c r="I233" s="2" t="s">
        <v>2777</v>
      </c>
      <c r="J233" s="2" t="s">
        <v>2778</v>
      </c>
      <c r="K233" s="2" t="s">
        <v>2779</v>
      </c>
      <c r="L233" s="2" t="s">
        <v>226</v>
      </c>
      <c r="M233" s="2" t="s">
        <v>2780</v>
      </c>
      <c r="N233" s="2" t="s">
        <v>2781</v>
      </c>
      <c r="O233" s="2" t="s">
        <v>2782</v>
      </c>
      <c r="P233" s="2" t="s">
        <v>2783</v>
      </c>
      <c r="Q233" s="2" t="s">
        <v>2784</v>
      </c>
      <c r="R233" s="2" t="s">
        <v>105</v>
      </c>
      <c r="S233" s="2" t="s">
        <v>106</v>
      </c>
      <c r="T233" s="2" t="s">
        <v>2785</v>
      </c>
      <c r="U233" s="2" t="s">
        <v>29</v>
      </c>
      <c r="V233" s="2" t="n">
        <v>3</v>
      </c>
    </row>
    <row r="234">
      <c r="A234" s="2" t="n">
        <v>233</v>
      </c>
      <c r="B234" s="2" t="s">
        <v>2786</v>
      </c>
      <c r="C234" s="2" t="n">
        <v>251.965142338</v>
      </c>
      <c r="D234" s="2" t="n">
        <v>8.15537869933172</v>
      </c>
      <c r="E234" s="2" t="s">
        <v>2787</v>
      </c>
      <c r="F234" s="2" t="s">
        <v>522</v>
      </c>
      <c r="G234" s="2" t="s">
        <v>2788</v>
      </c>
      <c r="H234" s="2" t="s">
        <v>2789</v>
      </c>
      <c r="I234" s="2" t="s">
        <v>2790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2791</v>
      </c>
      <c r="O234" s="2" t="s">
        <v>29</v>
      </c>
      <c r="P234" s="2" t="s">
        <v>2792</v>
      </c>
      <c r="Q234" s="2" t="s">
        <v>2793</v>
      </c>
      <c r="R234" s="2" t="s">
        <v>355</v>
      </c>
      <c r="S234" s="2" t="s">
        <v>2193</v>
      </c>
      <c r="T234" s="2" t="s">
        <v>205</v>
      </c>
      <c r="U234" s="2" t="s">
        <v>29</v>
      </c>
      <c r="V234" s="2" t="n">
        <v>1</v>
      </c>
    </row>
    <row r="235">
      <c r="A235" s="2" t="n">
        <v>234</v>
      </c>
      <c r="B235" s="2" t="s">
        <v>2794</v>
      </c>
      <c r="C235" s="2" t="n">
        <v>252.96128239</v>
      </c>
      <c r="D235" s="2" t="n">
        <v>6.29630484469929</v>
      </c>
      <c r="E235" s="2" t="s">
        <v>2795</v>
      </c>
      <c r="F235" s="2" t="s">
        <v>522</v>
      </c>
      <c r="G235" s="2" t="s">
        <v>2796</v>
      </c>
      <c r="H235" s="2" t="s">
        <v>2797</v>
      </c>
      <c r="I235" s="2" t="s">
        <v>2798</v>
      </c>
      <c r="J235" s="2" t="s">
        <v>72</v>
      </c>
      <c r="K235" s="2" t="s">
        <v>72</v>
      </c>
      <c r="L235" s="2" t="s">
        <v>72</v>
      </c>
      <c r="M235" s="2" t="s">
        <v>72</v>
      </c>
      <c r="N235" s="2" t="s">
        <v>2799</v>
      </c>
      <c r="O235" s="2" t="s">
        <v>72</v>
      </c>
      <c r="P235" s="2" t="s">
        <v>2800</v>
      </c>
      <c r="Q235" s="2" t="s">
        <v>2801</v>
      </c>
      <c r="R235" s="2" t="s">
        <v>715</v>
      </c>
      <c r="S235" s="2" t="s">
        <v>2802</v>
      </c>
      <c r="T235" s="2" t="s">
        <v>2803</v>
      </c>
      <c r="U235" s="2" t="s">
        <v>29</v>
      </c>
      <c r="V235" s="2" t="n">
        <v>2</v>
      </c>
    </row>
    <row r="236">
      <c r="A236" s="2" t="n">
        <v>235</v>
      </c>
      <c r="B236" s="2" t="s">
        <v>2804</v>
      </c>
      <c r="C236" s="2" t="n">
        <v>254.014493393</v>
      </c>
      <c r="D236" s="2" t="n">
        <v>1.05084577173386</v>
      </c>
      <c r="E236" s="2" t="s">
        <v>2805</v>
      </c>
      <c r="F236" s="2" t="s">
        <v>110</v>
      </c>
      <c r="G236" s="2" t="s">
        <v>2806</v>
      </c>
      <c r="H236" s="2" t="s">
        <v>2807</v>
      </c>
      <c r="I236" s="2" t="s">
        <v>2808</v>
      </c>
      <c r="J236" s="2" t="s">
        <v>2809</v>
      </c>
      <c r="K236" s="2" t="s">
        <v>29</v>
      </c>
      <c r="L236" s="2" t="s">
        <v>2810</v>
      </c>
      <c r="M236" s="2" t="s">
        <v>2811</v>
      </c>
      <c r="N236" s="2" t="s">
        <v>2812</v>
      </c>
      <c r="O236" s="2" t="s">
        <v>2813</v>
      </c>
      <c r="P236" s="2" t="s">
        <v>2814</v>
      </c>
      <c r="Q236" s="2" t="s">
        <v>2815</v>
      </c>
      <c r="R236" s="2" t="s">
        <v>502</v>
      </c>
      <c r="S236" s="2" t="s">
        <v>503</v>
      </c>
      <c r="T236" s="2" t="s">
        <v>2174</v>
      </c>
      <c r="U236" s="2" t="s">
        <v>39</v>
      </c>
      <c r="V236" s="2" t="n">
        <v>1</v>
      </c>
    </row>
    <row r="237">
      <c r="A237" s="2" t="n">
        <v>236</v>
      </c>
      <c r="B237" s="2" t="s">
        <v>2816</v>
      </c>
      <c r="C237" s="2" t="n">
        <v>254.854041332</v>
      </c>
      <c r="D237" s="2" t="n">
        <v>3.66295069140638</v>
      </c>
      <c r="E237" s="2" t="s">
        <v>2817</v>
      </c>
      <c r="F237" s="2" t="s">
        <v>360</v>
      </c>
      <c r="G237" s="2" t="s">
        <v>2818</v>
      </c>
      <c r="H237" s="2" t="s">
        <v>2819</v>
      </c>
      <c r="I237" s="2" t="s">
        <v>2820</v>
      </c>
      <c r="J237" s="2" t="s">
        <v>2821</v>
      </c>
      <c r="K237" s="2" t="s">
        <v>72</v>
      </c>
      <c r="L237" s="2" t="s">
        <v>72</v>
      </c>
      <c r="M237" s="2" t="s">
        <v>2822</v>
      </c>
      <c r="N237" s="2" t="s">
        <v>2823</v>
      </c>
      <c r="O237" s="2" t="s">
        <v>2824</v>
      </c>
      <c r="P237" s="2" t="s">
        <v>2825</v>
      </c>
      <c r="Q237" s="2" t="s">
        <v>2826</v>
      </c>
      <c r="R237" s="2" t="s">
        <v>941</v>
      </c>
      <c r="S237" s="2" t="s">
        <v>2827</v>
      </c>
      <c r="T237" s="2" t="s">
        <v>247</v>
      </c>
      <c r="U237" s="2" t="s">
        <v>29</v>
      </c>
      <c r="V237" s="2" t="n">
        <v>2</v>
      </c>
    </row>
    <row r="238">
      <c r="A238" s="2" t="n">
        <v>237</v>
      </c>
      <c r="B238" s="2" t="s">
        <v>2828</v>
      </c>
      <c r="C238" s="2" t="n">
        <v>254.996883152</v>
      </c>
      <c r="D238" s="2" t="n">
        <v>0.325295271403789</v>
      </c>
      <c r="E238" s="2" t="s">
        <v>2829</v>
      </c>
      <c r="F238" s="2" t="s">
        <v>110</v>
      </c>
      <c r="G238" s="2" t="s">
        <v>2830</v>
      </c>
      <c r="H238" s="2" t="s">
        <v>2831</v>
      </c>
      <c r="I238" s="2" t="s">
        <v>2832</v>
      </c>
      <c r="J238" s="2" t="s">
        <v>2833</v>
      </c>
      <c r="K238" s="2" t="s">
        <v>29</v>
      </c>
      <c r="L238" s="2" t="s">
        <v>2834</v>
      </c>
      <c r="M238" s="2" t="s">
        <v>2835</v>
      </c>
      <c r="N238" s="2" t="s">
        <v>2836</v>
      </c>
      <c r="O238" s="2" t="s">
        <v>2837</v>
      </c>
      <c r="P238" s="2" t="s">
        <v>2838</v>
      </c>
      <c r="Q238" s="2" t="s">
        <v>2839</v>
      </c>
      <c r="R238" s="2" t="s">
        <v>2509</v>
      </c>
      <c r="S238" s="2" t="s">
        <v>2840</v>
      </c>
      <c r="T238" s="2" t="s">
        <v>205</v>
      </c>
      <c r="U238" s="2" t="s">
        <v>39</v>
      </c>
      <c r="V238" s="2" t="n">
        <v>1</v>
      </c>
    </row>
    <row r="239">
      <c r="A239" s="2" t="n">
        <v>238</v>
      </c>
      <c r="B239" s="2" t="s">
        <v>2841</v>
      </c>
      <c r="C239" s="2" t="n">
        <v>255.103594535</v>
      </c>
      <c r="D239" s="2" t="n">
        <v>0.206957710651735</v>
      </c>
      <c r="E239" s="2" t="s">
        <v>2842</v>
      </c>
      <c r="F239" s="2" t="s">
        <v>110</v>
      </c>
      <c r="G239" s="2" t="s">
        <v>2843</v>
      </c>
      <c r="H239" s="2" t="s">
        <v>2844</v>
      </c>
      <c r="I239" s="2" t="s">
        <v>2845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2846</v>
      </c>
      <c r="O239" s="2" t="s">
        <v>29</v>
      </c>
      <c r="P239" s="2" t="s">
        <v>2847</v>
      </c>
      <c r="Q239" s="2" t="s">
        <v>2848</v>
      </c>
      <c r="R239" s="2" t="s">
        <v>64</v>
      </c>
      <c r="S239" s="2" t="s">
        <v>65</v>
      </c>
      <c r="T239" s="2" t="s">
        <v>91</v>
      </c>
      <c r="U239" s="2" t="s">
        <v>29</v>
      </c>
      <c r="V239" s="2" t="n">
        <v>1</v>
      </c>
    </row>
    <row r="240">
      <c r="A240" s="2" t="n">
        <v>239</v>
      </c>
      <c r="B240" s="2" t="s">
        <v>2849</v>
      </c>
      <c r="C240" s="2" t="n">
        <v>256.9592704</v>
      </c>
      <c r="D240" s="2" t="n">
        <v>3.57402833838905</v>
      </c>
      <c r="E240" s="2" t="s">
        <v>2850</v>
      </c>
      <c r="F240" s="2" t="s">
        <v>42</v>
      </c>
      <c r="G240" s="2" t="s">
        <v>2851</v>
      </c>
      <c r="H240" s="2" t="s">
        <v>2852</v>
      </c>
      <c r="I240" s="2" t="s">
        <v>2853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2854</v>
      </c>
      <c r="O240" s="2" t="s">
        <v>29</v>
      </c>
      <c r="P240" s="2" t="s">
        <v>2855</v>
      </c>
      <c r="Q240" s="2" t="s">
        <v>2856</v>
      </c>
      <c r="R240" s="2" t="s">
        <v>502</v>
      </c>
      <c r="S240" s="2" t="s">
        <v>503</v>
      </c>
      <c r="T240" s="2" t="s">
        <v>1421</v>
      </c>
      <c r="U240" s="2" t="s">
        <v>29</v>
      </c>
      <c r="V240" s="2" t="n">
        <v>1</v>
      </c>
    </row>
    <row r="241">
      <c r="A241" s="2" t="n">
        <v>240</v>
      </c>
      <c r="B241" s="2" t="s">
        <v>2857</v>
      </c>
      <c r="C241" s="2" t="n">
        <v>256.999794085</v>
      </c>
      <c r="D241" s="2" t="n">
        <v>0.290074141712105</v>
      </c>
      <c r="E241" s="2" t="s">
        <v>2858</v>
      </c>
      <c r="F241" s="2" t="s">
        <v>522</v>
      </c>
      <c r="G241" s="2" t="s">
        <v>2859</v>
      </c>
      <c r="H241" s="2" t="s">
        <v>2860</v>
      </c>
      <c r="I241" s="2" t="s">
        <v>2861</v>
      </c>
      <c r="J241" s="2" t="s">
        <v>2862</v>
      </c>
      <c r="K241" s="2" t="s">
        <v>29</v>
      </c>
      <c r="L241" s="2" t="s">
        <v>29</v>
      </c>
      <c r="M241" s="2" t="s">
        <v>29</v>
      </c>
      <c r="N241" s="2" t="s">
        <v>2863</v>
      </c>
      <c r="O241" s="2" t="s">
        <v>29</v>
      </c>
      <c r="P241" s="2" t="s">
        <v>2864</v>
      </c>
      <c r="Q241" s="2" t="s">
        <v>2865</v>
      </c>
      <c r="R241" s="2" t="s">
        <v>502</v>
      </c>
      <c r="S241" s="2" t="s">
        <v>503</v>
      </c>
      <c r="T241" s="2" t="s">
        <v>1421</v>
      </c>
      <c r="U241" s="2" t="s">
        <v>29</v>
      </c>
      <c r="V241" s="2" t="n">
        <v>1</v>
      </c>
    </row>
    <row r="242">
      <c r="A242" s="2" t="n">
        <v>241</v>
      </c>
      <c r="B242" s="2" t="s">
        <v>2866</v>
      </c>
      <c r="C242" s="2" t="n">
        <v>257.030291282</v>
      </c>
      <c r="D242" s="2" t="n">
        <v>0.805594120171652</v>
      </c>
      <c r="E242" s="2" t="s">
        <v>2867</v>
      </c>
      <c r="F242" s="2" t="s">
        <v>110</v>
      </c>
      <c r="G242" s="2" t="s">
        <v>2868</v>
      </c>
      <c r="H242" s="2" t="s">
        <v>2869</v>
      </c>
      <c r="I242" s="2" t="s">
        <v>2870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2871</v>
      </c>
      <c r="O242" s="2" t="s">
        <v>29</v>
      </c>
      <c r="P242" s="2" t="s">
        <v>2872</v>
      </c>
      <c r="Q242" s="2" t="s">
        <v>2873</v>
      </c>
      <c r="R242" s="2" t="s">
        <v>49</v>
      </c>
      <c r="S242" s="2" t="s">
        <v>165</v>
      </c>
      <c r="T242" s="2" t="s">
        <v>2874</v>
      </c>
      <c r="U242" s="2" t="s">
        <v>29</v>
      </c>
      <c r="V242" s="2" t="n">
        <v>1</v>
      </c>
    </row>
    <row r="243">
      <c r="A243" s="2" t="n">
        <v>242</v>
      </c>
      <c r="B243" s="2" t="s">
        <v>2875</v>
      </c>
      <c r="C243" s="2" t="n">
        <v>257.07791019</v>
      </c>
      <c r="D243" s="2" t="n">
        <v>3.23551291795063</v>
      </c>
      <c r="E243" s="2" t="s">
        <v>2876</v>
      </c>
      <c r="F243" s="2" t="s">
        <v>110</v>
      </c>
      <c r="G243" s="2" t="s">
        <v>2877</v>
      </c>
      <c r="H243" s="2" t="s">
        <v>2878</v>
      </c>
      <c r="I243" s="2" t="s">
        <v>2879</v>
      </c>
      <c r="J243" s="2" t="s">
        <v>2880</v>
      </c>
      <c r="K243" s="2" t="s">
        <v>29</v>
      </c>
      <c r="L243" s="2" t="s">
        <v>2881</v>
      </c>
      <c r="M243" s="2" t="s">
        <v>29</v>
      </c>
      <c r="N243" s="2" t="s">
        <v>2882</v>
      </c>
      <c r="O243" s="2" t="s">
        <v>2883</v>
      </c>
      <c r="P243" s="2" t="s">
        <v>2884</v>
      </c>
      <c r="Q243" s="2" t="s">
        <v>2885</v>
      </c>
      <c r="R243" s="2" t="s">
        <v>2590</v>
      </c>
      <c r="S243" s="2" t="s">
        <v>2886</v>
      </c>
      <c r="T243" s="2" t="s">
        <v>205</v>
      </c>
      <c r="U243" s="2" t="s">
        <v>39</v>
      </c>
      <c r="V243" s="2" t="n">
        <v>1</v>
      </c>
    </row>
    <row r="244">
      <c r="A244" s="2" t="n">
        <v>243</v>
      </c>
      <c r="B244" s="2" t="s">
        <v>2887</v>
      </c>
      <c r="C244" s="2" t="n">
        <v>259.022557802</v>
      </c>
      <c r="D244" s="2" t="n">
        <v>0.466486521187966</v>
      </c>
      <c r="E244" s="2" t="s">
        <v>2888</v>
      </c>
      <c r="F244" s="2" t="s">
        <v>250</v>
      </c>
      <c r="G244" s="2" t="s">
        <v>2889</v>
      </c>
      <c r="H244" s="2" t="s">
        <v>2890</v>
      </c>
      <c r="I244" s="2" t="s">
        <v>2891</v>
      </c>
      <c r="J244" s="2" t="s">
        <v>2892</v>
      </c>
      <c r="K244" s="2" t="s">
        <v>29</v>
      </c>
      <c r="L244" s="2" t="s">
        <v>29</v>
      </c>
      <c r="M244" s="2" t="s">
        <v>2893</v>
      </c>
      <c r="N244" s="2" t="s">
        <v>2894</v>
      </c>
      <c r="O244" s="2" t="s">
        <v>2895</v>
      </c>
      <c r="P244" s="2" t="s">
        <v>2896</v>
      </c>
      <c r="Q244" s="2" t="s">
        <v>2897</v>
      </c>
      <c r="R244" s="2" t="s">
        <v>64</v>
      </c>
      <c r="S244" s="2" t="s">
        <v>65</v>
      </c>
      <c r="T244" s="2" t="s">
        <v>66</v>
      </c>
      <c r="U244" s="2" t="s">
        <v>29</v>
      </c>
      <c r="V244" s="2" t="n">
        <v>1</v>
      </c>
    </row>
    <row r="245">
      <c r="A245" s="2" t="n">
        <v>244</v>
      </c>
      <c r="B245" s="2" t="s">
        <v>2898</v>
      </c>
      <c r="C245" s="2" t="n">
        <v>260.993641692</v>
      </c>
      <c r="D245" s="2" t="n">
        <v>1.86598297505334</v>
      </c>
      <c r="E245" s="2" t="s">
        <v>2899</v>
      </c>
      <c r="F245" s="2" t="s">
        <v>522</v>
      </c>
      <c r="G245" s="2" t="s">
        <v>2900</v>
      </c>
      <c r="H245" s="2" t="s">
        <v>2901</v>
      </c>
      <c r="I245" s="2" t="s">
        <v>2902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2903</v>
      </c>
      <c r="O245" s="2" t="s">
        <v>29</v>
      </c>
      <c r="P245" s="2" t="s">
        <v>2904</v>
      </c>
      <c r="Q245" s="2" t="s">
        <v>2905</v>
      </c>
      <c r="R245" s="2" t="s">
        <v>49</v>
      </c>
      <c r="S245" s="2" t="s">
        <v>165</v>
      </c>
      <c r="T245" s="2" t="s">
        <v>179</v>
      </c>
      <c r="U245" s="2" t="s">
        <v>29</v>
      </c>
      <c r="V245" s="2" t="n">
        <v>1</v>
      </c>
    </row>
    <row r="246">
      <c r="A246" s="2" t="n">
        <v>245</v>
      </c>
      <c r="B246" s="2" t="s">
        <v>2906</v>
      </c>
      <c r="C246" s="2" t="n">
        <v>261.032219832</v>
      </c>
      <c r="D246" s="2" t="n">
        <v>2.80226314440162</v>
      </c>
      <c r="E246" s="2" t="s">
        <v>2907</v>
      </c>
      <c r="F246" s="2" t="s">
        <v>110</v>
      </c>
      <c r="G246" s="2" t="s">
        <v>2908</v>
      </c>
      <c r="H246" s="2" t="s">
        <v>2909</v>
      </c>
      <c r="I246" s="2" t="s">
        <v>2910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2911</v>
      </c>
      <c r="Q246" s="2" t="s">
        <v>2912</v>
      </c>
      <c r="R246" s="2" t="s">
        <v>49</v>
      </c>
      <c r="S246" s="2" t="s">
        <v>771</v>
      </c>
      <c r="T246" s="2" t="s">
        <v>772</v>
      </c>
      <c r="U246" s="2" t="s">
        <v>29</v>
      </c>
      <c r="V246" s="2" t="n">
        <v>1</v>
      </c>
    </row>
    <row r="247">
      <c r="A247" s="2" t="n">
        <v>246</v>
      </c>
      <c r="B247" s="2" t="s">
        <v>2913</v>
      </c>
      <c r="C247" s="2" t="n">
        <v>261.131677084</v>
      </c>
      <c r="D247" s="2" t="n">
        <v>4.04675944468496</v>
      </c>
      <c r="E247" s="2" t="s">
        <v>2914</v>
      </c>
      <c r="F247" s="2" t="s">
        <v>110</v>
      </c>
      <c r="G247" s="2" t="s">
        <v>2915</v>
      </c>
      <c r="H247" s="2" t="s">
        <v>2916</v>
      </c>
      <c r="I247" s="2" t="s">
        <v>2917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2918</v>
      </c>
      <c r="O247" s="2" t="s">
        <v>29</v>
      </c>
      <c r="P247" s="2" t="s">
        <v>2919</v>
      </c>
      <c r="Q247" s="2" t="s">
        <v>2920</v>
      </c>
      <c r="R247" s="2" t="s">
        <v>64</v>
      </c>
      <c r="S247" s="2" t="s">
        <v>65</v>
      </c>
      <c r="T247" s="2" t="s">
        <v>2921</v>
      </c>
      <c r="U247" s="2" t="s">
        <v>29</v>
      </c>
      <c r="V247" s="2" t="n">
        <v>1</v>
      </c>
    </row>
    <row r="248">
      <c r="A248" s="2" t="n">
        <v>247</v>
      </c>
      <c r="B248" s="2" t="s">
        <v>2922</v>
      </c>
      <c r="C248" s="2" t="n">
        <v>263.006207272</v>
      </c>
      <c r="D248" s="2" t="n">
        <v>1.74101872268303</v>
      </c>
      <c r="E248" s="2" t="s">
        <v>2923</v>
      </c>
      <c r="F248" s="2" t="s">
        <v>110</v>
      </c>
      <c r="G248" s="2" t="s">
        <v>2924</v>
      </c>
      <c r="H248" s="2" t="s">
        <v>2925</v>
      </c>
      <c r="I248" s="2" t="s">
        <v>2926</v>
      </c>
      <c r="J248" s="2" t="s">
        <v>2927</v>
      </c>
      <c r="K248" s="2" t="s">
        <v>29</v>
      </c>
      <c r="L248" s="2" t="s">
        <v>29</v>
      </c>
      <c r="M248" s="2" t="s">
        <v>2928</v>
      </c>
      <c r="N248" s="2" t="s">
        <v>2929</v>
      </c>
      <c r="O248" s="2" t="s">
        <v>2930</v>
      </c>
      <c r="P248" s="2" t="s">
        <v>2931</v>
      </c>
      <c r="Q248" s="2" t="s">
        <v>2932</v>
      </c>
      <c r="R248" s="2" t="s">
        <v>355</v>
      </c>
      <c r="S248" s="2" t="s">
        <v>205</v>
      </c>
      <c r="T248" s="2" t="s">
        <v>205</v>
      </c>
      <c r="U248" s="2" t="s">
        <v>29</v>
      </c>
      <c r="V248" s="2" t="n">
        <v>1</v>
      </c>
    </row>
    <row r="249">
      <c r="A249" s="2" t="n">
        <v>248</v>
      </c>
      <c r="B249" s="2" t="s">
        <v>2933</v>
      </c>
      <c r="C249" s="2" t="n">
        <v>265.002358152</v>
      </c>
      <c r="D249" s="2" t="n">
        <v>0.113126685068712</v>
      </c>
      <c r="E249" s="2" t="s">
        <v>2934</v>
      </c>
      <c r="F249" s="2" t="s">
        <v>24</v>
      </c>
      <c r="G249" s="2" t="s">
        <v>2935</v>
      </c>
      <c r="H249" s="2" t="s">
        <v>2936</v>
      </c>
      <c r="I249" s="2" t="s">
        <v>2937</v>
      </c>
      <c r="J249" s="2" t="s">
        <v>226</v>
      </c>
      <c r="K249" s="2" t="s">
        <v>226</v>
      </c>
      <c r="L249" s="2" t="s">
        <v>226</v>
      </c>
      <c r="M249" s="2" t="s">
        <v>2938</v>
      </c>
      <c r="N249" s="2" t="s">
        <v>2939</v>
      </c>
      <c r="O249" s="2" t="s">
        <v>226</v>
      </c>
      <c r="P249" s="2" t="s">
        <v>2940</v>
      </c>
      <c r="Q249" s="2" t="s">
        <v>2941</v>
      </c>
      <c r="R249" s="2" t="s">
        <v>312</v>
      </c>
      <c r="S249" s="2" t="s">
        <v>2942</v>
      </c>
      <c r="T249" s="2" t="s">
        <v>2943</v>
      </c>
      <c r="U249" s="2" t="s">
        <v>29</v>
      </c>
      <c r="V249" s="2" t="n">
        <v>3</v>
      </c>
    </row>
    <row r="250">
      <c r="A250" s="2" t="n">
        <v>249</v>
      </c>
      <c r="B250" s="2" t="s">
        <v>2944</v>
      </c>
      <c r="C250" s="2" t="n">
        <v>265.059497209</v>
      </c>
      <c r="D250" s="2" t="n">
        <v>3.78515218058288</v>
      </c>
      <c r="E250" s="2" t="s">
        <v>2945</v>
      </c>
      <c r="F250" s="2" t="s">
        <v>110</v>
      </c>
      <c r="G250" s="2" t="s">
        <v>2946</v>
      </c>
      <c r="H250" s="2" t="s">
        <v>2947</v>
      </c>
      <c r="I250" s="2" t="s">
        <v>2948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2949</v>
      </c>
      <c r="O250" s="2" t="s">
        <v>29</v>
      </c>
      <c r="P250" s="2" t="s">
        <v>2950</v>
      </c>
      <c r="Q250" s="2" t="s">
        <v>2951</v>
      </c>
      <c r="R250" s="2" t="s">
        <v>49</v>
      </c>
      <c r="S250" s="2" t="s">
        <v>165</v>
      </c>
      <c r="T250" s="2" t="s">
        <v>166</v>
      </c>
      <c r="U250" s="2" t="s">
        <v>29</v>
      </c>
      <c r="V250" s="2" t="n">
        <v>1</v>
      </c>
    </row>
    <row r="251">
      <c r="A251" s="2" t="n">
        <v>250</v>
      </c>
      <c r="B251" s="2" t="s">
        <v>2952</v>
      </c>
      <c r="C251" s="2" t="n">
        <v>265.217304204</v>
      </c>
      <c r="D251" s="2" t="n">
        <v>1.85465271780815</v>
      </c>
      <c r="E251" s="2" t="s">
        <v>2953</v>
      </c>
      <c r="F251" s="2" t="s">
        <v>110</v>
      </c>
      <c r="G251" s="2" t="s">
        <v>2954</v>
      </c>
      <c r="H251" s="2" t="s">
        <v>2955</v>
      </c>
      <c r="I251" s="2" t="s">
        <v>2956</v>
      </c>
      <c r="J251" s="2" t="s">
        <v>2957</v>
      </c>
      <c r="K251" s="2" t="s">
        <v>2958</v>
      </c>
      <c r="L251" s="2" t="s">
        <v>226</v>
      </c>
      <c r="M251" s="2" t="s">
        <v>2959</v>
      </c>
      <c r="N251" s="2" t="s">
        <v>2960</v>
      </c>
      <c r="O251" s="2" t="s">
        <v>2961</v>
      </c>
      <c r="P251" s="2" t="s">
        <v>2962</v>
      </c>
      <c r="Q251" s="2" t="s">
        <v>2963</v>
      </c>
      <c r="R251" s="2" t="s">
        <v>105</v>
      </c>
      <c r="S251" s="2" t="s">
        <v>2964</v>
      </c>
      <c r="T251" s="2" t="s">
        <v>2965</v>
      </c>
      <c r="U251" s="2" t="s">
        <v>29</v>
      </c>
      <c r="V251" s="2" t="n">
        <v>3</v>
      </c>
    </row>
    <row r="252">
      <c r="A252" s="2" t="n">
        <v>251</v>
      </c>
      <c r="B252" s="2" t="s">
        <v>2966</v>
      </c>
      <c r="C252" s="2" t="n">
        <v>265.9908827</v>
      </c>
      <c r="D252" s="2" t="n">
        <v>2.61331912046122</v>
      </c>
      <c r="E252" s="2" t="s">
        <v>2967</v>
      </c>
      <c r="F252" s="2" t="s">
        <v>110</v>
      </c>
      <c r="G252" s="2" t="s">
        <v>2968</v>
      </c>
      <c r="H252" s="2" t="s">
        <v>2969</v>
      </c>
      <c r="I252" s="2" t="s">
        <v>2970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2971</v>
      </c>
      <c r="O252" s="2" t="s">
        <v>2972</v>
      </c>
      <c r="P252" s="2" t="s">
        <v>2973</v>
      </c>
      <c r="Q252" s="2" t="s">
        <v>2974</v>
      </c>
      <c r="R252" s="2" t="s">
        <v>355</v>
      </c>
      <c r="S252" s="2" t="s">
        <v>2975</v>
      </c>
      <c r="T252" s="2" t="s">
        <v>205</v>
      </c>
      <c r="U252" s="2" t="s">
        <v>29</v>
      </c>
      <c r="V252" s="2" t="n">
        <v>1</v>
      </c>
    </row>
    <row r="253">
      <c r="A253" s="2" t="n">
        <v>252</v>
      </c>
      <c r="B253" s="2" t="s">
        <v>2976</v>
      </c>
      <c r="C253" s="2" t="n">
        <v>266.089477929</v>
      </c>
      <c r="D253" s="2" t="n">
        <v>1.03381914968905</v>
      </c>
      <c r="E253" s="2" t="s">
        <v>2977</v>
      </c>
      <c r="F253" s="2" t="s">
        <v>110</v>
      </c>
      <c r="G253" s="2" t="s">
        <v>2978</v>
      </c>
      <c r="H253" s="2" t="s">
        <v>2979</v>
      </c>
      <c r="I253" s="2" t="s">
        <v>2980</v>
      </c>
      <c r="J253" s="2" t="s">
        <v>2981</v>
      </c>
      <c r="K253" s="2" t="s">
        <v>226</v>
      </c>
      <c r="L253" s="2" t="s">
        <v>2982</v>
      </c>
      <c r="M253" s="2" t="s">
        <v>2983</v>
      </c>
      <c r="N253" s="2" t="s">
        <v>2984</v>
      </c>
      <c r="O253" s="2" t="s">
        <v>2985</v>
      </c>
      <c r="P253" s="2" t="s">
        <v>2986</v>
      </c>
      <c r="Q253" s="2" t="s">
        <v>2987</v>
      </c>
      <c r="R253" s="2" t="s">
        <v>2988</v>
      </c>
      <c r="S253" s="2" t="s">
        <v>2989</v>
      </c>
      <c r="T253" s="2" t="s">
        <v>2990</v>
      </c>
      <c r="U253" s="2" t="s">
        <v>39</v>
      </c>
      <c r="V253" s="2" t="n">
        <v>3</v>
      </c>
    </row>
    <row r="254">
      <c r="A254" s="2" t="n">
        <v>253</v>
      </c>
      <c r="B254" s="2" t="s">
        <v>2991</v>
      </c>
      <c r="C254" s="2" t="n">
        <v>266.148608613</v>
      </c>
      <c r="D254" s="2" t="n">
        <v>7.37598833172831</v>
      </c>
      <c r="E254" s="2" t="s">
        <v>2992</v>
      </c>
      <c r="F254" s="2" t="s">
        <v>360</v>
      </c>
      <c r="G254" s="2" t="s">
        <v>2993</v>
      </c>
      <c r="H254" s="2" t="s">
        <v>2994</v>
      </c>
      <c r="I254" s="2" t="s">
        <v>2995</v>
      </c>
      <c r="J254" s="2" t="s">
        <v>2996</v>
      </c>
      <c r="K254" s="2" t="s">
        <v>72</v>
      </c>
      <c r="L254" s="2" t="s">
        <v>72</v>
      </c>
      <c r="M254" s="2" t="s">
        <v>2997</v>
      </c>
      <c r="N254" s="2" t="s">
        <v>2998</v>
      </c>
      <c r="O254" s="2" t="s">
        <v>2999</v>
      </c>
      <c r="P254" s="2" t="s">
        <v>3000</v>
      </c>
      <c r="Q254" s="2" t="s">
        <v>3001</v>
      </c>
      <c r="R254" s="2" t="s">
        <v>715</v>
      </c>
      <c r="S254" s="2" t="s">
        <v>716</v>
      </c>
      <c r="T254" s="2" t="s">
        <v>717</v>
      </c>
      <c r="U254" s="2" t="s">
        <v>29</v>
      </c>
      <c r="V254" s="2" t="n">
        <v>2</v>
      </c>
    </row>
    <row r="255">
      <c r="A255" s="2" t="n">
        <v>254</v>
      </c>
      <c r="B255" s="2" t="s">
        <v>3002</v>
      </c>
      <c r="C255" s="2" t="n">
        <v>266.973499596</v>
      </c>
      <c r="D255" s="2" t="n">
        <v>3.15284106749254</v>
      </c>
      <c r="E255" s="2" t="s">
        <v>3003</v>
      </c>
      <c r="F255" s="2" t="s">
        <v>250</v>
      </c>
      <c r="G255" s="2" t="s">
        <v>3004</v>
      </c>
      <c r="H255" s="2" t="s">
        <v>3005</v>
      </c>
      <c r="I255" s="2" t="s">
        <v>3006</v>
      </c>
      <c r="J255" s="2" t="s">
        <v>72</v>
      </c>
      <c r="K255" s="2" t="s">
        <v>72</v>
      </c>
      <c r="L255" s="2" t="s">
        <v>72</v>
      </c>
      <c r="M255" s="2" t="s">
        <v>72</v>
      </c>
      <c r="N255" s="2" t="s">
        <v>3007</v>
      </c>
      <c r="O255" s="2" t="s">
        <v>3008</v>
      </c>
      <c r="P255" s="2" t="s">
        <v>3009</v>
      </c>
      <c r="Q255" s="2" t="s">
        <v>3010</v>
      </c>
      <c r="R255" s="2" t="s">
        <v>2014</v>
      </c>
      <c r="S255" s="2" t="s">
        <v>3011</v>
      </c>
      <c r="T255" s="2" t="s">
        <v>3012</v>
      </c>
      <c r="U255" s="2" t="s">
        <v>29</v>
      </c>
      <c r="V255" s="2" t="n">
        <v>2</v>
      </c>
    </row>
    <row r="256">
      <c r="A256" s="2" t="n">
        <v>255</v>
      </c>
      <c r="B256" s="2" t="s">
        <v>3013</v>
      </c>
      <c r="C256" s="2" t="n">
        <v>267.196018448</v>
      </c>
      <c r="D256" s="2" t="n">
        <v>2.45568027457192</v>
      </c>
      <c r="E256" s="2" t="s">
        <v>3014</v>
      </c>
      <c r="F256" s="2" t="s">
        <v>42</v>
      </c>
      <c r="G256" s="2" t="s">
        <v>3015</v>
      </c>
      <c r="H256" s="2" t="s">
        <v>3016</v>
      </c>
      <c r="I256" s="2" t="s">
        <v>3017</v>
      </c>
      <c r="J256" s="2" t="s">
        <v>3018</v>
      </c>
      <c r="K256" s="2" t="s">
        <v>3019</v>
      </c>
      <c r="L256" s="2" t="s">
        <v>3020</v>
      </c>
      <c r="M256" s="2" t="s">
        <v>3021</v>
      </c>
      <c r="N256" s="2" t="s">
        <v>3022</v>
      </c>
      <c r="O256" s="2" t="s">
        <v>3023</v>
      </c>
      <c r="P256" s="2" t="s">
        <v>3024</v>
      </c>
      <c r="Q256" s="2" t="s">
        <v>3025</v>
      </c>
      <c r="R256" s="2" t="s">
        <v>1490</v>
      </c>
      <c r="S256" s="2" t="s">
        <v>1491</v>
      </c>
      <c r="T256" s="2" t="s">
        <v>1492</v>
      </c>
      <c r="U256" s="2" t="s">
        <v>39</v>
      </c>
      <c r="V256" s="2" t="n">
        <v>1</v>
      </c>
    </row>
    <row r="257">
      <c r="A257" s="2" t="n">
        <v>256</v>
      </c>
      <c r="B257" s="2" t="s">
        <v>3026</v>
      </c>
      <c r="C257" s="2" t="n">
        <v>267.979981956</v>
      </c>
      <c r="D257" s="2" t="n">
        <v>14.7619112758689</v>
      </c>
      <c r="E257" s="2" t="s">
        <v>3027</v>
      </c>
      <c r="F257" s="2" t="s">
        <v>250</v>
      </c>
      <c r="G257" s="2" t="s">
        <v>3028</v>
      </c>
      <c r="H257" s="2" t="s">
        <v>3029</v>
      </c>
      <c r="I257" s="2" t="s">
        <v>3030</v>
      </c>
      <c r="J257" s="2" t="s">
        <v>3031</v>
      </c>
      <c r="K257" s="2" t="s">
        <v>29</v>
      </c>
      <c r="L257" s="2" t="s">
        <v>29</v>
      </c>
      <c r="M257" s="2" t="s">
        <v>29</v>
      </c>
      <c r="N257" s="2" t="s">
        <v>3032</v>
      </c>
      <c r="O257" s="2" t="s">
        <v>29</v>
      </c>
      <c r="P257" s="2" t="s">
        <v>3033</v>
      </c>
      <c r="Q257" s="2" t="s">
        <v>3034</v>
      </c>
      <c r="R257" s="2" t="s">
        <v>355</v>
      </c>
      <c r="S257" s="2" t="s">
        <v>1316</v>
      </c>
      <c r="T257" s="2" t="s">
        <v>1317</v>
      </c>
      <c r="U257" s="2" t="s">
        <v>29</v>
      </c>
      <c r="V257" s="2" t="n">
        <v>1</v>
      </c>
    </row>
    <row r="258">
      <c r="A258" s="2" t="n">
        <v>257</v>
      </c>
      <c r="B258" s="2" t="s">
        <v>3035</v>
      </c>
      <c r="C258" s="2" t="n">
        <v>268.950261258</v>
      </c>
      <c r="D258" s="2" t="n">
        <v>1.32428341825204</v>
      </c>
      <c r="E258" s="2" t="s">
        <v>3036</v>
      </c>
      <c r="F258" s="2" t="s">
        <v>250</v>
      </c>
      <c r="G258" s="2" t="s">
        <v>3037</v>
      </c>
      <c r="H258" s="2" t="s">
        <v>3038</v>
      </c>
      <c r="I258" s="2" t="s">
        <v>3039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3040</v>
      </c>
      <c r="Q258" s="2" t="s">
        <v>3041</v>
      </c>
      <c r="R258" s="2" t="s">
        <v>355</v>
      </c>
      <c r="S258" s="2" t="s">
        <v>3042</v>
      </c>
      <c r="T258" s="2" t="s">
        <v>205</v>
      </c>
      <c r="U258" s="2" t="s">
        <v>29</v>
      </c>
      <c r="V258" s="2" t="n">
        <v>1</v>
      </c>
    </row>
    <row r="259">
      <c r="A259" s="2" t="n">
        <v>258</v>
      </c>
      <c r="B259" s="2" t="s">
        <v>3043</v>
      </c>
      <c r="C259" s="2" t="n">
        <v>269.012528912</v>
      </c>
      <c r="D259" s="2" t="n">
        <v>1.59170391084672</v>
      </c>
      <c r="E259" s="2" t="s">
        <v>3044</v>
      </c>
      <c r="F259" s="2" t="s">
        <v>24</v>
      </c>
      <c r="G259" s="2" t="s">
        <v>3045</v>
      </c>
      <c r="H259" s="2" t="s">
        <v>3046</v>
      </c>
      <c r="I259" s="2" t="s">
        <v>3047</v>
      </c>
      <c r="J259" s="2" t="s">
        <v>72</v>
      </c>
      <c r="K259" s="2" t="s">
        <v>72</v>
      </c>
      <c r="L259" s="2" t="s">
        <v>72</v>
      </c>
      <c r="M259" s="2" t="s">
        <v>3048</v>
      </c>
      <c r="N259" s="2" t="s">
        <v>3049</v>
      </c>
      <c r="O259" s="2" t="s">
        <v>72</v>
      </c>
      <c r="P259" s="2" t="s">
        <v>3050</v>
      </c>
      <c r="Q259" s="2" t="s">
        <v>3051</v>
      </c>
      <c r="R259" s="2" t="s">
        <v>480</v>
      </c>
      <c r="S259" s="2" t="s">
        <v>2380</v>
      </c>
      <c r="T259" s="2" t="s">
        <v>247</v>
      </c>
      <c r="U259" s="2" t="s">
        <v>29</v>
      </c>
      <c r="V259" s="2" t="n">
        <v>2</v>
      </c>
    </row>
    <row r="260">
      <c r="A260" s="2" t="n">
        <v>259</v>
      </c>
      <c r="B260" s="2" t="s">
        <v>3052</v>
      </c>
      <c r="C260" s="2" t="n">
        <v>269.084549883</v>
      </c>
      <c r="D260" s="2" t="n">
        <v>0.886527586982295</v>
      </c>
      <c r="E260" s="2" t="s">
        <v>3053</v>
      </c>
      <c r="F260" s="2" t="s">
        <v>42</v>
      </c>
      <c r="G260" s="2" t="s">
        <v>3054</v>
      </c>
      <c r="H260" s="2" t="s">
        <v>3055</v>
      </c>
      <c r="I260" s="2" t="s">
        <v>3056</v>
      </c>
      <c r="J260" s="2" t="s">
        <v>3057</v>
      </c>
      <c r="K260" s="2" t="s">
        <v>29</v>
      </c>
      <c r="L260" s="2" t="s">
        <v>29</v>
      </c>
      <c r="M260" s="2" t="s">
        <v>29</v>
      </c>
      <c r="N260" s="2" t="s">
        <v>3058</v>
      </c>
      <c r="O260" s="2" t="s">
        <v>3059</v>
      </c>
      <c r="P260" s="2" t="s">
        <v>3060</v>
      </c>
      <c r="Q260" s="2" t="s">
        <v>3061</v>
      </c>
      <c r="R260" s="2" t="s">
        <v>355</v>
      </c>
      <c r="S260" s="2" t="s">
        <v>3062</v>
      </c>
      <c r="T260" s="2" t="s">
        <v>3063</v>
      </c>
      <c r="U260" s="2" t="s">
        <v>29</v>
      </c>
      <c r="V260" s="2" t="n">
        <v>1</v>
      </c>
    </row>
    <row r="261">
      <c r="A261" s="2" t="n">
        <v>260</v>
      </c>
      <c r="B261" s="2" t="s">
        <v>3064</v>
      </c>
      <c r="C261" s="2" t="n">
        <v>270.9797046</v>
      </c>
      <c r="D261" s="2" t="n">
        <v>5.55696897874021</v>
      </c>
      <c r="E261" s="2" t="s">
        <v>3065</v>
      </c>
      <c r="F261" s="2" t="s">
        <v>24</v>
      </c>
      <c r="G261" s="2" t="s">
        <v>3066</v>
      </c>
      <c r="H261" s="2" t="s">
        <v>3067</v>
      </c>
      <c r="I261" s="2" t="s">
        <v>3068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3069</v>
      </c>
      <c r="Q261" s="2" t="s">
        <v>3070</v>
      </c>
      <c r="R261" s="2" t="s">
        <v>36</v>
      </c>
      <c r="S261" s="2" t="s">
        <v>37</v>
      </c>
      <c r="T261" s="2" t="s">
        <v>3071</v>
      </c>
      <c r="U261" s="2" t="s">
        <v>29</v>
      </c>
      <c r="V261" s="2" t="n">
        <v>1</v>
      </c>
    </row>
    <row r="262">
      <c r="A262" s="2" t="n">
        <v>261</v>
      </c>
      <c r="B262" s="2" t="s">
        <v>3072</v>
      </c>
      <c r="C262" s="2" t="n">
        <v>271.079820625</v>
      </c>
      <c r="D262" s="2" t="n">
        <v>1.25272277291013</v>
      </c>
      <c r="E262" s="2" t="s">
        <v>3073</v>
      </c>
      <c r="F262" s="2" t="s">
        <v>24</v>
      </c>
      <c r="G262" s="2" t="s">
        <v>3074</v>
      </c>
      <c r="H262" s="2" t="s">
        <v>3075</v>
      </c>
      <c r="I262" s="2" t="s">
        <v>3076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3077</v>
      </c>
      <c r="O262" s="2" t="s">
        <v>29</v>
      </c>
      <c r="P262" s="2" t="s">
        <v>3078</v>
      </c>
      <c r="Q262" s="2" t="s">
        <v>3079</v>
      </c>
      <c r="R262" s="2" t="s">
        <v>355</v>
      </c>
      <c r="S262" s="2" t="s">
        <v>3080</v>
      </c>
      <c r="T262" s="2" t="s">
        <v>3081</v>
      </c>
      <c r="U262" s="2" t="s">
        <v>29</v>
      </c>
      <c r="V262" s="2" t="n">
        <v>1</v>
      </c>
    </row>
    <row r="263">
      <c r="A263" s="2" t="n">
        <v>262</v>
      </c>
      <c r="B263" s="2" t="s">
        <v>3082</v>
      </c>
      <c r="C263" s="2" t="n">
        <v>271.10094951</v>
      </c>
      <c r="D263" s="2" t="n">
        <v>4.93097405141876</v>
      </c>
      <c r="E263" s="2" t="s">
        <v>3083</v>
      </c>
      <c r="F263" s="2" t="s">
        <v>24</v>
      </c>
      <c r="G263" s="2" t="s">
        <v>3084</v>
      </c>
      <c r="H263" s="2" t="s">
        <v>3085</v>
      </c>
      <c r="I263" s="2" t="s">
        <v>3086</v>
      </c>
      <c r="J263" s="2" t="s">
        <v>3087</v>
      </c>
      <c r="K263" s="2" t="s">
        <v>29</v>
      </c>
      <c r="L263" s="2" t="s">
        <v>29</v>
      </c>
      <c r="M263" s="2" t="s">
        <v>29</v>
      </c>
      <c r="N263" s="2" t="s">
        <v>3088</v>
      </c>
      <c r="O263" s="2" t="s">
        <v>3089</v>
      </c>
      <c r="P263" s="2" t="s">
        <v>3090</v>
      </c>
      <c r="Q263" s="2" t="s">
        <v>3091</v>
      </c>
      <c r="R263" s="2" t="s">
        <v>638</v>
      </c>
      <c r="S263" s="2" t="s">
        <v>3092</v>
      </c>
      <c r="T263" s="2" t="s">
        <v>3093</v>
      </c>
      <c r="U263" s="2" t="s">
        <v>29</v>
      </c>
      <c r="V263" s="2" t="n">
        <v>1</v>
      </c>
    </row>
    <row r="264">
      <c r="A264" s="2" t="n">
        <v>263</v>
      </c>
      <c r="B264" s="2" t="s">
        <v>3094</v>
      </c>
      <c r="C264" s="2" t="n">
        <v>272.091976743</v>
      </c>
      <c r="D264" s="2" t="n">
        <v>1.62096722248596</v>
      </c>
      <c r="E264" s="2" t="s">
        <v>3095</v>
      </c>
      <c r="F264" s="2" t="s">
        <v>522</v>
      </c>
      <c r="G264" s="2" t="s">
        <v>3096</v>
      </c>
      <c r="H264" s="2" t="s">
        <v>3097</v>
      </c>
      <c r="I264" s="2" t="s">
        <v>3098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3099</v>
      </c>
      <c r="O264" s="2" t="s">
        <v>29</v>
      </c>
      <c r="P264" s="2" t="s">
        <v>3100</v>
      </c>
      <c r="Q264" s="2" t="s">
        <v>3101</v>
      </c>
      <c r="R264" s="2" t="s">
        <v>355</v>
      </c>
      <c r="S264" s="2" t="s">
        <v>466</v>
      </c>
      <c r="T264" s="2" t="s">
        <v>467</v>
      </c>
      <c r="U264" s="2" t="s">
        <v>29</v>
      </c>
      <c r="V264" s="2" t="n">
        <v>1</v>
      </c>
    </row>
    <row r="265">
      <c r="A265" s="2" t="n">
        <v>264</v>
      </c>
      <c r="B265" s="2" t="s">
        <v>3102</v>
      </c>
      <c r="C265" s="2" t="n">
        <v>273.008325321</v>
      </c>
      <c r="D265" s="2" t="n">
        <v>3.37731735781385</v>
      </c>
      <c r="E265" s="2" t="s">
        <v>3103</v>
      </c>
      <c r="F265" s="2" t="s">
        <v>250</v>
      </c>
      <c r="G265" s="2" t="s">
        <v>3104</v>
      </c>
      <c r="H265" s="2" t="s">
        <v>3105</v>
      </c>
      <c r="I265" s="2" t="s">
        <v>3106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3107</v>
      </c>
      <c r="O265" s="2" t="s">
        <v>29</v>
      </c>
      <c r="P265" s="2" t="s">
        <v>3108</v>
      </c>
      <c r="Q265" s="2" t="s">
        <v>3109</v>
      </c>
      <c r="R265" s="2" t="s">
        <v>355</v>
      </c>
      <c r="S265" s="2" t="s">
        <v>3110</v>
      </c>
      <c r="T265" s="2" t="s">
        <v>3111</v>
      </c>
      <c r="U265" s="2" t="s">
        <v>29</v>
      </c>
      <c r="V265" s="2" t="n">
        <v>1</v>
      </c>
    </row>
    <row r="266">
      <c r="A266" s="2" t="n">
        <v>265</v>
      </c>
      <c r="B266" s="2" t="s">
        <v>3112</v>
      </c>
      <c r="C266" s="2" t="n">
        <v>273.047204648</v>
      </c>
      <c r="D266" s="2" t="n">
        <v>3.08551785703146</v>
      </c>
      <c r="E266" s="2" t="s">
        <v>3113</v>
      </c>
      <c r="F266" s="2" t="s">
        <v>110</v>
      </c>
      <c r="G266" s="2" t="s">
        <v>3114</v>
      </c>
      <c r="H266" s="2" t="s">
        <v>3115</v>
      </c>
      <c r="I266" s="2" t="s">
        <v>3116</v>
      </c>
      <c r="J266" s="2" t="s">
        <v>72</v>
      </c>
      <c r="K266" s="2" t="s">
        <v>72</v>
      </c>
      <c r="L266" s="2" t="s">
        <v>72</v>
      </c>
      <c r="M266" s="2" t="s">
        <v>3117</v>
      </c>
      <c r="N266" s="2" t="s">
        <v>3118</v>
      </c>
      <c r="O266" s="2" t="s">
        <v>72</v>
      </c>
      <c r="P266" s="2" t="s">
        <v>3119</v>
      </c>
      <c r="Q266" s="2" t="s">
        <v>3120</v>
      </c>
      <c r="R266" s="2" t="s">
        <v>715</v>
      </c>
      <c r="S266" s="2" t="s">
        <v>2802</v>
      </c>
      <c r="T266" s="2" t="s">
        <v>2803</v>
      </c>
      <c r="U266" s="2" t="s">
        <v>29</v>
      </c>
      <c r="V266" s="2" t="n">
        <v>2</v>
      </c>
    </row>
    <row r="267">
      <c r="A267" s="2" t="n">
        <v>266</v>
      </c>
      <c r="B267" s="2" t="s">
        <v>3121</v>
      </c>
      <c r="C267" s="2" t="n">
        <v>274.104459291</v>
      </c>
      <c r="D267" s="2" t="n">
        <v>1.84833980859844</v>
      </c>
      <c r="E267" s="2" t="s">
        <v>3122</v>
      </c>
      <c r="F267" s="2" t="s">
        <v>110</v>
      </c>
      <c r="G267" s="2" t="s">
        <v>3123</v>
      </c>
      <c r="H267" s="2" t="s">
        <v>3124</v>
      </c>
      <c r="I267" s="2" t="s">
        <v>3125</v>
      </c>
      <c r="J267" s="2" t="s">
        <v>3126</v>
      </c>
      <c r="K267" s="2" t="s">
        <v>29</v>
      </c>
      <c r="L267" s="2" t="s">
        <v>3127</v>
      </c>
      <c r="M267" s="2" t="s">
        <v>3128</v>
      </c>
      <c r="N267" s="2" t="s">
        <v>3129</v>
      </c>
      <c r="O267" s="2" t="s">
        <v>3130</v>
      </c>
      <c r="P267" s="2" t="s">
        <v>3131</v>
      </c>
      <c r="Q267" s="2" t="s">
        <v>3132</v>
      </c>
      <c r="R267" s="2" t="s">
        <v>49</v>
      </c>
      <c r="S267" s="2" t="s">
        <v>165</v>
      </c>
      <c r="T267" s="2" t="s">
        <v>166</v>
      </c>
      <c r="U267" s="2" t="s">
        <v>39</v>
      </c>
      <c r="V267" s="2" t="n">
        <v>1</v>
      </c>
    </row>
    <row r="268">
      <c r="A268" s="2" t="n">
        <v>267</v>
      </c>
      <c r="B268" s="2" t="s">
        <v>3133</v>
      </c>
      <c r="C268" s="2" t="n">
        <v>274.945632326</v>
      </c>
      <c r="D268" s="2" t="n">
        <v>1.03439690272186</v>
      </c>
      <c r="E268" s="2" t="s">
        <v>3134</v>
      </c>
      <c r="F268" s="2" t="s">
        <v>522</v>
      </c>
      <c r="G268" s="2" t="s">
        <v>3135</v>
      </c>
      <c r="H268" s="2" t="s">
        <v>3136</v>
      </c>
      <c r="I268" s="2" t="s">
        <v>3137</v>
      </c>
      <c r="J268" s="2" t="s">
        <v>29</v>
      </c>
      <c r="K268" s="2" t="s">
        <v>29</v>
      </c>
      <c r="L268" s="2" t="s">
        <v>29</v>
      </c>
      <c r="M268" s="2" t="s">
        <v>3138</v>
      </c>
      <c r="N268" s="2" t="s">
        <v>3139</v>
      </c>
      <c r="O268" s="2" t="s">
        <v>29</v>
      </c>
      <c r="P268" s="2" t="s">
        <v>3140</v>
      </c>
      <c r="Q268" s="2" t="s">
        <v>3141</v>
      </c>
      <c r="R268" s="2" t="s">
        <v>355</v>
      </c>
      <c r="S268" s="2" t="s">
        <v>3142</v>
      </c>
      <c r="T268" s="2" t="s">
        <v>205</v>
      </c>
      <c r="U268" s="2" t="s">
        <v>29</v>
      </c>
      <c r="V268" s="2" t="n">
        <v>1</v>
      </c>
    </row>
    <row r="269">
      <c r="A269" s="2" t="n">
        <v>268</v>
      </c>
      <c r="B269" s="2" t="s">
        <v>3143</v>
      </c>
      <c r="C269" s="2" t="n">
        <v>275.044023504</v>
      </c>
      <c r="D269" s="2" t="n">
        <v>3.76220214042481</v>
      </c>
      <c r="E269" s="2" t="s">
        <v>3144</v>
      </c>
      <c r="F269" s="2" t="s">
        <v>522</v>
      </c>
      <c r="G269" s="2" t="s">
        <v>3145</v>
      </c>
      <c r="H269" s="2" t="s">
        <v>3146</v>
      </c>
      <c r="I269" s="2" t="s">
        <v>3147</v>
      </c>
      <c r="J269" s="2" t="s">
        <v>3148</v>
      </c>
      <c r="K269" s="2" t="s">
        <v>29</v>
      </c>
      <c r="L269" s="2" t="s">
        <v>3149</v>
      </c>
      <c r="M269" s="2" t="s">
        <v>3150</v>
      </c>
      <c r="N269" s="2" t="s">
        <v>3151</v>
      </c>
      <c r="O269" s="2" t="s">
        <v>3152</v>
      </c>
      <c r="P269" s="2" t="s">
        <v>3153</v>
      </c>
      <c r="Q269" s="2" t="s">
        <v>3154</v>
      </c>
      <c r="R269" s="2" t="s">
        <v>502</v>
      </c>
      <c r="S269" s="2" t="s">
        <v>2369</v>
      </c>
      <c r="T269" s="2" t="s">
        <v>3155</v>
      </c>
      <c r="U269" s="2" t="s">
        <v>39</v>
      </c>
      <c r="V269" s="2" t="n">
        <v>1</v>
      </c>
    </row>
    <row r="270">
      <c r="A270" s="2" t="n">
        <v>269</v>
      </c>
      <c r="B270" s="2" t="s">
        <v>3156</v>
      </c>
      <c r="C270" s="2" t="n">
        <v>277.035372366</v>
      </c>
      <c r="D270" s="2" t="n">
        <v>1.04539583532703</v>
      </c>
      <c r="E270" s="2" t="s">
        <v>3157</v>
      </c>
      <c r="F270" s="2" t="s">
        <v>24</v>
      </c>
      <c r="G270" s="2" t="s">
        <v>3158</v>
      </c>
      <c r="H270" s="2" t="s">
        <v>3159</v>
      </c>
      <c r="I270" s="2" t="s">
        <v>3160</v>
      </c>
      <c r="J270" s="2" t="s">
        <v>3161</v>
      </c>
      <c r="K270" s="2" t="s">
        <v>72</v>
      </c>
      <c r="L270" s="2" t="s">
        <v>72</v>
      </c>
      <c r="M270" s="2" t="s">
        <v>3162</v>
      </c>
      <c r="N270" s="2" t="s">
        <v>3163</v>
      </c>
      <c r="O270" s="2" t="s">
        <v>3164</v>
      </c>
      <c r="P270" s="2" t="s">
        <v>3165</v>
      </c>
      <c r="Q270" s="2" t="s">
        <v>3166</v>
      </c>
      <c r="R270" s="2" t="s">
        <v>3167</v>
      </c>
      <c r="S270" s="2" t="s">
        <v>3168</v>
      </c>
      <c r="T270" s="2" t="s">
        <v>3169</v>
      </c>
      <c r="U270" s="2" t="s">
        <v>29</v>
      </c>
      <c r="V270" s="2" t="n">
        <v>2</v>
      </c>
    </row>
    <row r="271">
      <c r="A271" s="2" t="n">
        <v>270</v>
      </c>
      <c r="B271" s="2" t="s">
        <v>3170</v>
      </c>
      <c r="C271" s="2" t="n">
        <v>277.181406146</v>
      </c>
      <c r="D271" s="2" t="n">
        <v>1.80981754815224</v>
      </c>
      <c r="E271" s="2" t="s">
        <v>3171</v>
      </c>
      <c r="F271" s="2" t="s">
        <v>522</v>
      </c>
      <c r="G271" s="2" t="s">
        <v>3172</v>
      </c>
      <c r="H271" s="2" t="s">
        <v>3173</v>
      </c>
      <c r="I271" s="2" t="s">
        <v>3174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3175</v>
      </c>
      <c r="O271" s="2" t="s">
        <v>29</v>
      </c>
      <c r="P271" s="2" t="s">
        <v>3176</v>
      </c>
      <c r="Q271" s="2" t="s">
        <v>3177</v>
      </c>
      <c r="R271" s="2" t="s">
        <v>355</v>
      </c>
      <c r="S271" s="2" t="s">
        <v>3110</v>
      </c>
      <c r="T271" s="2" t="s">
        <v>3178</v>
      </c>
      <c r="U271" s="2" t="s">
        <v>29</v>
      </c>
      <c r="V271" s="2" t="n">
        <v>1</v>
      </c>
    </row>
    <row r="272">
      <c r="A272" s="2" t="n">
        <v>271</v>
      </c>
      <c r="B272" s="2" t="s">
        <v>3179</v>
      </c>
      <c r="C272" s="2" t="n">
        <v>277.214897268</v>
      </c>
      <c r="D272" s="2" t="n">
        <v>7.59684013417339</v>
      </c>
      <c r="E272" s="2" t="s">
        <v>3180</v>
      </c>
      <c r="F272" s="2" t="s">
        <v>360</v>
      </c>
      <c r="G272" s="2" t="s">
        <v>3181</v>
      </c>
      <c r="H272" s="2" t="s">
        <v>3182</v>
      </c>
      <c r="I272" s="2" t="s">
        <v>3183</v>
      </c>
      <c r="J272" s="2" t="s">
        <v>3184</v>
      </c>
      <c r="K272" s="2" t="s">
        <v>3185</v>
      </c>
      <c r="L272" s="2" t="s">
        <v>3186</v>
      </c>
      <c r="M272" s="2" t="s">
        <v>3187</v>
      </c>
      <c r="N272" s="2" t="s">
        <v>3188</v>
      </c>
      <c r="O272" s="2" t="s">
        <v>3189</v>
      </c>
      <c r="P272" s="2" t="s">
        <v>3190</v>
      </c>
      <c r="Q272" s="2" t="s">
        <v>3191</v>
      </c>
      <c r="R272" s="2" t="s">
        <v>1490</v>
      </c>
      <c r="S272" s="2" t="s">
        <v>1491</v>
      </c>
      <c r="T272" s="2" t="s">
        <v>1492</v>
      </c>
      <c r="U272" s="2" t="s">
        <v>39</v>
      </c>
      <c r="V272" s="2" t="n">
        <v>1</v>
      </c>
    </row>
    <row r="273">
      <c r="A273" s="2" t="n">
        <v>272</v>
      </c>
      <c r="B273" s="2" t="s">
        <v>3192</v>
      </c>
      <c r="C273" s="2" t="n">
        <v>279.042095113</v>
      </c>
      <c r="D273" s="2" t="n">
        <v>7.09708668496167</v>
      </c>
      <c r="E273" s="2" t="s">
        <v>3193</v>
      </c>
      <c r="F273" s="2" t="s">
        <v>360</v>
      </c>
      <c r="G273" s="2" t="s">
        <v>3194</v>
      </c>
      <c r="H273" s="2" t="s">
        <v>3195</v>
      </c>
      <c r="I273" s="2" t="s">
        <v>3196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3197</v>
      </c>
      <c r="O273" s="2" t="s">
        <v>29</v>
      </c>
      <c r="P273" s="2" t="s">
        <v>3198</v>
      </c>
      <c r="Q273" s="2" t="s">
        <v>3199</v>
      </c>
      <c r="R273" s="2" t="s">
        <v>2590</v>
      </c>
      <c r="S273" s="2" t="s">
        <v>3200</v>
      </c>
      <c r="T273" s="2" t="s">
        <v>3201</v>
      </c>
      <c r="U273" s="2" t="s">
        <v>29</v>
      </c>
      <c r="V273" s="2" t="n">
        <v>1</v>
      </c>
    </row>
    <row r="274">
      <c r="A274" s="2" t="n">
        <v>273</v>
      </c>
      <c r="B274" s="2" t="s">
        <v>3202</v>
      </c>
      <c r="C274" s="2" t="n">
        <v>279.23294996</v>
      </c>
      <c r="D274" s="2" t="n">
        <v>1.48903581403288</v>
      </c>
      <c r="E274" s="2" t="s">
        <v>3203</v>
      </c>
      <c r="F274" s="2" t="s">
        <v>24</v>
      </c>
      <c r="G274" s="2" t="s">
        <v>3204</v>
      </c>
      <c r="H274" s="2" t="s">
        <v>3205</v>
      </c>
      <c r="I274" s="2" t="s">
        <v>3206</v>
      </c>
      <c r="J274" s="2" t="s">
        <v>3207</v>
      </c>
      <c r="K274" s="2" t="s">
        <v>72</v>
      </c>
      <c r="L274" s="2" t="s">
        <v>72</v>
      </c>
      <c r="M274" s="2" t="s">
        <v>72</v>
      </c>
      <c r="N274" s="2" t="s">
        <v>3208</v>
      </c>
      <c r="O274" s="2" t="s">
        <v>3209</v>
      </c>
      <c r="P274" s="2" t="s">
        <v>3210</v>
      </c>
      <c r="Q274" s="2" t="s">
        <v>3211</v>
      </c>
      <c r="R274" s="2" t="s">
        <v>3212</v>
      </c>
      <c r="S274" s="2" t="s">
        <v>3213</v>
      </c>
      <c r="T274" s="2" t="s">
        <v>3214</v>
      </c>
      <c r="U274" s="2" t="s">
        <v>29</v>
      </c>
      <c r="V274" s="2" t="n">
        <v>2</v>
      </c>
    </row>
    <row r="275">
      <c r="A275" s="2" t="n">
        <v>274</v>
      </c>
      <c r="B275" s="2" t="s">
        <v>3215</v>
      </c>
      <c r="C275" s="2" t="n">
        <v>280.989211216</v>
      </c>
      <c r="D275" s="2" t="n">
        <v>1.35680177016074</v>
      </c>
      <c r="E275" s="2" t="s">
        <v>3216</v>
      </c>
      <c r="F275" s="2" t="s">
        <v>522</v>
      </c>
      <c r="G275" s="2" t="s">
        <v>3217</v>
      </c>
      <c r="H275" s="2" t="s">
        <v>3218</v>
      </c>
      <c r="I275" s="2" t="s">
        <v>3219</v>
      </c>
      <c r="J275" s="2" t="s">
        <v>226</v>
      </c>
      <c r="K275" s="2" t="s">
        <v>226</v>
      </c>
      <c r="L275" s="2" t="s">
        <v>226</v>
      </c>
      <c r="M275" s="2" t="s">
        <v>3220</v>
      </c>
      <c r="N275" s="2" t="s">
        <v>3221</v>
      </c>
      <c r="O275" s="2" t="s">
        <v>226</v>
      </c>
      <c r="P275" s="2" t="s">
        <v>3222</v>
      </c>
      <c r="Q275" s="2" t="s">
        <v>3223</v>
      </c>
      <c r="R275" s="2" t="s">
        <v>312</v>
      </c>
      <c r="S275" s="2" t="s">
        <v>2942</v>
      </c>
      <c r="T275" s="2" t="s">
        <v>2943</v>
      </c>
      <c r="U275" s="2" t="s">
        <v>29</v>
      </c>
      <c r="V275" s="2" t="n">
        <v>3</v>
      </c>
    </row>
    <row r="276">
      <c r="A276" s="2" t="n">
        <v>275</v>
      </c>
      <c r="B276" s="2" t="s">
        <v>3224</v>
      </c>
      <c r="C276" s="2" t="n">
        <v>281.087806174</v>
      </c>
      <c r="D276" s="2" t="n">
        <v>2.98702201573051</v>
      </c>
      <c r="E276" s="2" t="s">
        <v>3225</v>
      </c>
      <c r="F276" s="2" t="s">
        <v>110</v>
      </c>
      <c r="G276" s="2" t="s">
        <v>3226</v>
      </c>
      <c r="H276" s="2" t="s">
        <v>3227</v>
      </c>
      <c r="I276" s="2" t="s">
        <v>3228</v>
      </c>
      <c r="J276" s="2" t="s">
        <v>29</v>
      </c>
      <c r="K276" s="2" t="s">
        <v>29</v>
      </c>
      <c r="L276" s="2" t="s">
        <v>3229</v>
      </c>
      <c r="M276" s="2" t="s">
        <v>29</v>
      </c>
      <c r="N276" s="2" t="s">
        <v>3230</v>
      </c>
      <c r="O276" s="2" t="s">
        <v>3231</v>
      </c>
      <c r="P276" s="2" t="s">
        <v>3232</v>
      </c>
      <c r="Q276" s="2" t="s">
        <v>3233</v>
      </c>
      <c r="R276" s="2" t="s">
        <v>64</v>
      </c>
      <c r="S276" s="2" t="s">
        <v>65</v>
      </c>
      <c r="T276" s="2" t="s">
        <v>66</v>
      </c>
      <c r="U276" s="2" t="s">
        <v>39</v>
      </c>
      <c r="V276" s="2" t="n">
        <v>1</v>
      </c>
    </row>
    <row r="277">
      <c r="A277" s="2" t="n">
        <v>276</v>
      </c>
      <c r="B277" s="2" t="s">
        <v>3234</v>
      </c>
      <c r="C277" s="2" t="n">
        <v>281.248604332</v>
      </c>
      <c r="D277" s="2" t="n">
        <v>8.07510043700126</v>
      </c>
      <c r="E277" s="2" t="s">
        <v>3235</v>
      </c>
      <c r="F277" s="2" t="s">
        <v>110</v>
      </c>
      <c r="G277" s="2" t="s">
        <v>3236</v>
      </c>
      <c r="H277" s="2" t="s">
        <v>3237</v>
      </c>
      <c r="I277" s="2" t="s">
        <v>3238</v>
      </c>
      <c r="J277" s="2" t="s">
        <v>3239</v>
      </c>
      <c r="K277" s="2" t="s">
        <v>3240</v>
      </c>
      <c r="L277" s="2" t="s">
        <v>3241</v>
      </c>
      <c r="M277" s="2" t="s">
        <v>3242</v>
      </c>
      <c r="N277" s="2" t="s">
        <v>3243</v>
      </c>
      <c r="O277" s="2" t="s">
        <v>3244</v>
      </c>
      <c r="P277" s="2" t="s">
        <v>3245</v>
      </c>
      <c r="Q277" s="2" t="s">
        <v>3246</v>
      </c>
      <c r="R277" s="2" t="s">
        <v>105</v>
      </c>
      <c r="S277" s="2" t="s">
        <v>106</v>
      </c>
      <c r="T277" s="2" t="s">
        <v>107</v>
      </c>
      <c r="U277" s="2" t="s">
        <v>39</v>
      </c>
      <c r="V277" s="2" t="n">
        <v>3</v>
      </c>
    </row>
    <row r="278">
      <c r="A278" s="2" t="n">
        <v>277</v>
      </c>
      <c r="B278" s="2" t="s">
        <v>3247</v>
      </c>
      <c r="C278" s="2" t="n">
        <v>281.973022509</v>
      </c>
      <c r="D278" s="2" t="n">
        <v>2.34406835918656</v>
      </c>
      <c r="E278" s="2" t="s">
        <v>3248</v>
      </c>
      <c r="F278" s="2" t="s">
        <v>110</v>
      </c>
      <c r="G278" s="2" t="s">
        <v>3249</v>
      </c>
      <c r="H278" s="2" t="s">
        <v>3250</v>
      </c>
      <c r="I278" s="2" t="s">
        <v>3251</v>
      </c>
      <c r="J278" s="2" t="s">
        <v>3252</v>
      </c>
      <c r="K278" s="2" t="s">
        <v>29</v>
      </c>
      <c r="L278" s="2" t="s">
        <v>3253</v>
      </c>
      <c r="M278" s="2" t="s">
        <v>29</v>
      </c>
      <c r="N278" s="2" t="s">
        <v>3254</v>
      </c>
      <c r="O278" s="2" t="s">
        <v>3255</v>
      </c>
      <c r="P278" s="2" t="s">
        <v>3256</v>
      </c>
      <c r="Q278" s="2" t="s">
        <v>3257</v>
      </c>
      <c r="R278" s="2" t="s">
        <v>502</v>
      </c>
      <c r="S278" s="2" t="s">
        <v>503</v>
      </c>
      <c r="T278" s="2" t="s">
        <v>3258</v>
      </c>
      <c r="U278" s="2" t="s">
        <v>39</v>
      </c>
      <c r="V278" s="2" t="n">
        <v>1</v>
      </c>
    </row>
    <row r="279">
      <c r="A279" s="2" t="n">
        <v>278</v>
      </c>
      <c r="B279" s="2" t="s">
        <v>3259</v>
      </c>
      <c r="C279" s="2" t="n">
        <v>282.0224715</v>
      </c>
      <c r="D279" s="2" t="n">
        <v>9.65379392558251</v>
      </c>
      <c r="E279" s="2" t="s">
        <v>3260</v>
      </c>
      <c r="F279" s="2" t="s">
        <v>522</v>
      </c>
      <c r="G279" s="2" t="s">
        <v>3261</v>
      </c>
      <c r="H279" s="2" t="s">
        <v>3262</v>
      </c>
      <c r="I279" s="2" t="s">
        <v>3263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3264</v>
      </c>
      <c r="O279" s="2" t="s">
        <v>29</v>
      </c>
      <c r="P279" s="2" t="s">
        <v>3265</v>
      </c>
      <c r="Q279" s="2" t="s">
        <v>3266</v>
      </c>
      <c r="R279" s="2" t="s">
        <v>502</v>
      </c>
      <c r="S279" s="2" t="s">
        <v>503</v>
      </c>
      <c r="T279" s="2" t="s">
        <v>2313</v>
      </c>
      <c r="U279" s="2" t="s">
        <v>29</v>
      </c>
      <c r="V279" s="2" t="n">
        <v>1</v>
      </c>
    </row>
    <row r="280">
      <c r="A280" s="2" t="n">
        <v>279</v>
      </c>
      <c r="B280" s="2" t="s">
        <v>3267</v>
      </c>
      <c r="C280" s="2" t="n">
        <v>282.084392551</v>
      </c>
      <c r="D280" s="2" t="n">
        <v>9.69616622931137</v>
      </c>
      <c r="E280" s="2" t="s">
        <v>3268</v>
      </c>
      <c r="F280" s="2" t="s">
        <v>110</v>
      </c>
      <c r="G280" s="2" t="s">
        <v>3269</v>
      </c>
      <c r="H280" s="2" t="s">
        <v>3270</v>
      </c>
      <c r="I280" s="2" t="s">
        <v>3271</v>
      </c>
      <c r="J280" s="2" t="s">
        <v>3272</v>
      </c>
      <c r="K280" s="2" t="s">
        <v>29</v>
      </c>
      <c r="L280" s="2" t="s">
        <v>3273</v>
      </c>
      <c r="M280" s="2" t="s">
        <v>3274</v>
      </c>
      <c r="N280" s="2" t="s">
        <v>3275</v>
      </c>
      <c r="O280" s="2" t="s">
        <v>3276</v>
      </c>
      <c r="P280" s="2" t="s">
        <v>3277</v>
      </c>
      <c r="Q280" s="2" t="s">
        <v>3278</v>
      </c>
      <c r="R280" s="2" t="s">
        <v>2590</v>
      </c>
      <c r="S280" s="2" t="s">
        <v>3279</v>
      </c>
      <c r="T280" s="2" t="s">
        <v>205</v>
      </c>
      <c r="U280" s="2" t="s">
        <v>39</v>
      </c>
      <c r="V280" s="2" t="n">
        <v>1</v>
      </c>
    </row>
    <row r="281">
      <c r="A281" s="2" t="n">
        <v>280</v>
      </c>
      <c r="B281" s="2" t="s">
        <v>3280</v>
      </c>
      <c r="C281" s="2" t="n">
        <v>282.979830676</v>
      </c>
      <c r="D281" s="2" t="n">
        <v>2.66587270894553</v>
      </c>
      <c r="E281" s="2" t="s">
        <v>3281</v>
      </c>
      <c r="F281" s="2" t="s">
        <v>42</v>
      </c>
      <c r="G281" s="2" t="s">
        <v>3282</v>
      </c>
      <c r="H281" s="2" t="s">
        <v>3283</v>
      </c>
      <c r="I281" s="2" t="s">
        <v>3284</v>
      </c>
      <c r="J281" s="2" t="s">
        <v>3285</v>
      </c>
      <c r="K281" s="2" t="s">
        <v>29</v>
      </c>
      <c r="L281" s="2" t="s">
        <v>29</v>
      </c>
      <c r="M281" s="2" t="s">
        <v>3286</v>
      </c>
      <c r="N281" s="2" t="s">
        <v>3287</v>
      </c>
      <c r="O281" s="2" t="s">
        <v>3288</v>
      </c>
      <c r="P281" s="2" t="s">
        <v>3289</v>
      </c>
      <c r="Q281" s="2" t="s">
        <v>3290</v>
      </c>
      <c r="R281" s="2" t="s">
        <v>64</v>
      </c>
      <c r="S281" s="2" t="s">
        <v>1083</v>
      </c>
      <c r="T281" s="2" t="s">
        <v>1084</v>
      </c>
      <c r="U281" s="2" t="s">
        <v>29</v>
      </c>
      <c r="V281" s="2" t="n">
        <v>1</v>
      </c>
    </row>
    <row r="282">
      <c r="A282" s="2" t="n">
        <v>281</v>
      </c>
      <c r="B282" s="2" t="s">
        <v>3291</v>
      </c>
      <c r="C282" s="2" t="n">
        <v>283.072430874</v>
      </c>
      <c r="D282" s="2" t="n">
        <v>2.60721353134335</v>
      </c>
      <c r="E282" s="2" t="s">
        <v>3292</v>
      </c>
      <c r="F282" s="2" t="s">
        <v>110</v>
      </c>
      <c r="G282" s="2" t="s">
        <v>3293</v>
      </c>
      <c r="H282" s="2" t="s">
        <v>3294</v>
      </c>
      <c r="I282" s="2" t="s">
        <v>3295</v>
      </c>
      <c r="J282" s="2" t="s">
        <v>3296</v>
      </c>
      <c r="K282" s="2" t="s">
        <v>72</v>
      </c>
      <c r="L282" s="2" t="s">
        <v>72</v>
      </c>
      <c r="M282" s="2" t="s">
        <v>72</v>
      </c>
      <c r="N282" s="2" t="s">
        <v>3297</v>
      </c>
      <c r="O282" s="2" t="s">
        <v>3298</v>
      </c>
      <c r="P282" s="2" t="s">
        <v>3299</v>
      </c>
      <c r="Q282" s="2" t="s">
        <v>3300</v>
      </c>
      <c r="R282" s="2" t="s">
        <v>537</v>
      </c>
      <c r="S282" s="2" t="s">
        <v>3301</v>
      </c>
      <c r="T282" s="2" t="s">
        <v>3302</v>
      </c>
      <c r="U282" s="2" t="s">
        <v>29</v>
      </c>
      <c r="V282" s="2" t="n">
        <v>2</v>
      </c>
    </row>
    <row r="283">
      <c r="A283" s="2" t="n">
        <v>282</v>
      </c>
      <c r="B283" s="2" t="s">
        <v>3303</v>
      </c>
      <c r="C283" s="2" t="n">
        <v>284.026599301</v>
      </c>
      <c r="D283" s="2" t="n">
        <v>2.24860474002469</v>
      </c>
      <c r="E283" s="2" t="s">
        <v>3304</v>
      </c>
      <c r="F283" s="2" t="s">
        <v>522</v>
      </c>
      <c r="G283" s="2" t="s">
        <v>3305</v>
      </c>
      <c r="H283" s="2" t="s">
        <v>3306</v>
      </c>
      <c r="I283" s="2" t="s">
        <v>3307</v>
      </c>
      <c r="J283" s="2" t="s">
        <v>3308</v>
      </c>
      <c r="K283" s="2" t="s">
        <v>72</v>
      </c>
      <c r="L283" s="2" t="s">
        <v>72</v>
      </c>
      <c r="M283" s="2" t="s">
        <v>3309</v>
      </c>
      <c r="N283" s="2" t="s">
        <v>3310</v>
      </c>
      <c r="O283" s="2" t="s">
        <v>3311</v>
      </c>
      <c r="P283" s="2" t="s">
        <v>3312</v>
      </c>
      <c r="Q283" s="2" t="s">
        <v>3313</v>
      </c>
      <c r="R283" s="2" t="s">
        <v>480</v>
      </c>
      <c r="S283" s="2" t="s">
        <v>1240</v>
      </c>
      <c r="T283" s="2" t="s">
        <v>3314</v>
      </c>
      <c r="U283" s="2" t="s">
        <v>29</v>
      </c>
      <c r="V283" s="2" t="n">
        <v>2</v>
      </c>
    </row>
    <row r="284">
      <c r="A284" s="2" t="n">
        <v>283</v>
      </c>
      <c r="B284" s="2" t="s">
        <v>3315</v>
      </c>
      <c r="C284" s="2" t="n">
        <v>285.012156546</v>
      </c>
      <c r="D284" s="2" t="n">
        <v>5.78746661745291</v>
      </c>
      <c r="E284" s="2" t="s">
        <v>3316</v>
      </c>
      <c r="F284" s="2" t="s">
        <v>110</v>
      </c>
      <c r="G284" s="2" t="s">
        <v>3317</v>
      </c>
      <c r="H284" s="2" t="s">
        <v>3318</v>
      </c>
      <c r="I284" s="2" t="s">
        <v>3319</v>
      </c>
      <c r="J284" s="2" t="s">
        <v>29</v>
      </c>
      <c r="K284" s="2" t="s">
        <v>29</v>
      </c>
      <c r="L284" s="2" t="s">
        <v>29</v>
      </c>
      <c r="M284" s="2" t="s">
        <v>3320</v>
      </c>
      <c r="N284" s="2" t="s">
        <v>29</v>
      </c>
      <c r="O284" s="2" t="s">
        <v>29</v>
      </c>
      <c r="P284" s="2" t="s">
        <v>3321</v>
      </c>
      <c r="Q284" s="2" t="s">
        <v>3322</v>
      </c>
      <c r="R284" s="2" t="s">
        <v>502</v>
      </c>
      <c r="S284" s="2" t="s">
        <v>503</v>
      </c>
      <c r="T284" s="2" t="s">
        <v>1964</v>
      </c>
      <c r="U284" s="2" t="s">
        <v>29</v>
      </c>
      <c r="V284" s="2" t="n">
        <v>1</v>
      </c>
    </row>
    <row r="285">
      <c r="A285" s="2" t="n">
        <v>284</v>
      </c>
      <c r="B285" s="2" t="s">
        <v>3323</v>
      </c>
      <c r="C285" s="2" t="n">
        <v>285.116400588</v>
      </c>
      <c r="D285" s="2" t="n">
        <v>0.20197979767951</v>
      </c>
      <c r="E285" s="2" t="s">
        <v>3324</v>
      </c>
      <c r="F285" s="2" t="s">
        <v>522</v>
      </c>
      <c r="G285" s="2" t="s">
        <v>3325</v>
      </c>
      <c r="H285" s="2" t="s">
        <v>3326</v>
      </c>
      <c r="I285" s="2" t="s">
        <v>3327</v>
      </c>
      <c r="J285" s="2" t="s">
        <v>3328</v>
      </c>
      <c r="K285" s="2" t="s">
        <v>29</v>
      </c>
      <c r="L285" s="2" t="s">
        <v>29</v>
      </c>
      <c r="M285" s="2" t="s">
        <v>29</v>
      </c>
      <c r="N285" s="2" t="s">
        <v>3329</v>
      </c>
      <c r="O285" s="2" t="s">
        <v>3330</v>
      </c>
      <c r="P285" s="2" t="s">
        <v>3331</v>
      </c>
      <c r="Q285" s="2" t="s">
        <v>3332</v>
      </c>
      <c r="R285" s="2" t="s">
        <v>355</v>
      </c>
      <c r="S285" s="2" t="s">
        <v>3333</v>
      </c>
      <c r="T285" s="2" t="s">
        <v>3334</v>
      </c>
      <c r="U285" s="2" t="s">
        <v>29</v>
      </c>
      <c r="V285" s="2" t="n">
        <v>1</v>
      </c>
    </row>
    <row r="286">
      <c r="A286" s="2" t="n">
        <v>285</v>
      </c>
      <c r="B286" s="2" t="s">
        <v>3335</v>
      </c>
      <c r="C286" s="2" t="n">
        <v>286.92056</v>
      </c>
      <c r="D286" s="2" t="n">
        <v>0.740177113520518</v>
      </c>
      <c r="E286" s="2" t="s">
        <v>3336</v>
      </c>
      <c r="F286" s="2" t="s">
        <v>24</v>
      </c>
      <c r="G286" s="2" t="s">
        <v>3337</v>
      </c>
      <c r="H286" s="2" t="s">
        <v>3338</v>
      </c>
      <c r="I286" s="2" t="s">
        <v>3339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3340</v>
      </c>
      <c r="O286" s="2" t="s">
        <v>29</v>
      </c>
      <c r="P286" s="2" t="s">
        <v>3341</v>
      </c>
      <c r="Q286" s="2" t="s">
        <v>3342</v>
      </c>
      <c r="R286" s="2" t="s">
        <v>502</v>
      </c>
      <c r="S286" s="2" t="s">
        <v>503</v>
      </c>
      <c r="T286" s="2" t="s">
        <v>3343</v>
      </c>
      <c r="U286" s="2" t="s">
        <v>29</v>
      </c>
      <c r="V286" s="2" t="n">
        <v>1</v>
      </c>
    </row>
    <row r="287">
      <c r="A287" s="2" t="n">
        <v>286</v>
      </c>
      <c r="B287" s="2" t="s">
        <v>3344</v>
      </c>
      <c r="C287" s="2" t="n">
        <v>288.0249866</v>
      </c>
      <c r="D287" s="2" t="n">
        <v>2.96001888377153</v>
      </c>
      <c r="E287" s="2" t="s">
        <v>3345</v>
      </c>
      <c r="F287" s="2" t="s">
        <v>42</v>
      </c>
      <c r="G287" s="2" t="s">
        <v>3346</v>
      </c>
      <c r="H287" s="2" t="s">
        <v>3347</v>
      </c>
      <c r="I287" s="2" t="s">
        <v>3348</v>
      </c>
      <c r="J287" s="2" t="s">
        <v>29</v>
      </c>
      <c r="K287" s="2" t="s">
        <v>29</v>
      </c>
      <c r="L287" s="2" t="s">
        <v>29</v>
      </c>
      <c r="M287" s="2" t="s">
        <v>3349</v>
      </c>
      <c r="N287" s="2" t="s">
        <v>3350</v>
      </c>
      <c r="O287" s="2" t="s">
        <v>29</v>
      </c>
      <c r="P287" s="2" t="s">
        <v>3351</v>
      </c>
      <c r="Q287" s="2" t="s">
        <v>3352</v>
      </c>
      <c r="R287" s="2" t="s">
        <v>49</v>
      </c>
      <c r="S287" s="2" t="s">
        <v>165</v>
      </c>
      <c r="T287" s="2" t="s">
        <v>166</v>
      </c>
      <c r="U287" s="2" t="s">
        <v>29</v>
      </c>
      <c r="V287" s="2" t="n">
        <v>1</v>
      </c>
    </row>
    <row r="288">
      <c r="A288" s="2" t="n">
        <v>287</v>
      </c>
      <c r="B288" s="2" t="s">
        <v>3353</v>
      </c>
      <c r="C288" s="2" t="n">
        <v>288.9207442</v>
      </c>
      <c r="D288" s="2" t="n">
        <v>2.90931180653409</v>
      </c>
      <c r="E288" s="2" t="s">
        <v>3354</v>
      </c>
      <c r="F288" s="2" t="s">
        <v>360</v>
      </c>
      <c r="G288" s="2" t="s">
        <v>3355</v>
      </c>
      <c r="H288" s="2" t="s">
        <v>3356</v>
      </c>
      <c r="I288" s="2" t="s">
        <v>3357</v>
      </c>
      <c r="J288" s="2" t="s">
        <v>29</v>
      </c>
      <c r="K288" s="2" t="s">
        <v>29</v>
      </c>
      <c r="L288" s="2" t="s">
        <v>3358</v>
      </c>
      <c r="M288" s="2" t="s">
        <v>29</v>
      </c>
      <c r="N288" s="2" t="s">
        <v>3359</v>
      </c>
      <c r="O288" s="2" t="s">
        <v>29</v>
      </c>
      <c r="P288" s="2" t="s">
        <v>3360</v>
      </c>
      <c r="Q288" s="2" t="s">
        <v>3361</v>
      </c>
      <c r="R288" s="2" t="s">
        <v>502</v>
      </c>
      <c r="S288" s="2" t="s">
        <v>503</v>
      </c>
      <c r="T288" s="2" t="s">
        <v>3362</v>
      </c>
      <c r="U288" s="2" t="s">
        <v>39</v>
      </c>
      <c r="V288" s="2" t="n">
        <v>1</v>
      </c>
    </row>
    <row r="289">
      <c r="A289" s="2" t="n">
        <v>288</v>
      </c>
      <c r="B289" s="2" t="s">
        <v>3363</v>
      </c>
      <c r="C289" s="2" t="n">
        <v>288.994296596</v>
      </c>
      <c r="D289" s="2" t="n">
        <v>0.0545644906199341</v>
      </c>
      <c r="E289" s="2" t="s">
        <v>3364</v>
      </c>
      <c r="F289" s="2" t="s">
        <v>522</v>
      </c>
      <c r="G289" s="2" t="s">
        <v>3365</v>
      </c>
      <c r="H289" s="2" t="s">
        <v>3366</v>
      </c>
      <c r="I289" s="2" t="s">
        <v>3367</v>
      </c>
      <c r="J289" s="2" t="s">
        <v>29</v>
      </c>
      <c r="K289" s="2" t="s">
        <v>29</v>
      </c>
      <c r="L289" s="2" t="s">
        <v>29</v>
      </c>
      <c r="M289" s="2" t="s">
        <v>3368</v>
      </c>
      <c r="N289" s="2" t="s">
        <v>3369</v>
      </c>
      <c r="O289" s="2" t="s">
        <v>29</v>
      </c>
      <c r="P289" s="2" t="s">
        <v>3370</v>
      </c>
      <c r="Q289" s="2" t="s">
        <v>3371</v>
      </c>
      <c r="R289" s="2" t="s">
        <v>502</v>
      </c>
      <c r="S289" s="2" t="s">
        <v>2413</v>
      </c>
      <c r="T289" s="2" t="s">
        <v>3372</v>
      </c>
      <c r="U289" s="2" t="s">
        <v>29</v>
      </c>
      <c r="V289" s="2" t="n">
        <v>1</v>
      </c>
    </row>
    <row r="290">
      <c r="A290" s="2" t="n">
        <v>289</v>
      </c>
      <c r="B290" s="2" t="s">
        <v>3373</v>
      </c>
      <c r="C290" s="2" t="n">
        <v>289.028301194</v>
      </c>
      <c r="D290" s="2" t="n">
        <v>2.64478811349217</v>
      </c>
      <c r="E290" s="2" t="s">
        <v>3374</v>
      </c>
      <c r="F290" s="2" t="s">
        <v>42</v>
      </c>
      <c r="G290" s="2" t="s">
        <v>3375</v>
      </c>
      <c r="H290" s="2" t="s">
        <v>3376</v>
      </c>
      <c r="I290" s="2" t="s">
        <v>3377</v>
      </c>
      <c r="J290" s="2" t="s">
        <v>3378</v>
      </c>
      <c r="K290" s="2" t="s">
        <v>29</v>
      </c>
      <c r="L290" s="2" t="s">
        <v>29</v>
      </c>
      <c r="M290" s="2" t="s">
        <v>3379</v>
      </c>
      <c r="N290" s="2" t="s">
        <v>3380</v>
      </c>
      <c r="O290" s="2" t="s">
        <v>3381</v>
      </c>
      <c r="P290" s="2" t="s">
        <v>3382</v>
      </c>
      <c r="Q290" s="2" t="s">
        <v>3383</v>
      </c>
      <c r="R290" s="2" t="s">
        <v>502</v>
      </c>
      <c r="S290" s="2" t="s">
        <v>503</v>
      </c>
      <c r="T290" s="2" t="s">
        <v>3258</v>
      </c>
      <c r="U290" s="2" t="s">
        <v>29</v>
      </c>
      <c r="V290" s="2" t="n">
        <v>1</v>
      </c>
    </row>
    <row r="291">
      <c r="A291" s="2" t="n">
        <v>290</v>
      </c>
      <c r="B291" s="2" t="s">
        <v>3384</v>
      </c>
      <c r="C291" s="2" t="n">
        <v>289.067739419</v>
      </c>
      <c r="D291" s="2" t="n">
        <v>0.87811099582081</v>
      </c>
      <c r="E291" s="2" t="s">
        <v>3385</v>
      </c>
      <c r="F291" s="2" t="s">
        <v>110</v>
      </c>
      <c r="G291" s="2" t="s">
        <v>3386</v>
      </c>
      <c r="H291" s="2" t="s">
        <v>3387</v>
      </c>
      <c r="I291" s="2" t="s">
        <v>3388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3389</v>
      </c>
      <c r="Q291" s="2" t="s">
        <v>3390</v>
      </c>
      <c r="R291" s="2" t="s">
        <v>49</v>
      </c>
      <c r="S291" s="2" t="s">
        <v>165</v>
      </c>
      <c r="T291" s="2" t="s">
        <v>2874</v>
      </c>
      <c r="U291" s="2" t="s">
        <v>29</v>
      </c>
      <c r="V291" s="2" t="n">
        <v>1</v>
      </c>
    </row>
    <row r="292">
      <c r="A292" s="2" t="n">
        <v>291</v>
      </c>
      <c r="B292" s="2" t="s">
        <v>3391</v>
      </c>
      <c r="C292" s="2" t="n">
        <v>289.180918697</v>
      </c>
      <c r="D292" s="2" t="n">
        <v>7.16852768398027</v>
      </c>
      <c r="E292" s="2" t="s">
        <v>3392</v>
      </c>
      <c r="F292" s="2" t="s">
        <v>110</v>
      </c>
      <c r="G292" s="2" t="s">
        <v>3393</v>
      </c>
      <c r="H292" s="2" t="s">
        <v>3394</v>
      </c>
      <c r="I292" s="2" t="s">
        <v>3395</v>
      </c>
      <c r="J292" s="2" t="s">
        <v>3396</v>
      </c>
      <c r="K292" s="2" t="s">
        <v>226</v>
      </c>
      <c r="L292" s="2" t="s">
        <v>226</v>
      </c>
      <c r="M292" s="2" t="s">
        <v>3397</v>
      </c>
      <c r="N292" s="2" t="s">
        <v>3398</v>
      </c>
      <c r="O292" s="2" t="s">
        <v>3399</v>
      </c>
      <c r="P292" s="2" t="s">
        <v>3400</v>
      </c>
      <c r="Q292" s="2" t="s">
        <v>3401</v>
      </c>
      <c r="R292" s="2" t="s">
        <v>3402</v>
      </c>
      <c r="S292" s="2" t="s">
        <v>3403</v>
      </c>
      <c r="T292" s="2" t="s">
        <v>3404</v>
      </c>
      <c r="U292" s="2" t="s">
        <v>29</v>
      </c>
      <c r="V292" s="2" t="n">
        <v>3</v>
      </c>
    </row>
    <row r="293">
      <c r="A293" s="2" t="n">
        <v>292</v>
      </c>
      <c r="B293" s="2" t="s">
        <v>3405</v>
      </c>
      <c r="C293" s="2" t="n">
        <v>290.9136448</v>
      </c>
      <c r="D293" s="2" t="n">
        <v>6.45293271161751</v>
      </c>
      <c r="E293" s="2" t="s">
        <v>3406</v>
      </c>
      <c r="F293" s="2" t="s">
        <v>24</v>
      </c>
      <c r="G293" s="2" t="s">
        <v>3407</v>
      </c>
      <c r="H293" s="2" t="s">
        <v>3408</v>
      </c>
      <c r="I293" s="2" t="s">
        <v>3409</v>
      </c>
      <c r="J293" s="2" t="s">
        <v>29</v>
      </c>
      <c r="K293" s="2" t="s">
        <v>29</v>
      </c>
      <c r="L293" s="2" t="s">
        <v>29</v>
      </c>
      <c r="M293" s="2" t="s">
        <v>3410</v>
      </c>
      <c r="N293" s="2" t="s">
        <v>3411</v>
      </c>
      <c r="O293" s="2" t="s">
        <v>3412</v>
      </c>
      <c r="P293" s="2" t="s">
        <v>3413</v>
      </c>
      <c r="Q293" s="2" t="s">
        <v>3414</v>
      </c>
      <c r="R293" s="2" t="s">
        <v>502</v>
      </c>
      <c r="S293" s="2" t="s">
        <v>503</v>
      </c>
      <c r="T293" s="2" t="s">
        <v>3415</v>
      </c>
      <c r="U293" s="2" t="s">
        <v>29</v>
      </c>
      <c r="V293" s="2" t="n">
        <v>1</v>
      </c>
    </row>
    <row r="294">
      <c r="A294" s="2" t="n">
        <v>293</v>
      </c>
      <c r="B294" s="2" t="s">
        <v>3416</v>
      </c>
      <c r="C294" s="2" t="n">
        <v>291.070335823</v>
      </c>
      <c r="D294" s="2" t="n">
        <v>1.195415724896</v>
      </c>
      <c r="E294" s="2" t="s">
        <v>3417</v>
      </c>
      <c r="F294" s="2" t="s">
        <v>24</v>
      </c>
      <c r="G294" s="2" t="s">
        <v>3418</v>
      </c>
      <c r="H294" s="2" t="s">
        <v>3419</v>
      </c>
      <c r="I294" s="2" t="s">
        <v>3420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3421</v>
      </c>
      <c r="O294" s="2" t="s">
        <v>29</v>
      </c>
      <c r="P294" s="2" t="s">
        <v>3422</v>
      </c>
      <c r="Q294" s="2" t="s">
        <v>3423</v>
      </c>
      <c r="R294" s="2" t="s">
        <v>36</v>
      </c>
      <c r="S294" s="2" t="s">
        <v>37</v>
      </c>
      <c r="T294" s="2" t="s">
        <v>1828</v>
      </c>
      <c r="U294" s="2" t="s">
        <v>29</v>
      </c>
      <c r="V294" s="2" t="n">
        <v>1</v>
      </c>
    </row>
    <row r="295">
      <c r="A295" s="2" t="n">
        <v>294</v>
      </c>
      <c r="B295" s="2" t="s">
        <v>3424</v>
      </c>
      <c r="C295" s="2" t="n">
        <v>291.196018448</v>
      </c>
      <c r="D295" s="2" t="n">
        <v>1.97108690555526</v>
      </c>
      <c r="E295" s="2" t="s">
        <v>3425</v>
      </c>
      <c r="F295" s="2" t="s">
        <v>42</v>
      </c>
      <c r="G295" s="2" t="s">
        <v>3426</v>
      </c>
      <c r="H295" s="2" t="s">
        <v>3427</v>
      </c>
      <c r="I295" s="2" t="s">
        <v>3428</v>
      </c>
      <c r="J295" s="2" t="s">
        <v>3429</v>
      </c>
      <c r="K295" s="2" t="s">
        <v>3430</v>
      </c>
      <c r="L295" s="2" t="s">
        <v>3431</v>
      </c>
      <c r="M295" s="2" t="s">
        <v>3432</v>
      </c>
      <c r="N295" s="2" t="s">
        <v>3433</v>
      </c>
      <c r="O295" s="2" t="s">
        <v>3434</v>
      </c>
      <c r="P295" s="2" t="s">
        <v>3435</v>
      </c>
      <c r="Q295" s="2" t="s">
        <v>3436</v>
      </c>
      <c r="R295" s="2" t="s">
        <v>1490</v>
      </c>
      <c r="S295" s="2" t="s">
        <v>1491</v>
      </c>
      <c r="T295" s="2" t="s">
        <v>3437</v>
      </c>
      <c r="U295" s="2" t="s">
        <v>39</v>
      </c>
      <c r="V295" s="2" t="n">
        <v>1</v>
      </c>
    </row>
    <row r="296">
      <c r="A296" s="2" t="n">
        <v>295</v>
      </c>
      <c r="B296" s="2" t="s">
        <v>3438</v>
      </c>
      <c r="C296" s="2" t="n">
        <v>292.909938345</v>
      </c>
      <c r="D296" s="2" t="n">
        <v>1.22821498616403</v>
      </c>
      <c r="E296" s="2" t="s">
        <v>3439</v>
      </c>
      <c r="F296" s="2" t="s">
        <v>250</v>
      </c>
      <c r="G296" s="2" t="s">
        <v>3440</v>
      </c>
      <c r="H296" s="2" t="s">
        <v>3441</v>
      </c>
      <c r="I296" s="2" t="s">
        <v>3442</v>
      </c>
      <c r="J296" s="2" t="s">
        <v>3443</v>
      </c>
      <c r="K296" s="2" t="s">
        <v>29</v>
      </c>
      <c r="L296" s="2" t="s">
        <v>3444</v>
      </c>
      <c r="M296" s="2" t="s">
        <v>3445</v>
      </c>
      <c r="N296" s="2" t="s">
        <v>3446</v>
      </c>
      <c r="O296" s="2" t="s">
        <v>3447</v>
      </c>
      <c r="P296" s="2" t="s">
        <v>3448</v>
      </c>
      <c r="Q296" s="2" t="s">
        <v>3449</v>
      </c>
      <c r="R296" s="2" t="s">
        <v>502</v>
      </c>
      <c r="S296" s="2" t="s">
        <v>503</v>
      </c>
      <c r="T296" s="2" t="s">
        <v>3450</v>
      </c>
      <c r="U296" s="2" t="s">
        <v>39</v>
      </c>
      <c r="V296" s="2" t="n">
        <v>1</v>
      </c>
    </row>
    <row r="297">
      <c r="A297" s="2" t="n">
        <v>296</v>
      </c>
      <c r="B297" s="2" t="s">
        <v>3451</v>
      </c>
      <c r="C297" s="2" t="n">
        <v>292.952099042</v>
      </c>
      <c r="D297" s="2" t="n">
        <v>6.38136476694448</v>
      </c>
      <c r="E297" s="2" t="s">
        <v>3452</v>
      </c>
      <c r="F297" s="2" t="s">
        <v>42</v>
      </c>
      <c r="G297" s="2" t="s">
        <v>3453</v>
      </c>
      <c r="H297" s="2" t="s">
        <v>3454</v>
      </c>
      <c r="I297" s="2" t="s">
        <v>3455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3456</v>
      </c>
      <c r="O297" s="2" t="s">
        <v>29</v>
      </c>
      <c r="P297" s="2" t="s">
        <v>3457</v>
      </c>
      <c r="Q297" s="2" t="s">
        <v>3458</v>
      </c>
      <c r="R297" s="2" t="s">
        <v>49</v>
      </c>
      <c r="S297" s="2" t="s">
        <v>771</v>
      </c>
      <c r="T297" s="2" t="s">
        <v>772</v>
      </c>
      <c r="U297" s="2" t="s">
        <v>29</v>
      </c>
      <c r="V297" s="2" t="n">
        <v>1</v>
      </c>
    </row>
    <row r="298">
      <c r="A298" s="2" t="n">
        <v>297</v>
      </c>
      <c r="B298" s="2" t="s">
        <v>3459</v>
      </c>
      <c r="C298" s="2" t="n">
        <v>293.02222543</v>
      </c>
      <c r="D298" s="2" t="n">
        <v>0.104761745008177</v>
      </c>
      <c r="E298" s="2" t="s">
        <v>3460</v>
      </c>
      <c r="F298" s="2" t="s">
        <v>522</v>
      </c>
      <c r="G298" s="2" t="s">
        <v>3461</v>
      </c>
      <c r="H298" s="2" t="s">
        <v>3462</v>
      </c>
      <c r="I298" s="2" t="s">
        <v>3463</v>
      </c>
      <c r="J298" s="2" t="s">
        <v>3464</v>
      </c>
      <c r="K298" s="2" t="s">
        <v>226</v>
      </c>
      <c r="L298" s="2" t="s">
        <v>3465</v>
      </c>
      <c r="M298" s="2" t="s">
        <v>3466</v>
      </c>
      <c r="N298" s="2" t="s">
        <v>3467</v>
      </c>
      <c r="O298" s="2" t="s">
        <v>3468</v>
      </c>
      <c r="P298" s="2" t="s">
        <v>3469</v>
      </c>
      <c r="Q298" s="2" t="s">
        <v>3470</v>
      </c>
      <c r="R298" s="2" t="s">
        <v>3471</v>
      </c>
      <c r="S298" s="2" t="s">
        <v>3472</v>
      </c>
      <c r="T298" s="2" t="s">
        <v>3473</v>
      </c>
      <c r="U298" s="2" t="s">
        <v>39</v>
      </c>
      <c r="V298" s="2" t="n">
        <v>3</v>
      </c>
    </row>
    <row r="299">
      <c r="A299" s="2" t="n">
        <v>298</v>
      </c>
      <c r="B299" s="2" t="s">
        <v>3474</v>
      </c>
      <c r="C299" s="2" t="n">
        <v>293.100376955</v>
      </c>
      <c r="D299" s="2" t="n">
        <v>3.0356539292861</v>
      </c>
      <c r="E299" s="2" t="s">
        <v>3475</v>
      </c>
      <c r="F299" s="2" t="s">
        <v>110</v>
      </c>
      <c r="G299" s="2" t="s">
        <v>3476</v>
      </c>
      <c r="H299" s="2" t="s">
        <v>3477</v>
      </c>
      <c r="I299" s="2" t="s">
        <v>3478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3479</v>
      </c>
      <c r="O299" s="2" t="s">
        <v>29</v>
      </c>
      <c r="P299" s="2" t="s">
        <v>3480</v>
      </c>
      <c r="Q299" s="2" t="s">
        <v>3481</v>
      </c>
      <c r="R299" s="2" t="s">
        <v>2590</v>
      </c>
      <c r="S299" s="2" t="s">
        <v>3279</v>
      </c>
      <c r="T299" s="2" t="s">
        <v>205</v>
      </c>
      <c r="U299" s="2" t="s">
        <v>29</v>
      </c>
      <c r="V299" s="2" t="n">
        <v>1</v>
      </c>
    </row>
    <row r="300">
      <c r="A300" s="2" t="n">
        <v>299</v>
      </c>
      <c r="B300" s="2" t="s">
        <v>3482</v>
      </c>
      <c r="C300" s="2" t="n">
        <v>293.179204138</v>
      </c>
      <c r="D300" s="2" t="n">
        <v>4.14687475075303</v>
      </c>
      <c r="E300" s="2" t="s">
        <v>3483</v>
      </c>
      <c r="F300" s="2" t="s">
        <v>110</v>
      </c>
      <c r="G300" s="2" t="s">
        <v>3484</v>
      </c>
      <c r="H300" s="2" t="s">
        <v>3485</v>
      </c>
      <c r="I300" s="2" t="s">
        <v>3486</v>
      </c>
      <c r="J300" s="2" t="s">
        <v>3487</v>
      </c>
      <c r="K300" s="2" t="s">
        <v>29</v>
      </c>
      <c r="L300" s="2" t="s">
        <v>29</v>
      </c>
      <c r="M300" s="2" t="s">
        <v>29</v>
      </c>
      <c r="N300" s="2" t="s">
        <v>3488</v>
      </c>
      <c r="O300" s="2" t="s">
        <v>3489</v>
      </c>
      <c r="P300" s="2" t="s">
        <v>3490</v>
      </c>
      <c r="Q300" s="2" t="s">
        <v>3491</v>
      </c>
      <c r="R300" s="2" t="s">
        <v>49</v>
      </c>
      <c r="S300" s="2" t="s">
        <v>1567</v>
      </c>
      <c r="T300" s="2" t="s">
        <v>3492</v>
      </c>
      <c r="U300" s="2" t="s">
        <v>29</v>
      </c>
      <c r="V300" s="2" t="n">
        <v>1</v>
      </c>
    </row>
    <row r="301">
      <c r="A301" s="2" t="n">
        <v>300</v>
      </c>
      <c r="B301" s="2" t="s">
        <v>3493</v>
      </c>
      <c r="C301" s="2" t="n">
        <v>294.991377701</v>
      </c>
      <c r="D301" s="2" t="n">
        <v>5.48195227065148</v>
      </c>
      <c r="E301" s="2" t="s">
        <v>3494</v>
      </c>
      <c r="F301" s="2" t="s">
        <v>522</v>
      </c>
      <c r="G301" s="2" t="s">
        <v>3495</v>
      </c>
      <c r="H301" s="2" t="s">
        <v>3496</v>
      </c>
      <c r="I301" s="2" t="s">
        <v>3497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3498</v>
      </c>
      <c r="Q301" s="2" t="s">
        <v>3499</v>
      </c>
      <c r="R301" s="2" t="s">
        <v>502</v>
      </c>
      <c r="S301" s="2" t="s">
        <v>503</v>
      </c>
      <c r="T301" s="2" t="s">
        <v>3415</v>
      </c>
      <c r="U301" s="2" t="s">
        <v>29</v>
      </c>
      <c r="V301" s="2" t="n">
        <v>1</v>
      </c>
    </row>
    <row r="302">
      <c r="A302" s="2" t="n">
        <v>301</v>
      </c>
      <c r="B302" s="2" t="s">
        <v>3500</v>
      </c>
      <c r="C302" s="2" t="n">
        <v>295.22786889</v>
      </c>
      <c r="D302" s="2" t="n">
        <v>3.82894585322678</v>
      </c>
      <c r="E302" s="2" t="s">
        <v>3501</v>
      </c>
      <c r="F302" s="2" t="s">
        <v>110</v>
      </c>
      <c r="G302" s="2" t="s">
        <v>3502</v>
      </c>
      <c r="H302" s="2" t="s">
        <v>3503</v>
      </c>
      <c r="I302" s="2" t="s">
        <v>3504</v>
      </c>
      <c r="J302" s="2" t="s">
        <v>3505</v>
      </c>
      <c r="K302" s="2" t="s">
        <v>3506</v>
      </c>
      <c r="L302" s="2" t="s">
        <v>3507</v>
      </c>
      <c r="M302" s="2" t="s">
        <v>3508</v>
      </c>
      <c r="N302" s="2" t="s">
        <v>3509</v>
      </c>
      <c r="O302" s="2" t="s">
        <v>3510</v>
      </c>
      <c r="P302" s="2" t="s">
        <v>3511</v>
      </c>
      <c r="Q302" s="2" t="s">
        <v>3512</v>
      </c>
      <c r="R302" s="2" t="s">
        <v>105</v>
      </c>
      <c r="S302" s="2" t="s">
        <v>106</v>
      </c>
      <c r="T302" s="2" t="s">
        <v>3513</v>
      </c>
      <c r="U302" s="2" t="s">
        <v>39</v>
      </c>
      <c r="V302" s="2" t="n">
        <v>3</v>
      </c>
    </row>
    <row r="303">
      <c r="A303" s="2" t="n">
        <v>302</v>
      </c>
      <c r="B303" s="2" t="s">
        <v>3514</v>
      </c>
      <c r="C303" s="2" t="n">
        <v>296.944391236</v>
      </c>
      <c r="D303" s="2" t="n">
        <v>5.33167261550099</v>
      </c>
      <c r="E303" s="2" t="s">
        <v>3515</v>
      </c>
      <c r="F303" s="2" t="s">
        <v>1019</v>
      </c>
      <c r="G303" s="2" t="s">
        <v>3516</v>
      </c>
      <c r="H303" s="2" t="s">
        <v>3517</v>
      </c>
      <c r="I303" s="2" t="s">
        <v>3518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3519</v>
      </c>
      <c r="Q303" s="2" t="s">
        <v>3520</v>
      </c>
      <c r="R303" s="2" t="s">
        <v>49</v>
      </c>
      <c r="S303" s="2" t="s">
        <v>218</v>
      </c>
      <c r="T303" s="2" t="s">
        <v>219</v>
      </c>
      <c r="U303" s="2" t="s">
        <v>29</v>
      </c>
      <c r="V303" s="2" t="n">
        <v>1</v>
      </c>
    </row>
    <row r="304">
      <c r="A304" s="2" t="n">
        <v>303</v>
      </c>
      <c r="B304" s="2" t="s">
        <v>3521</v>
      </c>
      <c r="C304" s="2" t="n">
        <v>297.046824523</v>
      </c>
      <c r="D304" s="2" t="n">
        <v>0.63406539319628</v>
      </c>
      <c r="E304" s="2" t="s">
        <v>3522</v>
      </c>
      <c r="F304" s="2" t="s">
        <v>110</v>
      </c>
      <c r="G304" s="2" t="s">
        <v>3523</v>
      </c>
      <c r="H304" s="2" t="s">
        <v>3524</v>
      </c>
      <c r="I304" s="2" t="s">
        <v>3525</v>
      </c>
      <c r="J304" s="2" t="s">
        <v>3526</v>
      </c>
      <c r="K304" s="2" t="s">
        <v>29</v>
      </c>
      <c r="L304" s="2" t="s">
        <v>3527</v>
      </c>
      <c r="M304" s="2" t="s">
        <v>3528</v>
      </c>
      <c r="N304" s="2" t="s">
        <v>3529</v>
      </c>
      <c r="O304" s="2" t="s">
        <v>3530</v>
      </c>
      <c r="P304" s="2" t="s">
        <v>3531</v>
      </c>
      <c r="Q304" s="2" t="s">
        <v>3532</v>
      </c>
      <c r="R304" s="2" t="s">
        <v>355</v>
      </c>
      <c r="S304" s="2" t="s">
        <v>3533</v>
      </c>
      <c r="T304" s="2" t="s">
        <v>3534</v>
      </c>
      <c r="U304" s="2" t="s">
        <v>39</v>
      </c>
      <c r="V304" s="2" t="n">
        <v>1</v>
      </c>
    </row>
    <row r="305">
      <c r="A305" s="2" t="n">
        <v>304</v>
      </c>
      <c r="B305" s="2" t="s">
        <v>3535</v>
      </c>
      <c r="C305" s="2" t="n">
        <v>297.149618568</v>
      </c>
      <c r="D305" s="2" t="n">
        <v>14.5768590616325</v>
      </c>
      <c r="E305" s="2" t="s">
        <v>3536</v>
      </c>
      <c r="F305" s="2" t="s">
        <v>110</v>
      </c>
      <c r="G305" s="2" t="s">
        <v>3537</v>
      </c>
      <c r="H305" s="2" t="s">
        <v>3538</v>
      </c>
      <c r="I305" s="2" t="s">
        <v>3539</v>
      </c>
      <c r="J305" s="2" t="s">
        <v>3540</v>
      </c>
      <c r="K305" s="2" t="s">
        <v>29</v>
      </c>
      <c r="L305" s="2" t="s">
        <v>3541</v>
      </c>
      <c r="M305" s="2" t="s">
        <v>29</v>
      </c>
      <c r="N305" s="2" t="s">
        <v>3542</v>
      </c>
      <c r="O305" s="2" t="s">
        <v>3543</v>
      </c>
      <c r="P305" s="2" t="s">
        <v>3544</v>
      </c>
      <c r="Q305" s="2" t="s">
        <v>3545</v>
      </c>
      <c r="R305" s="2" t="s">
        <v>1490</v>
      </c>
      <c r="S305" s="2" t="s">
        <v>3546</v>
      </c>
      <c r="T305" s="2" t="s">
        <v>3547</v>
      </c>
      <c r="U305" s="2" t="s">
        <v>39</v>
      </c>
      <c r="V305" s="2" t="n">
        <v>1</v>
      </c>
    </row>
    <row r="306">
      <c r="A306" s="2" t="n">
        <v>305</v>
      </c>
      <c r="B306" s="2" t="s">
        <v>3548</v>
      </c>
      <c r="C306" s="2" t="n">
        <v>297.27990446</v>
      </c>
      <c r="D306" s="2" t="n">
        <v>3.34700862256042</v>
      </c>
      <c r="E306" s="2" t="s">
        <v>3549</v>
      </c>
      <c r="F306" s="2" t="s">
        <v>110</v>
      </c>
      <c r="G306" s="2" t="s">
        <v>3550</v>
      </c>
      <c r="H306" s="2" t="s">
        <v>3551</v>
      </c>
      <c r="I306" s="2" t="s">
        <v>3552</v>
      </c>
      <c r="J306" s="2" t="s">
        <v>3553</v>
      </c>
      <c r="K306" s="2" t="s">
        <v>3554</v>
      </c>
      <c r="L306" s="2" t="s">
        <v>3555</v>
      </c>
      <c r="M306" s="2" t="s">
        <v>3556</v>
      </c>
      <c r="N306" s="2" t="s">
        <v>3557</v>
      </c>
      <c r="O306" s="2" t="s">
        <v>3558</v>
      </c>
      <c r="P306" s="2" t="s">
        <v>3559</v>
      </c>
      <c r="Q306" s="2" t="s">
        <v>3560</v>
      </c>
      <c r="R306" s="2" t="s">
        <v>575</v>
      </c>
      <c r="S306" s="2" t="s">
        <v>576</v>
      </c>
      <c r="T306" s="2" t="s">
        <v>577</v>
      </c>
      <c r="U306" s="2" t="s">
        <v>39</v>
      </c>
      <c r="V306" s="2" t="n">
        <v>2</v>
      </c>
    </row>
    <row r="307">
      <c r="A307" s="2" t="n">
        <v>306</v>
      </c>
      <c r="B307" s="2" t="s">
        <v>3561</v>
      </c>
      <c r="C307" s="2" t="n">
        <v>299.080608474</v>
      </c>
      <c r="D307" s="2" t="n">
        <v>7.59814411484485</v>
      </c>
      <c r="E307" s="2" t="s">
        <v>3562</v>
      </c>
      <c r="F307" s="2" t="s">
        <v>24</v>
      </c>
      <c r="G307" s="2" t="s">
        <v>3563</v>
      </c>
      <c r="H307" s="2" t="s">
        <v>3564</v>
      </c>
      <c r="I307" s="2" t="s">
        <v>3565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3566</v>
      </c>
      <c r="O307" s="2" t="s">
        <v>29</v>
      </c>
      <c r="P307" s="2" t="s">
        <v>3567</v>
      </c>
      <c r="Q307" s="2" t="s">
        <v>3568</v>
      </c>
      <c r="R307" s="2" t="s">
        <v>355</v>
      </c>
      <c r="S307" s="2" t="s">
        <v>3569</v>
      </c>
      <c r="T307" s="2" t="s">
        <v>205</v>
      </c>
      <c r="U307" s="2" t="s">
        <v>29</v>
      </c>
      <c r="V307" s="2" t="n">
        <v>1</v>
      </c>
    </row>
    <row r="308">
      <c r="A308" s="2" t="n">
        <v>307</v>
      </c>
      <c r="B308" s="2" t="s">
        <v>3570</v>
      </c>
      <c r="C308" s="2" t="n">
        <v>299.13205065</v>
      </c>
      <c r="D308" s="2" t="n">
        <v>4.74852923945878</v>
      </c>
      <c r="E308" s="2" t="s">
        <v>3571</v>
      </c>
      <c r="F308" s="2" t="s">
        <v>522</v>
      </c>
      <c r="G308" s="2" t="s">
        <v>3572</v>
      </c>
      <c r="H308" s="2" t="s">
        <v>3573</v>
      </c>
      <c r="I308" s="2" t="s">
        <v>3574</v>
      </c>
      <c r="J308" s="2" t="s">
        <v>3575</v>
      </c>
      <c r="K308" s="2" t="s">
        <v>29</v>
      </c>
      <c r="L308" s="2" t="s">
        <v>29</v>
      </c>
      <c r="M308" s="2" t="s">
        <v>3576</v>
      </c>
      <c r="N308" s="2" t="s">
        <v>3577</v>
      </c>
      <c r="O308" s="2" t="s">
        <v>3578</v>
      </c>
      <c r="P308" s="2" t="s">
        <v>3579</v>
      </c>
      <c r="Q308" s="2" t="s">
        <v>3580</v>
      </c>
      <c r="R308" s="2" t="s">
        <v>355</v>
      </c>
      <c r="S308" s="2" t="s">
        <v>3333</v>
      </c>
      <c r="T308" s="2" t="s">
        <v>3334</v>
      </c>
      <c r="U308" s="2" t="s">
        <v>29</v>
      </c>
      <c r="V308" s="2" t="n">
        <v>1</v>
      </c>
    </row>
    <row r="309">
      <c r="A309" s="2" t="n">
        <v>308</v>
      </c>
      <c r="B309" s="2" t="s">
        <v>3581</v>
      </c>
      <c r="C309" s="2" t="n">
        <v>299.259169019</v>
      </c>
      <c r="D309" s="2" t="n">
        <v>0.363837003412868</v>
      </c>
      <c r="E309" s="2" t="s">
        <v>3582</v>
      </c>
      <c r="F309" s="2" t="s">
        <v>110</v>
      </c>
      <c r="G309" s="2" t="s">
        <v>3583</v>
      </c>
      <c r="H309" s="2" t="s">
        <v>3584</v>
      </c>
      <c r="I309" s="2" t="s">
        <v>3585</v>
      </c>
      <c r="J309" s="2" t="s">
        <v>29</v>
      </c>
      <c r="K309" s="2" t="s">
        <v>3586</v>
      </c>
      <c r="L309" s="2" t="s">
        <v>3587</v>
      </c>
      <c r="M309" s="2" t="s">
        <v>3588</v>
      </c>
      <c r="N309" s="2" t="s">
        <v>3589</v>
      </c>
      <c r="O309" s="2" t="s">
        <v>3590</v>
      </c>
      <c r="P309" s="2" t="s">
        <v>3591</v>
      </c>
      <c r="Q309" s="2" t="s">
        <v>3592</v>
      </c>
      <c r="R309" s="2" t="s">
        <v>1490</v>
      </c>
      <c r="S309" s="2" t="s">
        <v>1491</v>
      </c>
      <c r="T309" s="2" t="s">
        <v>1492</v>
      </c>
      <c r="U309" s="2" t="s">
        <v>39</v>
      </c>
      <c r="V309" s="2" t="n">
        <v>1</v>
      </c>
    </row>
    <row r="310">
      <c r="A310" s="2" t="n">
        <v>309</v>
      </c>
      <c r="B310" s="2" t="s">
        <v>3593</v>
      </c>
      <c r="C310" s="2" t="n">
        <v>299.950334637</v>
      </c>
      <c r="D310" s="2" t="n">
        <v>5.75566546564278</v>
      </c>
      <c r="E310" s="2" t="s">
        <v>3594</v>
      </c>
      <c r="F310" s="2" t="s">
        <v>250</v>
      </c>
      <c r="G310" s="2" t="s">
        <v>3595</v>
      </c>
      <c r="H310" s="2" t="s">
        <v>3596</v>
      </c>
      <c r="I310" s="2" t="s">
        <v>3597</v>
      </c>
      <c r="J310" s="2" t="s">
        <v>3598</v>
      </c>
      <c r="K310" s="2" t="s">
        <v>29</v>
      </c>
      <c r="L310" s="2" t="s">
        <v>3599</v>
      </c>
      <c r="M310" s="2" t="s">
        <v>3600</v>
      </c>
      <c r="N310" s="2" t="s">
        <v>3601</v>
      </c>
      <c r="O310" s="2" t="s">
        <v>3602</v>
      </c>
      <c r="P310" s="2" t="s">
        <v>3603</v>
      </c>
      <c r="Q310" s="2" t="s">
        <v>3604</v>
      </c>
      <c r="R310" s="2" t="s">
        <v>49</v>
      </c>
      <c r="S310" s="2" t="s">
        <v>3605</v>
      </c>
      <c r="T310" s="2" t="s">
        <v>3606</v>
      </c>
      <c r="U310" s="2" t="s">
        <v>39</v>
      </c>
      <c r="V310" s="2" t="n">
        <v>1</v>
      </c>
    </row>
    <row r="311">
      <c r="A311" s="2" t="n">
        <v>310</v>
      </c>
      <c r="B311" s="2" t="s">
        <v>3607</v>
      </c>
      <c r="C311" s="2" t="n">
        <v>300.018346872</v>
      </c>
      <c r="D311" s="2" t="n">
        <v>10.0381350702811</v>
      </c>
      <c r="E311" s="2" t="s">
        <v>3608</v>
      </c>
      <c r="F311" s="2" t="s">
        <v>110</v>
      </c>
      <c r="G311" s="2" t="s">
        <v>3609</v>
      </c>
      <c r="H311" s="2" t="s">
        <v>3610</v>
      </c>
      <c r="I311" s="2" t="s">
        <v>3611</v>
      </c>
      <c r="J311" s="2" t="s">
        <v>3612</v>
      </c>
      <c r="K311" s="2" t="s">
        <v>29</v>
      </c>
      <c r="L311" s="2" t="s">
        <v>29</v>
      </c>
      <c r="M311" s="2" t="s">
        <v>29</v>
      </c>
      <c r="N311" s="2" t="s">
        <v>3613</v>
      </c>
      <c r="O311" s="2" t="s">
        <v>29</v>
      </c>
      <c r="P311" s="2" t="s">
        <v>3614</v>
      </c>
      <c r="Q311" s="2" t="s">
        <v>3615</v>
      </c>
      <c r="R311" s="2" t="s">
        <v>49</v>
      </c>
      <c r="S311" s="2" t="s">
        <v>165</v>
      </c>
      <c r="T311" s="2" t="s">
        <v>166</v>
      </c>
      <c r="U311" s="2" t="s">
        <v>29</v>
      </c>
      <c r="V311" s="2" t="n">
        <v>1</v>
      </c>
    </row>
    <row r="312">
      <c r="A312" s="2" t="n">
        <v>311</v>
      </c>
      <c r="B312" s="2" t="s">
        <v>3616</v>
      </c>
      <c r="C312" s="2" t="n">
        <v>300.043294962</v>
      </c>
      <c r="D312" s="2" t="n">
        <v>1.14616544230676</v>
      </c>
      <c r="E312" s="2" t="s">
        <v>3617</v>
      </c>
      <c r="F312" s="2" t="s">
        <v>110</v>
      </c>
      <c r="G312" s="2" t="s">
        <v>3618</v>
      </c>
      <c r="H312" s="2" t="s">
        <v>3619</v>
      </c>
      <c r="I312" s="2" t="s">
        <v>3620</v>
      </c>
      <c r="J312" s="2" t="s">
        <v>29</v>
      </c>
      <c r="K312" s="2" t="s">
        <v>29</v>
      </c>
      <c r="L312" s="2" t="s">
        <v>29</v>
      </c>
      <c r="M312" s="2" t="s">
        <v>3621</v>
      </c>
      <c r="N312" s="2" t="s">
        <v>3622</v>
      </c>
      <c r="O312" s="2" t="s">
        <v>29</v>
      </c>
      <c r="P312" s="2" t="s">
        <v>3623</v>
      </c>
      <c r="Q312" s="2" t="s">
        <v>3624</v>
      </c>
      <c r="R312" s="2" t="s">
        <v>355</v>
      </c>
      <c r="S312" s="2" t="s">
        <v>356</v>
      </c>
      <c r="T312" s="2" t="s">
        <v>3625</v>
      </c>
      <c r="U312" s="2" t="s">
        <v>29</v>
      </c>
      <c r="V312" s="2" t="n">
        <v>1</v>
      </c>
    </row>
    <row r="313">
      <c r="A313" s="2" t="n">
        <v>312</v>
      </c>
      <c r="B313" s="2" t="s">
        <v>3626</v>
      </c>
      <c r="C313" s="2" t="n">
        <v>300.9782858</v>
      </c>
      <c r="D313" s="2" t="n">
        <v>4.43276922322255</v>
      </c>
      <c r="E313" s="2" t="s">
        <v>3627</v>
      </c>
      <c r="F313" s="2" t="s">
        <v>42</v>
      </c>
      <c r="G313" s="2" t="s">
        <v>3628</v>
      </c>
      <c r="H313" s="2" t="s">
        <v>3629</v>
      </c>
      <c r="I313" s="2" t="s">
        <v>3630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3631</v>
      </c>
      <c r="O313" s="2" t="s">
        <v>29</v>
      </c>
      <c r="P313" s="2" t="s">
        <v>3632</v>
      </c>
      <c r="Q313" s="2" t="s">
        <v>3633</v>
      </c>
      <c r="R313" s="2" t="s">
        <v>64</v>
      </c>
      <c r="S313" s="2" t="s">
        <v>65</v>
      </c>
      <c r="T313" s="2" t="s">
        <v>91</v>
      </c>
      <c r="U313" s="2" t="s">
        <v>29</v>
      </c>
      <c r="V313" s="2" t="n">
        <v>1</v>
      </c>
    </row>
    <row r="314">
      <c r="A314" s="2" t="n">
        <v>313</v>
      </c>
      <c r="B314" s="2" t="s">
        <v>3634</v>
      </c>
      <c r="C314" s="2" t="n">
        <v>301.051630819</v>
      </c>
      <c r="D314" s="2" t="n">
        <v>9.15222419968385</v>
      </c>
      <c r="E314" s="2" t="s">
        <v>3635</v>
      </c>
      <c r="F314" s="2" t="s">
        <v>24</v>
      </c>
      <c r="G314" s="2" t="s">
        <v>3636</v>
      </c>
      <c r="H314" s="2" t="s">
        <v>3637</v>
      </c>
      <c r="I314" s="2" t="s">
        <v>3638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3639</v>
      </c>
      <c r="Q314" s="2" t="s">
        <v>3640</v>
      </c>
      <c r="R314" s="2" t="s">
        <v>49</v>
      </c>
      <c r="S314" s="2" t="s">
        <v>3605</v>
      </c>
      <c r="T314" s="2" t="s">
        <v>3606</v>
      </c>
      <c r="U314" s="2" t="s">
        <v>29</v>
      </c>
      <c r="V314" s="2" t="n">
        <v>1</v>
      </c>
    </row>
    <row r="315">
      <c r="A315" s="2" t="n">
        <v>314</v>
      </c>
      <c r="B315" s="2" t="s">
        <v>3641</v>
      </c>
      <c r="C315" s="2" t="n">
        <v>301.10008182</v>
      </c>
      <c r="D315" s="2" t="n">
        <v>3.26859182397645</v>
      </c>
      <c r="E315" s="2" t="s">
        <v>3642</v>
      </c>
      <c r="F315" s="2" t="s">
        <v>522</v>
      </c>
      <c r="G315" s="2" t="s">
        <v>3643</v>
      </c>
      <c r="H315" s="2" t="s">
        <v>3644</v>
      </c>
      <c r="I315" s="2" t="s">
        <v>3645</v>
      </c>
      <c r="J315" s="2" t="s">
        <v>3646</v>
      </c>
      <c r="K315" s="2" t="s">
        <v>72</v>
      </c>
      <c r="L315" s="2" t="s">
        <v>3647</v>
      </c>
      <c r="M315" s="2" t="s">
        <v>72</v>
      </c>
      <c r="N315" s="2" t="s">
        <v>3648</v>
      </c>
      <c r="O315" s="2" t="s">
        <v>3649</v>
      </c>
      <c r="P315" s="2" t="s">
        <v>3650</v>
      </c>
      <c r="Q315" s="2" t="s">
        <v>3651</v>
      </c>
      <c r="R315" s="2" t="s">
        <v>480</v>
      </c>
      <c r="S315" s="2" t="s">
        <v>1240</v>
      </c>
      <c r="T315" s="2" t="s">
        <v>3652</v>
      </c>
      <c r="U315" s="2" t="s">
        <v>39</v>
      </c>
      <c r="V315" s="2" t="n">
        <v>2</v>
      </c>
    </row>
    <row r="316">
      <c r="A316" s="2" t="n">
        <v>315</v>
      </c>
      <c r="B316" s="2" t="s">
        <v>3653</v>
      </c>
      <c r="C316" s="2" t="n">
        <v>302.037163987</v>
      </c>
      <c r="D316" s="2" t="n">
        <v>1.75825584861447</v>
      </c>
      <c r="E316" s="2" t="s">
        <v>3654</v>
      </c>
      <c r="F316" s="2" t="s">
        <v>522</v>
      </c>
      <c r="G316" s="2" t="s">
        <v>3655</v>
      </c>
      <c r="H316" s="2" t="s">
        <v>3656</v>
      </c>
      <c r="I316" s="2" t="s">
        <v>3657</v>
      </c>
      <c r="J316" s="2" t="s">
        <v>3658</v>
      </c>
      <c r="K316" s="2" t="s">
        <v>29</v>
      </c>
      <c r="L316" s="2" t="s">
        <v>3659</v>
      </c>
      <c r="M316" s="2" t="s">
        <v>3660</v>
      </c>
      <c r="N316" s="2" t="s">
        <v>3661</v>
      </c>
      <c r="O316" s="2" t="s">
        <v>3662</v>
      </c>
      <c r="P316" s="2" t="s">
        <v>3663</v>
      </c>
      <c r="Q316" s="2" t="s">
        <v>3664</v>
      </c>
      <c r="R316" s="2" t="s">
        <v>502</v>
      </c>
      <c r="S316" s="2" t="s">
        <v>503</v>
      </c>
      <c r="T316" s="2" t="s">
        <v>1964</v>
      </c>
      <c r="U316" s="2" t="s">
        <v>39</v>
      </c>
      <c r="V316" s="2" t="n">
        <v>1</v>
      </c>
    </row>
    <row r="317">
      <c r="A317" s="2" t="n">
        <v>316</v>
      </c>
      <c r="B317" s="2" t="s">
        <v>3665</v>
      </c>
      <c r="C317" s="2" t="n">
        <v>302.135759408</v>
      </c>
      <c r="D317" s="2" t="n">
        <v>0.503471815717509</v>
      </c>
      <c r="E317" s="2" t="s">
        <v>3666</v>
      </c>
      <c r="F317" s="2" t="s">
        <v>110</v>
      </c>
      <c r="G317" s="2" t="s">
        <v>3667</v>
      </c>
      <c r="H317" s="2" t="s">
        <v>3668</v>
      </c>
      <c r="I317" s="2" t="s">
        <v>3669</v>
      </c>
      <c r="J317" s="2" t="s">
        <v>3670</v>
      </c>
      <c r="K317" s="2" t="s">
        <v>226</v>
      </c>
      <c r="L317" s="2" t="s">
        <v>226</v>
      </c>
      <c r="M317" s="2" t="s">
        <v>3671</v>
      </c>
      <c r="N317" s="2" t="s">
        <v>3672</v>
      </c>
      <c r="O317" s="2" t="s">
        <v>3673</v>
      </c>
      <c r="P317" s="2" t="s">
        <v>3674</v>
      </c>
      <c r="Q317" s="2" t="s">
        <v>3675</v>
      </c>
      <c r="R317" s="2" t="s">
        <v>312</v>
      </c>
      <c r="S317" s="2" t="s">
        <v>313</v>
      </c>
      <c r="T317" s="2" t="s">
        <v>314</v>
      </c>
      <c r="U317" s="2" t="s">
        <v>29</v>
      </c>
      <c r="V317" s="2" t="n">
        <v>3</v>
      </c>
    </row>
    <row r="318">
      <c r="A318" s="2" t="n">
        <v>317</v>
      </c>
      <c r="B318" s="2" t="s">
        <v>3676</v>
      </c>
      <c r="C318" s="2" t="n">
        <v>303.038761292</v>
      </c>
      <c r="D318" s="2" t="n">
        <v>1.50620140075131</v>
      </c>
      <c r="E318" s="2" t="s">
        <v>3677</v>
      </c>
      <c r="F318" s="2" t="s">
        <v>110</v>
      </c>
      <c r="G318" s="2" t="s">
        <v>3678</v>
      </c>
      <c r="H318" s="2" t="s">
        <v>3679</v>
      </c>
      <c r="I318" s="2" t="s">
        <v>3680</v>
      </c>
      <c r="J318" s="2" t="s">
        <v>29</v>
      </c>
      <c r="K318" s="2" t="s">
        <v>29</v>
      </c>
      <c r="L318" s="2" t="s">
        <v>3681</v>
      </c>
      <c r="M318" s="2" t="s">
        <v>3682</v>
      </c>
      <c r="N318" s="2" t="s">
        <v>3683</v>
      </c>
      <c r="O318" s="2" t="s">
        <v>3684</v>
      </c>
      <c r="P318" s="2" t="s">
        <v>3685</v>
      </c>
      <c r="Q318" s="2" t="s">
        <v>3686</v>
      </c>
      <c r="R318" s="2" t="s">
        <v>355</v>
      </c>
      <c r="S318" s="2" t="s">
        <v>3687</v>
      </c>
      <c r="T318" s="2" t="s">
        <v>3688</v>
      </c>
      <c r="U318" s="2" t="s">
        <v>39</v>
      </c>
      <c r="V318" s="2" t="n">
        <v>1</v>
      </c>
    </row>
    <row r="319">
      <c r="A319" s="2" t="n">
        <v>318</v>
      </c>
      <c r="B319" s="2" t="s">
        <v>3689</v>
      </c>
      <c r="C319" s="2" t="n">
        <v>303.947614</v>
      </c>
      <c r="D319" s="2" t="n">
        <v>1.4091585491626</v>
      </c>
      <c r="E319" s="2" t="s">
        <v>3690</v>
      </c>
      <c r="F319" s="2" t="s">
        <v>110</v>
      </c>
      <c r="G319" s="2" t="s">
        <v>3691</v>
      </c>
      <c r="H319" s="2" t="s">
        <v>3692</v>
      </c>
      <c r="I319" s="2" t="s">
        <v>3693</v>
      </c>
      <c r="J319" s="2" t="s">
        <v>3694</v>
      </c>
      <c r="K319" s="2" t="s">
        <v>226</v>
      </c>
      <c r="L319" s="2" t="s">
        <v>226</v>
      </c>
      <c r="M319" s="2" t="s">
        <v>3695</v>
      </c>
      <c r="N319" s="2" t="s">
        <v>3696</v>
      </c>
      <c r="O319" s="2" t="s">
        <v>226</v>
      </c>
      <c r="P319" s="2" t="s">
        <v>3697</v>
      </c>
      <c r="Q319" s="2" t="s">
        <v>3698</v>
      </c>
      <c r="R319" s="2" t="s">
        <v>3699</v>
      </c>
      <c r="S319" s="2" t="s">
        <v>3700</v>
      </c>
      <c r="T319" s="2" t="s">
        <v>3701</v>
      </c>
      <c r="U319" s="2" t="s">
        <v>29</v>
      </c>
      <c r="V319" s="2" t="n">
        <v>3</v>
      </c>
    </row>
    <row r="320">
      <c r="A320" s="2" t="n">
        <v>319</v>
      </c>
      <c r="B320" s="2" t="s">
        <v>3702</v>
      </c>
      <c r="C320" s="2" t="n">
        <v>305.0352884</v>
      </c>
      <c r="D320" s="2" t="n">
        <v>2.73209370695167</v>
      </c>
      <c r="E320" s="2" t="s">
        <v>3703</v>
      </c>
      <c r="F320" s="2" t="s">
        <v>110</v>
      </c>
      <c r="G320" s="2" t="s">
        <v>3704</v>
      </c>
      <c r="H320" s="2" t="s">
        <v>3705</v>
      </c>
      <c r="I320" s="2" t="s">
        <v>3706</v>
      </c>
      <c r="J320" s="2" t="s">
        <v>29</v>
      </c>
      <c r="K320" s="2" t="s">
        <v>29</v>
      </c>
      <c r="L320" s="2" t="s">
        <v>29</v>
      </c>
      <c r="M320" s="2" t="s">
        <v>3707</v>
      </c>
      <c r="N320" s="2" t="s">
        <v>3708</v>
      </c>
      <c r="O320" s="2" t="s">
        <v>29</v>
      </c>
      <c r="P320" s="2" t="s">
        <v>3709</v>
      </c>
      <c r="Q320" s="2" t="s">
        <v>3710</v>
      </c>
      <c r="R320" s="2" t="s">
        <v>64</v>
      </c>
      <c r="S320" s="2" t="s">
        <v>65</v>
      </c>
      <c r="T320" s="2" t="s">
        <v>91</v>
      </c>
      <c r="U320" s="2" t="s">
        <v>29</v>
      </c>
      <c r="V320" s="2" t="n">
        <v>1</v>
      </c>
    </row>
    <row r="321">
      <c r="A321" s="2" t="n">
        <v>320</v>
      </c>
      <c r="B321" s="2" t="s">
        <v>3711</v>
      </c>
      <c r="C321" s="2" t="n">
        <v>305.075461091</v>
      </c>
      <c r="D321" s="2" t="n">
        <v>3.60578560158019</v>
      </c>
      <c r="E321" s="2" t="s">
        <v>3712</v>
      </c>
      <c r="F321" s="2" t="s">
        <v>24</v>
      </c>
      <c r="G321" s="2" t="s">
        <v>3713</v>
      </c>
      <c r="H321" s="2" t="s">
        <v>3714</v>
      </c>
      <c r="I321" s="2" t="s">
        <v>3715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3716</v>
      </c>
      <c r="O321" s="2" t="s">
        <v>29</v>
      </c>
      <c r="P321" s="2" t="s">
        <v>3717</v>
      </c>
      <c r="Q321" s="2" t="s">
        <v>3718</v>
      </c>
      <c r="R321" s="2" t="s">
        <v>502</v>
      </c>
      <c r="S321" s="2" t="s">
        <v>503</v>
      </c>
      <c r="T321" s="2" t="s">
        <v>1421</v>
      </c>
      <c r="U321" s="2" t="s">
        <v>29</v>
      </c>
      <c r="V321" s="2" t="n">
        <v>1</v>
      </c>
    </row>
    <row r="322">
      <c r="A322" s="2" t="n">
        <v>321</v>
      </c>
      <c r="B322" s="2" t="s">
        <v>3719</v>
      </c>
      <c r="C322" s="2" t="n">
        <v>305.171806266</v>
      </c>
      <c r="D322" s="2" t="n">
        <v>1.449302179321</v>
      </c>
      <c r="E322" s="2" t="s">
        <v>3720</v>
      </c>
      <c r="F322" s="2" t="s">
        <v>24</v>
      </c>
      <c r="G322" s="2" t="s">
        <v>3721</v>
      </c>
      <c r="H322" s="2" t="s">
        <v>3722</v>
      </c>
      <c r="I322" s="2" t="s">
        <v>3723</v>
      </c>
      <c r="J322" s="2" t="s">
        <v>3724</v>
      </c>
      <c r="K322" s="2" t="s">
        <v>29</v>
      </c>
      <c r="L322" s="2" t="s">
        <v>3725</v>
      </c>
      <c r="M322" s="2" t="s">
        <v>3726</v>
      </c>
      <c r="N322" s="2" t="s">
        <v>3727</v>
      </c>
      <c r="O322" s="2" t="s">
        <v>3728</v>
      </c>
      <c r="P322" s="2" t="s">
        <v>3729</v>
      </c>
      <c r="Q322" s="2" t="s">
        <v>3730</v>
      </c>
      <c r="R322" s="2" t="s">
        <v>49</v>
      </c>
      <c r="S322" s="2" t="s">
        <v>165</v>
      </c>
      <c r="T322" s="2" t="s">
        <v>166</v>
      </c>
      <c r="U322" s="2" t="s">
        <v>39</v>
      </c>
      <c r="V322" s="2" t="n">
        <v>1</v>
      </c>
    </row>
    <row r="323">
      <c r="A323" s="2" t="n">
        <v>322</v>
      </c>
      <c r="B323" s="2" t="s">
        <v>3731</v>
      </c>
      <c r="C323" s="2" t="n">
        <v>305.246197396</v>
      </c>
      <c r="D323" s="2" t="n">
        <v>7.81575812911629</v>
      </c>
      <c r="E323" s="2" t="s">
        <v>3732</v>
      </c>
      <c r="F323" s="2" t="s">
        <v>360</v>
      </c>
      <c r="G323" s="2" t="s">
        <v>3733</v>
      </c>
      <c r="H323" s="2" t="s">
        <v>3734</v>
      </c>
      <c r="I323" s="2" t="s">
        <v>3735</v>
      </c>
      <c r="J323" s="2" t="s">
        <v>3736</v>
      </c>
      <c r="K323" s="2" t="s">
        <v>3737</v>
      </c>
      <c r="L323" s="2" t="s">
        <v>3738</v>
      </c>
      <c r="M323" s="2" t="s">
        <v>3739</v>
      </c>
      <c r="N323" s="2" t="s">
        <v>3740</v>
      </c>
      <c r="O323" s="2" t="s">
        <v>3741</v>
      </c>
      <c r="P323" s="2" t="s">
        <v>3742</v>
      </c>
      <c r="Q323" s="2" t="s">
        <v>3743</v>
      </c>
      <c r="R323" s="2" t="s">
        <v>1490</v>
      </c>
      <c r="S323" s="2" t="s">
        <v>1491</v>
      </c>
      <c r="T323" s="2" t="s">
        <v>1492</v>
      </c>
      <c r="U323" s="2" t="s">
        <v>39</v>
      </c>
      <c r="V323" s="2" t="n">
        <v>1</v>
      </c>
    </row>
    <row r="324">
      <c r="A324" s="2" t="n">
        <v>323</v>
      </c>
      <c r="B324" s="2" t="s">
        <v>3744</v>
      </c>
      <c r="C324" s="2" t="n">
        <v>307.264254396</v>
      </c>
      <c r="D324" s="2" t="n">
        <v>3.60727757878502</v>
      </c>
      <c r="E324" s="2" t="s">
        <v>3745</v>
      </c>
      <c r="F324" s="2" t="s">
        <v>110</v>
      </c>
      <c r="G324" s="2" t="s">
        <v>3746</v>
      </c>
      <c r="H324" s="2" t="s">
        <v>3747</v>
      </c>
      <c r="I324" s="2" t="s">
        <v>3748</v>
      </c>
      <c r="J324" s="2" t="s">
        <v>3749</v>
      </c>
      <c r="K324" s="2" t="s">
        <v>3750</v>
      </c>
      <c r="L324" s="2" t="s">
        <v>3751</v>
      </c>
      <c r="M324" s="2" t="s">
        <v>3752</v>
      </c>
      <c r="N324" s="2" t="s">
        <v>3753</v>
      </c>
      <c r="O324" s="2" t="s">
        <v>3754</v>
      </c>
      <c r="P324" s="2" t="s">
        <v>3755</v>
      </c>
      <c r="Q324" s="2" t="s">
        <v>3756</v>
      </c>
      <c r="R324" s="2" t="s">
        <v>575</v>
      </c>
      <c r="S324" s="2" t="s">
        <v>3757</v>
      </c>
      <c r="T324" s="2" t="s">
        <v>3758</v>
      </c>
      <c r="U324" s="2" t="s">
        <v>39</v>
      </c>
      <c r="V324" s="2" t="n">
        <v>2</v>
      </c>
    </row>
    <row r="325">
      <c r="A325" s="2" t="n">
        <v>324</v>
      </c>
      <c r="B325" s="2" t="s">
        <v>3759</v>
      </c>
      <c r="C325" s="2" t="n">
        <v>309.206583134</v>
      </c>
      <c r="D325" s="2" t="n">
        <v>4.25460235392235</v>
      </c>
      <c r="E325" s="2" t="s">
        <v>3760</v>
      </c>
      <c r="F325" s="2" t="s">
        <v>42</v>
      </c>
      <c r="G325" s="2" t="s">
        <v>3761</v>
      </c>
      <c r="H325" s="2" t="s">
        <v>3762</v>
      </c>
      <c r="I325" s="2" t="s">
        <v>3763</v>
      </c>
      <c r="J325" s="2" t="s">
        <v>3764</v>
      </c>
      <c r="K325" s="2" t="s">
        <v>72</v>
      </c>
      <c r="L325" s="2" t="s">
        <v>72</v>
      </c>
      <c r="M325" s="2" t="s">
        <v>3765</v>
      </c>
      <c r="N325" s="2" t="s">
        <v>3766</v>
      </c>
      <c r="O325" s="2" t="s">
        <v>3767</v>
      </c>
      <c r="P325" s="2" t="s">
        <v>3768</v>
      </c>
      <c r="Q325" s="2" t="s">
        <v>3769</v>
      </c>
      <c r="R325" s="2" t="s">
        <v>575</v>
      </c>
      <c r="S325" s="2" t="s">
        <v>3757</v>
      </c>
      <c r="T325" s="2" t="s">
        <v>3770</v>
      </c>
      <c r="U325" s="2" t="s">
        <v>29</v>
      </c>
      <c r="V325" s="2" t="n">
        <v>2</v>
      </c>
    </row>
    <row r="326">
      <c r="A326" s="2" t="n">
        <v>325</v>
      </c>
      <c r="B326" s="2" t="s">
        <v>3771</v>
      </c>
      <c r="C326" s="2" t="n">
        <v>309.27990446</v>
      </c>
      <c r="D326" s="2" t="n">
        <v>7.96660499287845</v>
      </c>
      <c r="E326" s="2" t="s">
        <v>3772</v>
      </c>
      <c r="F326" s="2" t="s">
        <v>110</v>
      </c>
      <c r="G326" s="2" t="s">
        <v>3773</v>
      </c>
      <c r="H326" s="2" t="s">
        <v>3774</v>
      </c>
      <c r="I326" s="2" t="s">
        <v>3775</v>
      </c>
      <c r="J326" s="2" t="s">
        <v>3776</v>
      </c>
      <c r="K326" s="2" t="s">
        <v>3777</v>
      </c>
      <c r="L326" s="2" t="s">
        <v>3778</v>
      </c>
      <c r="M326" s="2" t="s">
        <v>3779</v>
      </c>
      <c r="N326" s="2" t="s">
        <v>3780</v>
      </c>
      <c r="O326" s="2" t="s">
        <v>3781</v>
      </c>
      <c r="P326" s="2" t="s">
        <v>3782</v>
      </c>
      <c r="Q326" s="2" t="s">
        <v>3783</v>
      </c>
      <c r="R326" s="2" t="s">
        <v>575</v>
      </c>
      <c r="S326" s="2" t="s">
        <v>576</v>
      </c>
      <c r="T326" s="2" t="s">
        <v>2735</v>
      </c>
      <c r="U326" s="2" t="s">
        <v>39</v>
      </c>
      <c r="V326" s="2" t="n">
        <v>2</v>
      </c>
    </row>
    <row r="327">
      <c r="A327" s="2" t="n">
        <v>326</v>
      </c>
      <c r="B327" s="2" t="s">
        <v>3784</v>
      </c>
      <c r="C327" s="2" t="n">
        <v>310.965011653</v>
      </c>
      <c r="D327" s="2" t="n">
        <v>10.0437143732016</v>
      </c>
      <c r="E327" s="2" t="s">
        <v>3785</v>
      </c>
      <c r="F327" s="2" t="s">
        <v>24</v>
      </c>
      <c r="G327" s="2" t="s">
        <v>3786</v>
      </c>
      <c r="H327" s="2" t="s">
        <v>3787</v>
      </c>
      <c r="I327" s="2" t="s">
        <v>3788</v>
      </c>
      <c r="J327" s="2" t="s">
        <v>3789</v>
      </c>
      <c r="K327" s="2" t="s">
        <v>29</v>
      </c>
      <c r="L327" s="2" t="s">
        <v>29</v>
      </c>
      <c r="M327" s="2" t="s">
        <v>29</v>
      </c>
      <c r="N327" s="2" t="s">
        <v>3790</v>
      </c>
      <c r="O327" s="2" t="s">
        <v>29</v>
      </c>
      <c r="P327" s="2" t="s">
        <v>3791</v>
      </c>
      <c r="Q327" s="2" t="s">
        <v>3792</v>
      </c>
      <c r="R327" s="2" t="s">
        <v>502</v>
      </c>
      <c r="S327" s="2" t="s">
        <v>503</v>
      </c>
      <c r="T327" s="2" t="s">
        <v>3793</v>
      </c>
      <c r="U327" s="2" t="s">
        <v>29</v>
      </c>
      <c r="V327" s="2" t="n">
        <v>1</v>
      </c>
    </row>
    <row r="328">
      <c r="A328" s="2" t="n">
        <v>327</v>
      </c>
      <c r="B328" s="2" t="s">
        <v>3794</v>
      </c>
      <c r="C328" s="2" t="n">
        <v>311.103731003</v>
      </c>
      <c r="D328" s="2" t="n">
        <v>1.10808867535254</v>
      </c>
      <c r="E328" s="2" t="s">
        <v>3795</v>
      </c>
      <c r="F328" s="2" t="s">
        <v>110</v>
      </c>
      <c r="G328" s="2" t="s">
        <v>3796</v>
      </c>
      <c r="H328" s="2" t="s">
        <v>3797</v>
      </c>
      <c r="I328" s="2" t="s">
        <v>3798</v>
      </c>
      <c r="J328" s="2" t="s">
        <v>3799</v>
      </c>
      <c r="K328" s="2" t="s">
        <v>72</v>
      </c>
      <c r="L328" s="2" t="s">
        <v>72</v>
      </c>
      <c r="M328" s="2" t="s">
        <v>3800</v>
      </c>
      <c r="N328" s="2" t="s">
        <v>3801</v>
      </c>
      <c r="O328" s="2" t="s">
        <v>72</v>
      </c>
      <c r="P328" s="2" t="s">
        <v>3802</v>
      </c>
      <c r="Q328" s="2" t="s">
        <v>3803</v>
      </c>
      <c r="R328" s="2" t="s">
        <v>537</v>
      </c>
      <c r="S328" s="2" t="s">
        <v>3804</v>
      </c>
      <c r="T328" s="2" t="s">
        <v>3805</v>
      </c>
      <c r="U328" s="2" t="s">
        <v>29</v>
      </c>
      <c r="V328" s="2" t="n">
        <v>2</v>
      </c>
    </row>
    <row r="329">
      <c r="A329" s="2" t="n">
        <v>328</v>
      </c>
      <c r="B329" s="2" t="s">
        <v>3806</v>
      </c>
      <c r="C329" s="2" t="n">
        <v>311.22278351</v>
      </c>
      <c r="D329" s="2" t="n">
        <v>8.81995588753946</v>
      </c>
      <c r="E329" s="2" t="s">
        <v>3807</v>
      </c>
      <c r="F329" s="2" t="s">
        <v>110</v>
      </c>
      <c r="G329" s="2" t="s">
        <v>3808</v>
      </c>
      <c r="H329" s="2" t="s">
        <v>3809</v>
      </c>
      <c r="I329" s="2" t="s">
        <v>3810</v>
      </c>
      <c r="J329" s="2" t="s">
        <v>3811</v>
      </c>
      <c r="K329" s="2" t="s">
        <v>3812</v>
      </c>
      <c r="L329" s="2" t="s">
        <v>3813</v>
      </c>
      <c r="M329" s="2" t="s">
        <v>3814</v>
      </c>
      <c r="N329" s="2" t="s">
        <v>3815</v>
      </c>
      <c r="O329" s="2" t="s">
        <v>3816</v>
      </c>
      <c r="P329" s="2" t="s">
        <v>3817</v>
      </c>
      <c r="Q329" s="2" t="s">
        <v>3818</v>
      </c>
      <c r="R329" s="2" t="s">
        <v>1490</v>
      </c>
      <c r="S329" s="2" t="s">
        <v>1491</v>
      </c>
      <c r="T329" s="2" t="s">
        <v>3437</v>
      </c>
      <c r="U329" s="2" t="s">
        <v>39</v>
      </c>
      <c r="V329" s="2" t="n">
        <v>1</v>
      </c>
    </row>
    <row r="330">
      <c r="A330" s="2" t="n">
        <v>329</v>
      </c>
      <c r="B330" s="2" t="s">
        <v>3819</v>
      </c>
      <c r="C330" s="2" t="n">
        <v>311.295554524</v>
      </c>
      <c r="D330" s="2" t="n">
        <v>1.64504180727418</v>
      </c>
      <c r="E330" s="2" t="s">
        <v>3820</v>
      </c>
      <c r="F330" s="2" t="s">
        <v>110</v>
      </c>
      <c r="G330" s="2" t="s">
        <v>3821</v>
      </c>
      <c r="H330" s="2" t="s">
        <v>3822</v>
      </c>
      <c r="I330" s="2" t="s">
        <v>3823</v>
      </c>
      <c r="J330" s="2" t="s">
        <v>3824</v>
      </c>
      <c r="K330" s="2" t="s">
        <v>3825</v>
      </c>
      <c r="L330" s="2" t="s">
        <v>3826</v>
      </c>
      <c r="M330" s="2" t="s">
        <v>3827</v>
      </c>
      <c r="N330" s="2" t="s">
        <v>3828</v>
      </c>
      <c r="O330" s="2" t="s">
        <v>3829</v>
      </c>
      <c r="P330" s="2" t="s">
        <v>3830</v>
      </c>
      <c r="Q330" s="2" t="s">
        <v>3831</v>
      </c>
      <c r="R330" s="2" t="s">
        <v>105</v>
      </c>
      <c r="S330" s="2" t="s">
        <v>3832</v>
      </c>
      <c r="T330" s="2" t="s">
        <v>3833</v>
      </c>
      <c r="U330" s="2" t="s">
        <v>39</v>
      </c>
      <c r="V330" s="2" t="n">
        <v>3</v>
      </c>
    </row>
    <row r="331">
      <c r="A331" s="2" t="n">
        <v>330</v>
      </c>
      <c r="B331" s="2" t="s">
        <v>3834</v>
      </c>
      <c r="C331" s="2" t="n">
        <v>311.9649636</v>
      </c>
      <c r="D331" s="2" t="n">
        <v>18.4196779728325</v>
      </c>
      <c r="E331" s="2" t="s">
        <v>3835</v>
      </c>
      <c r="F331" s="2" t="s">
        <v>360</v>
      </c>
      <c r="G331" s="2" t="s">
        <v>3836</v>
      </c>
      <c r="H331" s="2" t="s">
        <v>3837</v>
      </c>
      <c r="I331" s="2" t="s">
        <v>3838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3839</v>
      </c>
      <c r="Q331" s="2" t="s">
        <v>3840</v>
      </c>
      <c r="R331" s="2" t="s">
        <v>355</v>
      </c>
      <c r="S331" s="2" t="s">
        <v>588</v>
      </c>
      <c r="T331" s="2" t="s">
        <v>3841</v>
      </c>
      <c r="U331" s="2" t="s">
        <v>29</v>
      </c>
      <c r="V331" s="2" t="n">
        <v>1</v>
      </c>
    </row>
    <row r="332">
      <c r="A332" s="2" t="n">
        <v>331</v>
      </c>
      <c r="B332" s="2" t="s">
        <v>3842</v>
      </c>
      <c r="C332" s="2" t="n">
        <v>313.082445243</v>
      </c>
      <c r="D332" s="2" t="n">
        <v>5.1169108979323</v>
      </c>
      <c r="E332" s="2" t="s">
        <v>3843</v>
      </c>
      <c r="F332" s="2" t="s">
        <v>42</v>
      </c>
      <c r="G332" s="2" t="s">
        <v>3844</v>
      </c>
      <c r="H332" s="2" t="s">
        <v>3845</v>
      </c>
      <c r="I332" s="2" t="s">
        <v>3846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3847</v>
      </c>
      <c r="O332" s="2" t="s">
        <v>29</v>
      </c>
      <c r="P332" s="2" t="s">
        <v>3848</v>
      </c>
      <c r="Q332" s="2" t="s">
        <v>3849</v>
      </c>
      <c r="R332" s="2" t="s">
        <v>49</v>
      </c>
      <c r="S332" s="2" t="s">
        <v>165</v>
      </c>
      <c r="T332" s="2" t="s">
        <v>166</v>
      </c>
      <c r="U332" s="2" t="s">
        <v>29</v>
      </c>
      <c r="V332" s="2" t="n">
        <v>1</v>
      </c>
    </row>
    <row r="333">
      <c r="A333" s="2" t="n">
        <v>332</v>
      </c>
      <c r="B333" s="2" t="s">
        <v>3850</v>
      </c>
      <c r="C333" s="2" t="n">
        <v>313.9394682</v>
      </c>
      <c r="D333" s="2" t="n">
        <v>1.85960088494927</v>
      </c>
      <c r="E333" s="2" t="s">
        <v>3851</v>
      </c>
      <c r="F333" s="2" t="s">
        <v>250</v>
      </c>
      <c r="G333" s="2" t="s">
        <v>3852</v>
      </c>
      <c r="H333" s="2" t="s">
        <v>3853</v>
      </c>
      <c r="I333" s="2" t="s">
        <v>3854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3855</v>
      </c>
      <c r="O333" s="2" t="s">
        <v>29</v>
      </c>
      <c r="P333" s="2" t="s">
        <v>3856</v>
      </c>
      <c r="Q333" s="2" t="s">
        <v>3857</v>
      </c>
      <c r="R333" s="2" t="s">
        <v>502</v>
      </c>
      <c r="S333" s="2" t="s">
        <v>503</v>
      </c>
      <c r="T333" s="2" t="s">
        <v>2651</v>
      </c>
      <c r="U333" s="2" t="s">
        <v>29</v>
      </c>
      <c r="V333" s="2" t="n">
        <v>1</v>
      </c>
    </row>
    <row r="334">
      <c r="A334" s="2" t="n">
        <v>333</v>
      </c>
      <c r="B334" s="2" t="s">
        <v>3858</v>
      </c>
      <c r="C334" s="2" t="n">
        <v>314.081716967</v>
      </c>
      <c r="D334" s="2" t="n">
        <v>1.88235732316568</v>
      </c>
      <c r="E334" s="2" t="s">
        <v>3859</v>
      </c>
      <c r="F334" s="2" t="s">
        <v>42</v>
      </c>
      <c r="G334" s="2" t="s">
        <v>3860</v>
      </c>
      <c r="H334" s="2" t="s">
        <v>3861</v>
      </c>
      <c r="I334" s="2" t="s">
        <v>3862</v>
      </c>
      <c r="J334" s="2" t="s">
        <v>3863</v>
      </c>
      <c r="K334" s="2" t="s">
        <v>29</v>
      </c>
      <c r="L334" s="2" t="s">
        <v>3864</v>
      </c>
      <c r="M334" s="2" t="s">
        <v>29</v>
      </c>
      <c r="N334" s="2" t="s">
        <v>3865</v>
      </c>
      <c r="O334" s="2" t="s">
        <v>3866</v>
      </c>
      <c r="P334" s="2" t="s">
        <v>3867</v>
      </c>
      <c r="Q334" s="2" t="s">
        <v>3868</v>
      </c>
      <c r="R334" s="2" t="s">
        <v>355</v>
      </c>
      <c r="S334" s="2" t="s">
        <v>3869</v>
      </c>
      <c r="T334" s="2" t="s">
        <v>3870</v>
      </c>
      <c r="U334" s="2" t="s">
        <v>39</v>
      </c>
      <c r="V334" s="2" t="n">
        <v>1</v>
      </c>
    </row>
    <row r="335">
      <c r="A335" s="2" t="n">
        <v>334</v>
      </c>
      <c r="B335" s="2" t="s">
        <v>3871</v>
      </c>
      <c r="C335" s="2" t="n">
        <v>314.233682547</v>
      </c>
      <c r="D335" s="2" t="n">
        <v>16.7417164492228</v>
      </c>
      <c r="E335" s="2" t="s">
        <v>3872</v>
      </c>
      <c r="F335" s="2" t="s">
        <v>110</v>
      </c>
      <c r="G335" s="2" t="s">
        <v>3873</v>
      </c>
      <c r="H335" s="2" t="s">
        <v>3874</v>
      </c>
      <c r="I335" s="2" t="s">
        <v>3875</v>
      </c>
      <c r="J335" s="2" t="s">
        <v>3876</v>
      </c>
      <c r="K335" s="2" t="s">
        <v>3877</v>
      </c>
      <c r="L335" s="2" t="s">
        <v>3878</v>
      </c>
      <c r="M335" s="2" t="s">
        <v>3879</v>
      </c>
      <c r="N335" s="2" t="s">
        <v>3880</v>
      </c>
      <c r="O335" s="2" t="s">
        <v>3881</v>
      </c>
      <c r="P335" s="2" t="s">
        <v>3882</v>
      </c>
      <c r="Q335" s="2" t="s">
        <v>3883</v>
      </c>
      <c r="R335" s="2" t="s">
        <v>1490</v>
      </c>
      <c r="S335" s="2" t="s">
        <v>1491</v>
      </c>
      <c r="T335" s="2" t="s">
        <v>3884</v>
      </c>
      <c r="U335" s="2" t="s">
        <v>39</v>
      </c>
      <c r="V335" s="2" t="n">
        <v>1</v>
      </c>
    </row>
    <row r="336">
      <c r="A336" s="2" t="n">
        <v>335</v>
      </c>
      <c r="B336" s="2" t="s">
        <v>3885</v>
      </c>
      <c r="C336" s="2" t="n">
        <v>315.072156095</v>
      </c>
      <c r="D336" s="2" t="n">
        <v>2.28005812119794</v>
      </c>
      <c r="E336" s="2" t="s">
        <v>3886</v>
      </c>
      <c r="F336" s="2" t="s">
        <v>110</v>
      </c>
      <c r="G336" s="2" t="s">
        <v>3887</v>
      </c>
      <c r="H336" s="2" t="s">
        <v>3888</v>
      </c>
      <c r="I336" s="2" t="s">
        <v>3889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3890</v>
      </c>
      <c r="O336" s="2" t="s">
        <v>29</v>
      </c>
      <c r="P336" s="2" t="s">
        <v>3891</v>
      </c>
      <c r="Q336" s="2" t="s">
        <v>3892</v>
      </c>
      <c r="R336" s="2" t="s">
        <v>502</v>
      </c>
      <c r="S336" s="2" t="s">
        <v>503</v>
      </c>
      <c r="T336" s="2" t="s">
        <v>2174</v>
      </c>
      <c r="U336" s="2" t="s">
        <v>29</v>
      </c>
      <c r="V336" s="2" t="n">
        <v>1</v>
      </c>
    </row>
    <row r="337">
      <c r="A337" s="2" t="n">
        <v>336</v>
      </c>
      <c r="B337" s="2" t="s">
        <v>3893</v>
      </c>
      <c r="C337" s="2" t="n">
        <v>316.07796665</v>
      </c>
      <c r="D337" s="2" t="n">
        <v>3.89751705996555</v>
      </c>
      <c r="E337" s="2" t="s">
        <v>3894</v>
      </c>
      <c r="F337" s="2" t="s">
        <v>522</v>
      </c>
      <c r="G337" s="2" t="s">
        <v>3895</v>
      </c>
      <c r="H337" s="2" t="s">
        <v>3896</v>
      </c>
      <c r="I337" s="2" t="s">
        <v>3897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3898</v>
      </c>
      <c r="O337" s="2" t="s">
        <v>29</v>
      </c>
      <c r="P337" s="2" t="s">
        <v>3899</v>
      </c>
      <c r="Q337" s="2" t="s">
        <v>3900</v>
      </c>
      <c r="R337" s="2" t="s">
        <v>49</v>
      </c>
      <c r="S337" s="2" t="s">
        <v>165</v>
      </c>
      <c r="T337" s="2" t="s">
        <v>166</v>
      </c>
      <c r="U337" s="2" t="s">
        <v>29</v>
      </c>
      <c r="V337" s="2" t="n">
        <v>1</v>
      </c>
    </row>
    <row r="338">
      <c r="A338" s="2" t="n">
        <v>337</v>
      </c>
      <c r="B338" s="2" t="s">
        <v>3901</v>
      </c>
      <c r="C338" s="2" t="n">
        <v>317.056780818</v>
      </c>
      <c r="D338" s="2" t="n">
        <v>1.12439919429144</v>
      </c>
      <c r="E338" s="2" t="s">
        <v>3902</v>
      </c>
      <c r="F338" s="2" t="s">
        <v>110</v>
      </c>
      <c r="G338" s="2" t="s">
        <v>3903</v>
      </c>
      <c r="H338" s="2" t="s">
        <v>3904</v>
      </c>
      <c r="I338" s="2" t="s">
        <v>3905</v>
      </c>
      <c r="J338" s="2" t="s">
        <v>3906</v>
      </c>
      <c r="K338" s="2" t="s">
        <v>29</v>
      </c>
      <c r="L338" s="2" t="s">
        <v>3907</v>
      </c>
      <c r="M338" s="2" t="s">
        <v>3908</v>
      </c>
      <c r="N338" s="2" t="s">
        <v>3909</v>
      </c>
      <c r="O338" s="2" t="s">
        <v>3910</v>
      </c>
      <c r="P338" s="2" t="s">
        <v>3911</v>
      </c>
      <c r="Q338" s="2" t="s">
        <v>3912</v>
      </c>
      <c r="R338" s="2" t="s">
        <v>502</v>
      </c>
      <c r="S338" s="2" t="s">
        <v>3913</v>
      </c>
      <c r="T338" s="2" t="s">
        <v>205</v>
      </c>
      <c r="U338" s="2" t="s">
        <v>39</v>
      </c>
      <c r="V338" s="2" t="n">
        <v>1</v>
      </c>
    </row>
    <row r="339">
      <c r="A339" s="2" t="n">
        <v>338</v>
      </c>
      <c r="B339" s="2" t="s">
        <v>3914</v>
      </c>
      <c r="C339" s="2" t="n">
        <v>318.026409631</v>
      </c>
      <c r="D339" s="2" t="n">
        <v>7.90054832656971</v>
      </c>
      <c r="E339" s="2" t="s">
        <v>3915</v>
      </c>
      <c r="F339" s="2" t="s">
        <v>110</v>
      </c>
      <c r="G339" s="2" t="s">
        <v>3916</v>
      </c>
      <c r="H339" s="2" t="s">
        <v>3917</v>
      </c>
      <c r="I339" s="2" t="s">
        <v>3918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3919</v>
      </c>
      <c r="O339" s="2" t="s">
        <v>29</v>
      </c>
      <c r="P339" s="2" t="s">
        <v>3920</v>
      </c>
      <c r="Q339" s="2" t="s">
        <v>3921</v>
      </c>
      <c r="R339" s="2" t="s">
        <v>49</v>
      </c>
      <c r="S339" s="2" t="s">
        <v>165</v>
      </c>
      <c r="T339" s="2" t="s">
        <v>166</v>
      </c>
      <c r="U339" s="2" t="s">
        <v>29</v>
      </c>
      <c r="V339" s="2" t="n">
        <v>1</v>
      </c>
    </row>
    <row r="340">
      <c r="A340" s="2" t="n">
        <v>339</v>
      </c>
      <c r="B340" s="2" t="s">
        <v>3922</v>
      </c>
      <c r="C340" s="2" t="n">
        <v>319.077234575</v>
      </c>
      <c r="D340" s="2" t="n">
        <v>0.850031000988327</v>
      </c>
      <c r="E340" s="2" t="s">
        <v>3923</v>
      </c>
      <c r="F340" s="2" t="s">
        <v>360</v>
      </c>
      <c r="G340" s="2" t="s">
        <v>3924</v>
      </c>
      <c r="H340" s="2" t="s">
        <v>3925</v>
      </c>
      <c r="I340" s="2" t="s">
        <v>3926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3927</v>
      </c>
      <c r="O340" s="2" t="s">
        <v>29</v>
      </c>
      <c r="P340" s="2" t="s">
        <v>3928</v>
      </c>
      <c r="Q340" s="2" t="s">
        <v>3929</v>
      </c>
      <c r="R340" s="2" t="s">
        <v>205</v>
      </c>
      <c r="S340" s="2" t="s">
        <v>205</v>
      </c>
      <c r="T340" s="2" t="s">
        <v>205</v>
      </c>
      <c r="U340" s="2" t="s">
        <v>29</v>
      </c>
      <c r="V340" s="2" t="n">
        <v>1</v>
      </c>
    </row>
    <row r="341">
      <c r="A341" s="2" t="n">
        <v>340</v>
      </c>
      <c r="B341" s="2" t="s">
        <v>3930</v>
      </c>
      <c r="C341" s="2" t="n">
        <v>321.015464088</v>
      </c>
      <c r="D341" s="2" t="n">
        <v>7.58482420018487</v>
      </c>
      <c r="E341" s="2" t="s">
        <v>3931</v>
      </c>
      <c r="F341" s="2" t="s">
        <v>110</v>
      </c>
      <c r="G341" s="2" t="s">
        <v>3932</v>
      </c>
      <c r="H341" s="2" t="s">
        <v>3933</v>
      </c>
      <c r="I341" s="2" t="s">
        <v>3934</v>
      </c>
      <c r="J341" s="2" t="s">
        <v>3935</v>
      </c>
      <c r="K341" s="2" t="s">
        <v>29</v>
      </c>
      <c r="L341" s="2" t="s">
        <v>3936</v>
      </c>
      <c r="M341" s="2" t="s">
        <v>3937</v>
      </c>
      <c r="N341" s="2" t="s">
        <v>3938</v>
      </c>
      <c r="O341" s="2" t="s">
        <v>3939</v>
      </c>
      <c r="P341" s="2" t="s">
        <v>3940</v>
      </c>
      <c r="Q341" s="2" t="s">
        <v>3941</v>
      </c>
      <c r="R341" s="2" t="s">
        <v>49</v>
      </c>
      <c r="S341" s="2" t="s">
        <v>3605</v>
      </c>
      <c r="T341" s="2" t="s">
        <v>3606</v>
      </c>
      <c r="U341" s="2" t="s">
        <v>39</v>
      </c>
      <c r="V341" s="2" t="n">
        <v>1</v>
      </c>
    </row>
    <row r="342">
      <c r="A342" s="2" t="n">
        <v>341</v>
      </c>
      <c r="B342" s="2" t="s">
        <v>3942</v>
      </c>
      <c r="C342" s="2" t="n">
        <v>321.172085346</v>
      </c>
      <c r="D342" s="2" t="n">
        <v>1.00095570239244</v>
      </c>
      <c r="E342" s="2" t="s">
        <v>3943</v>
      </c>
      <c r="F342" s="2" t="s">
        <v>110</v>
      </c>
      <c r="G342" s="2" t="s">
        <v>3944</v>
      </c>
      <c r="H342" s="2" t="s">
        <v>3945</v>
      </c>
      <c r="I342" s="2" t="s">
        <v>3946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3947</v>
      </c>
      <c r="Q342" s="2" t="s">
        <v>3948</v>
      </c>
      <c r="R342" s="2" t="s">
        <v>355</v>
      </c>
      <c r="S342" s="2" t="s">
        <v>3869</v>
      </c>
      <c r="T342" s="2" t="s">
        <v>3870</v>
      </c>
      <c r="U342" s="2" t="s">
        <v>29</v>
      </c>
      <c r="V342" s="2" t="n">
        <v>1</v>
      </c>
    </row>
    <row r="343">
      <c r="A343" s="2" t="n">
        <v>342</v>
      </c>
      <c r="B343" s="2" t="s">
        <v>3949</v>
      </c>
      <c r="C343" s="2" t="n">
        <v>322.052083791</v>
      </c>
      <c r="D343" s="2" t="n">
        <v>0.547588375934766</v>
      </c>
      <c r="E343" s="2" t="s">
        <v>3950</v>
      </c>
      <c r="F343" s="2" t="s">
        <v>250</v>
      </c>
      <c r="G343" s="2" t="s">
        <v>3951</v>
      </c>
      <c r="H343" s="2" t="s">
        <v>3952</v>
      </c>
      <c r="I343" s="2" t="s">
        <v>3953</v>
      </c>
      <c r="J343" s="2" t="s">
        <v>3954</v>
      </c>
      <c r="K343" s="2" t="s">
        <v>29</v>
      </c>
      <c r="L343" s="2" t="s">
        <v>3955</v>
      </c>
      <c r="M343" s="2" t="s">
        <v>3956</v>
      </c>
      <c r="N343" s="2" t="s">
        <v>3957</v>
      </c>
      <c r="O343" s="2" t="s">
        <v>3958</v>
      </c>
      <c r="P343" s="2" t="s">
        <v>3959</v>
      </c>
      <c r="Q343" s="2" t="s">
        <v>3960</v>
      </c>
      <c r="R343" s="2" t="s">
        <v>502</v>
      </c>
      <c r="S343" s="2" t="s">
        <v>503</v>
      </c>
      <c r="T343" s="2" t="s">
        <v>1964</v>
      </c>
      <c r="U343" s="2" t="s">
        <v>39</v>
      </c>
      <c r="V343" s="2" t="n">
        <v>1</v>
      </c>
    </row>
    <row r="344">
      <c r="A344" s="2" t="n">
        <v>343</v>
      </c>
      <c r="B344" s="2" t="s">
        <v>3961</v>
      </c>
      <c r="C344" s="2" t="n">
        <v>322.966380349</v>
      </c>
      <c r="D344" s="2" t="n">
        <v>2.53017955053988</v>
      </c>
      <c r="E344" s="2" t="s">
        <v>3962</v>
      </c>
      <c r="F344" s="2" t="s">
        <v>110</v>
      </c>
      <c r="G344" s="2" t="s">
        <v>3963</v>
      </c>
      <c r="H344" s="2" t="s">
        <v>3964</v>
      </c>
      <c r="I344" s="2" t="s">
        <v>3965</v>
      </c>
      <c r="J344" s="2" t="s">
        <v>3966</v>
      </c>
      <c r="K344" s="2" t="s">
        <v>29</v>
      </c>
      <c r="L344" s="2" t="s">
        <v>3967</v>
      </c>
      <c r="M344" s="2" t="s">
        <v>3968</v>
      </c>
      <c r="N344" s="2" t="s">
        <v>3969</v>
      </c>
      <c r="O344" s="2" t="s">
        <v>3970</v>
      </c>
      <c r="P344" s="2" t="s">
        <v>3971</v>
      </c>
      <c r="Q344" s="2" t="s">
        <v>3972</v>
      </c>
      <c r="R344" s="2" t="s">
        <v>355</v>
      </c>
      <c r="S344" s="2" t="s">
        <v>3973</v>
      </c>
      <c r="T344" s="2" t="s">
        <v>205</v>
      </c>
      <c r="U344" s="2" t="s">
        <v>39</v>
      </c>
      <c r="V344" s="2" t="n">
        <v>1</v>
      </c>
    </row>
    <row r="345">
      <c r="A345" s="2" t="n">
        <v>344</v>
      </c>
      <c r="B345" s="2" t="s">
        <v>3974</v>
      </c>
      <c r="C345" s="2" t="n">
        <v>323.025599848</v>
      </c>
      <c r="D345" s="2" t="n">
        <v>0.547393537339765</v>
      </c>
      <c r="E345" s="2" t="s">
        <v>3975</v>
      </c>
      <c r="F345" s="2" t="s">
        <v>1019</v>
      </c>
      <c r="G345" s="2" t="s">
        <v>3976</v>
      </c>
      <c r="H345" s="2" t="s">
        <v>3977</v>
      </c>
      <c r="I345" s="2" t="s">
        <v>3978</v>
      </c>
      <c r="J345" s="2" t="s">
        <v>3979</v>
      </c>
      <c r="K345" s="2" t="s">
        <v>72</v>
      </c>
      <c r="L345" s="2" t="s">
        <v>3980</v>
      </c>
      <c r="M345" s="2" t="s">
        <v>3981</v>
      </c>
      <c r="N345" s="2" t="s">
        <v>3982</v>
      </c>
      <c r="O345" s="2" t="s">
        <v>3983</v>
      </c>
      <c r="P345" s="2" t="s">
        <v>3984</v>
      </c>
      <c r="Q345" s="2" t="s">
        <v>3985</v>
      </c>
      <c r="R345" s="2" t="s">
        <v>715</v>
      </c>
      <c r="S345" s="2" t="s">
        <v>3986</v>
      </c>
      <c r="T345" s="2" t="s">
        <v>3987</v>
      </c>
      <c r="U345" s="2" t="s">
        <v>39</v>
      </c>
      <c r="V345" s="2" t="n">
        <v>2</v>
      </c>
    </row>
    <row r="346">
      <c r="A346" s="2" t="n">
        <v>345</v>
      </c>
      <c r="B346" s="2" t="s">
        <v>3988</v>
      </c>
      <c r="C346" s="2" t="n">
        <v>323.136089462</v>
      </c>
      <c r="D346" s="2" t="n">
        <v>2.06307282361242</v>
      </c>
      <c r="E346" s="2" t="s">
        <v>3989</v>
      </c>
      <c r="F346" s="2" t="s">
        <v>24</v>
      </c>
      <c r="G346" s="2" t="s">
        <v>3990</v>
      </c>
      <c r="H346" s="2" t="s">
        <v>3991</v>
      </c>
      <c r="I346" s="2" t="s">
        <v>3992</v>
      </c>
      <c r="J346" s="2" t="s">
        <v>3993</v>
      </c>
      <c r="K346" s="2" t="s">
        <v>29</v>
      </c>
      <c r="L346" s="2" t="s">
        <v>3994</v>
      </c>
      <c r="M346" s="2" t="s">
        <v>3995</v>
      </c>
      <c r="N346" s="2" t="s">
        <v>3996</v>
      </c>
      <c r="O346" s="2" t="s">
        <v>3997</v>
      </c>
      <c r="P346" s="2" t="s">
        <v>3998</v>
      </c>
      <c r="Q346" s="2" t="s">
        <v>3999</v>
      </c>
      <c r="R346" s="2" t="s">
        <v>355</v>
      </c>
      <c r="S346" s="2" t="s">
        <v>466</v>
      </c>
      <c r="T346" s="2" t="s">
        <v>467</v>
      </c>
      <c r="U346" s="2" t="s">
        <v>39</v>
      </c>
      <c r="V346" s="2" t="n">
        <v>1</v>
      </c>
    </row>
    <row r="347">
      <c r="A347" s="2" t="n">
        <v>346</v>
      </c>
      <c r="B347" s="2" t="s">
        <v>4000</v>
      </c>
      <c r="C347" s="2" t="n">
        <v>324.035188173</v>
      </c>
      <c r="D347" s="2" t="n">
        <v>0.292235813337499</v>
      </c>
      <c r="E347" s="2" t="s">
        <v>4001</v>
      </c>
      <c r="F347" s="2" t="s">
        <v>250</v>
      </c>
      <c r="G347" s="2" t="s">
        <v>4002</v>
      </c>
      <c r="H347" s="2" t="s">
        <v>4003</v>
      </c>
      <c r="I347" s="2" t="s">
        <v>4004</v>
      </c>
      <c r="J347" s="2" t="s">
        <v>4005</v>
      </c>
      <c r="K347" s="2" t="s">
        <v>29</v>
      </c>
      <c r="L347" s="2" t="s">
        <v>29</v>
      </c>
      <c r="M347" s="2" t="s">
        <v>29</v>
      </c>
      <c r="N347" s="2" t="s">
        <v>4006</v>
      </c>
      <c r="O347" s="2" t="s">
        <v>4007</v>
      </c>
      <c r="P347" s="2" t="s">
        <v>4008</v>
      </c>
      <c r="Q347" s="2" t="s">
        <v>4009</v>
      </c>
      <c r="R347" s="2" t="s">
        <v>64</v>
      </c>
      <c r="S347" s="2" t="s">
        <v>65</v>
      </c>
      <c r="T347" s="2" t="s">
        <v>66</v>
      </c>
      <c r="U347" s="2" t="s">
        <v>29</v>
      </c>
      <c r="V347" s="2" t="n">
        <v>1</v>
      </c>
    </row>
    <row r="348">
      <c r="A348" s="2" t="n">
        <v>347</v>
      </c>
      <c r="B348" s="2" t="s">
        <v>4010</v>
      </c>
      <c r="C348" s="2" t="n">
        <v>324.071635237</v>
      </c>
      <c r="D348" s="2" t="n">
        <v>0.483293181617703</v>
      </c>
      <c r="E348" s="2" t="s">
        <v>4011</v>
      </c>
      <c r="F348" s="2" t="s">
        <v>522</v>
      </c>
      <c r="G348" s="2" t="s">
        <v>4012</v>
      </c>
      <c r="H348" s="2" t="s">
        <v>4013</v>
      </c>
      <c r="I348" s="2" t="s">
        <v>4014</v>
      </c>
      <c r="J348" s="2" t="s">
        <v>4015</v>
      </c>
      <c r="K348" s="2" t="s">
        <v>29</v>
      </c>
      <c r="L348" s="2" t="s">
        <v>4016</v>
      </c>
      <c r="M348" s="2" t="s">
        <v>29</v>
      </c>
      <c r="N348" s="2" t="s">
        <v>4017</v>
      </c>
      <c r="O348" s="2" t="s">
        <v>29</v>
      </c>
      <c r="P348" s="2" t="s">
        <v>4018</v>
      </c>
      <c r="Q348" s="2" t="s">
        <v>4019</v>
      </c>
      <c r="R348" s="2" t="s">
        <v>355</v>
      </c>
      <c r="S348" s="2" t="s">
        <v>1477</v>
      </c>
      <c r="T348" s="2" t="s">
        <v>1478</v>
      </c>
      <c r="U348" s="2" t="s">
        <v>39</v>
      </c>
      <c r="V348" s="2" t="n">
        <v>1</v>
      </c>
    </row>
    <row r="349">
      <c r="A349" s="2" t="n">
        <v>348</v>
      </c>
      <c r="B349" s="2" t="s">
        <v>4020</v>
      </c>
      <c r="C349" s="2" t="n">
        <v>324.984054074</v>
      </c>
      <c r="D349" s="2" t="n">
        <v>2.06731322828954</v>
      </c>
      <c r="E349" s="2" t="s">
        <v>4021</v>
      </c>
      <c r="F349" s="2" t="s">
        <v>42</v>
      </c>
      <c r="G349" s="2" t="s">
        <v>4022</v>
      </c>
      <c r="H349" s="2" t="s">
        <v>4023</v>
      </c>
      <c r="I349" s="2" t="s">
        <v>4024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4025</v>
      </c>
      <c r="Q349" s="2" t="s">
        <v>4026</v>
      </c>
      <c r="R349" s="2" t="s">
        <v>502</v>
      </c>
      <c r="S349" s="2" t="s">
        <v>503</v>
      </c>
      <c r="T349" s="2" t="s">
        <v>2613</v>
      </c>
      <c r="U349" s="2" t="s">
        <v>29</v>
      </c>
      <c r="V349" s="2" t="n">
        <v>1</v>
      </c>
    </row>
    <row r="350">
      <c r="A350" s="2" t="n">
        <v>349</v>
      </c>
      <c r="B350" s="2" t="s">
        <v>4027</v>
      </c>
      <c r="C350" s="2" t="n">
        <v>325.03559459</v>
      </c>
      <c r="D350" s="2" t="n">
        <v>0.586439838466581</v>
      </c>
      <c r="E350" s="2" t="s">
        <v>4028</v>
      </c>
      <c r="F350" s="2" t="s">
        <v>110</v>
      </c>
      <c r="G350" s="2" t="s">
        <v>4029</v>
      </c>
      <c r="H350" s="2" t="s">
        <v>4030</v>
      </c>
      <c r="I350" s="2" t="s">
        <v>4031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4032</v>
      </c>
      <c r="O350" s="2" t="s">
        <v>29</v>
      </c>
      <c r="P350" s="2" t="s">
        <v>4033</v>
      </c>
      <c r="Q350" s="2" t="s">
        <v>4034</v>
      </c>
      <c r="R350" s="2" t="s">
        <v>49</v>
      </c>
      <c r="S350" s="2" t="s">
        <v>165</v>
      </c>
      <c r="T350" s="2" t="s">
        <v>166</v>
      </c>
      <c r="U350" s="2" t="s">
        <v>29</v>
      </c>
      <c r="V350" s="2" t="n">
        <v>1</v>
      </c>
    </row>
    <row r="351">
      <c r="A351" s="2" t="n">
        <v>350</v>
      </c>
      <c r="B351" s="2" t="s">
        <v>4035</v>
      </c>
      <c r="C351" s="2" t="n">
        <v>325.12458201</v>
      </c>
      <c r="D351" s="2" t="n">
        <v>5.9363493839403</v>
      </c>
      <c r="E351" s="2" t="s">
        <v>4036</v>
      </c>
      <c r="F351" s="2" t="s">
        <v>522</v>
      </c>
      <c r="G351" s="2" t="s">
        <v>4037</v>
      </c>
      <c r="H351" s="2" t="s">
        <v>4038</v>
      </c>
      <c r="I351" s="2" t="s">
        <v>4039</v>
      </c>
      <c r="J351" s="2" t="s">
        <v>4040</v>
      </c>
      <c r="K351" s="2" t="s">
        <v>4041</v>
      </c>
      <c r="L351" s="2" t="s">
        <v>29</v>
      </c>
      <c r="M351" s="2" t="s">
        <v>4042</v>
      </c>
      <c r="N351" s="2" t="s">
        <v>4043</v>
      </c>
      <c r="O351" s="2" t="s">
        <v>4044</v>
      </c>
      <c r="P351" s="2" t="s">
        <v>4045</v>
      </c>
      <c r="Q351" s="2" t="s">
        <v>4046</v>
      </c>
      <c r="R351" s="2" t="s">
        <v>1490</v>
      </c>
      <c r="S351" s="2" t="s">
        <v>1491</v>
      </c>
      <c r="T351" s="2" t="s">
        <v>3884</v>
      </c>
      <c r="U351" s="2" t="s">
        <v>29</v>
      </c>
      <c r="V351" s="2" t="n">
        <v>1</v>
      </c>
    </row>
    <row r="352">
      <c r="A352" s="2" t="n">
        <v>351</v>
      </c>
      <c r="B352" s="2" t="s">
        <v>4047</v>
      </c>
      <c r="C352" s="2" t="n">
        <v>325.20204807</v>
      </c>
      <c r="D352" s="2" t="n">
        <v>6.95106435325698</v>
      </c>
      <c r="E352" s="2" t="s">
        <v>4048</v>
      </c>
      <c r="F352" s="2" t="s">
        <v>110</v>
      </c>
      <c r="G352" s="2" t="s">
        <v>4049</v>
      </c>
      <c r="H352" s="2" t="s">
        <v>4050</v>
      </c>
      <c r="I352" s="2" t="s">
        <v>4051</v>
      </c>
      <c r="J352" s="2" t="s">
        <v>4052</v>
      </c>
      <c r="K352" s="2" t="s">
        <v>72</v>
      </c>
      <c r="L352" s="2" t="s">
        <v>72</v>
      </c>
      <c r="M352" s="2" t="s">
        <v>4053</v>
      </c>
      <c r="N352" s="2" t="s">
        <v>4054</v>
      </c>
      <c r="O352" s="2" t="s">
        <v>72</v>
      </c>
      <c r="P352" s="2" t="s">
        <v>4055</v>
      </c>
      <c r="Q352" s="2" t="s">
        <v>4056</v>
      </c>
      <c r="R352" s="2" t="s">
        <v>4057</v>
      </c>
      <c r="S352" s="2" t="s">
        <v>4058</v>
      </c>
      <c r="T352" s="2" t="s">
        <v>4059</v>
      </c>
      <c r="U352" s="2" t="s">
        <v>29</v>
      </c>
      <c r="V352" s="2" t="n">
        <v>2</v>
      </c>
    </row>
    <row r="353">
      <c r="A353" s="2" t="n">
        <v>352</v>
      </c>
      <c r="B353" s="2" t="s">
        <v>4060</v>
      </c>
      <c r="C353" s="2" t="n">
        <v>325.9790825</v>
      </c>
      <c r="D353" s="2" t="n">
        <v>2.0326621720383</v>
      </c>
      <c r="E353" s="2" t="s">
        <v>4061</v>
      </c>
      <c r="F353" s="2" t="s">
        <v>522</v>
      </c>
      <c r="G353" s="2" t="s">
        <v>4062</v>
      </c>
      <c r="H353" s="2" t="s">
        <v>4063</v>
      </c>
      <c r="I353" s="2" t="s">
        <v>4064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4065</v>
      </c>
      <c r="O353" s="2" t="s">
        <v>29</v>
      </c>
      <c r="P353" s="2" t="s">
        <v>4066</v>
      </c>
      <c r="Q353" s="2" t="s">
        <v>4067</v>
      </c>
      <c r="R353" s="2" t="s">
        <v>502</v>
      </c>
      <c r="S353" s="2" t="s">
        <v>503</v>
      </c>
      <c r="T353" s="2" t="s">
        <v>2313</v>
      </c>
      <c r="U353" s="2" t="s">
        <v>29</v>
      </c>
      <c r="V353" s="2" t="n">
        <v>1</v>
      </c>
    </row>
    <row r="354">
      <c r="A354" s="2" t="n">
        <v>353</v>
      </c>
      <c r="B354" s="2" t="s">
        <v>4068</v>
      </c>
      <c r="C354" s="2" t="n">
        <v>326.0832653</v>
      </c>
      <c r="D354" s="2" t="n">
        <v>4.03679050776412</v>
      </c>
      <c r="E354" s="2" t="s">
        <v>4069</v>
      </c>
      <c r="F354" s="2" t="s">
        <v>24</v>
      </c>
      <c r="G354" s="2" t="s">
        <v>4070</v>
      </c>
      <c r="H354" s="2" t="s">
        <v>4071</v>
      </c>
      <c r="I354" s="2" t="s">
        <v>4072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4073</v>
      </c>
      <c r="O354" s="2" t="s">
        <v>29</v>
      </c>
      <c r="P354" s="2" t="s">
        <v>4074</v>
      </c>
      <c r="Q354" s="2" t="s">
        <v>4075</v>
      </c>
      <c r="R354" s="2" t="s">
        <v>1490</v>
      </c>
      <c r="S354" s="2" t="s">
        <v>1491</v>
      </c>
      <c r="T354" s="2" t="s">
        <v>3884</v>
      </c>
      <c r="U354" s="2" t="s">
        <v>29</v>
      </c>
      <c r="V354" s="2" t="n">
        <v>1</v>
      </c>
    </row>
    <row r="355">
      <c r="A355" s="2" t="n">
        <v>354</v>
      </c>
      <c r="B355" s="2" t="s">
        <v>4076</v>
      </c>
      <c r="C355" s="2" t="n">
        <v>327.135031132</v>
      </c>
      <c r="D355" s="2" t="n">
        <v>8.06693168562374</v>
      </c>
      <c r="E355" s="2" t="s">
        <v>4077</v>
      </c>
      <c r="F355" s="2" t="s">
        <v>110</v>
      </c>
      <c r="G355" s="2" t="s">
        <v>4078</v>
      </c>
      <c r="H355" s="2" t="s">
        <v>4079</v>
      </c>
      <c r="I355" s="2" t="s">
        <v>4080</v>
      </c>
      <c r="J355" s="2" t="s">
        <v>4081</v>
      </c>
      <c r="K355" s="2" t="s">
        <v>226</v>
      </c>
      <c r="L355" s="2" t="s">
        <v>226</v>
      </c>
      <c r="M355" s="2" t="s">
        <v>4082</v>
      </c>
      <c r="N355" s="2" t="s">
        <v>4083</v>
      </c>
      <c r="O355" s="2" t="s">
        <v>4084</v>
      </c>
      <c r="P355" s="2" t="s">
        <v>4085</v>
      </c>
      <c r="Q355" s="2" t="s">
        <v>4086</v>
      </c>
      <c r="R355" s="2" t="s">
        <v>4087</v>
      </c>
      <c r="S355" s="2" t="s">
        <v>4088</v>
      </c>
      <c r="T355" s="2" t="s">
        <v>4089</v>
      </c>
      <c r="U355" s="2" t="s">
        <v>29</v>
      </c>
      <c r="V355" s="2" t="n">
        <v>3</v>
      </c>
    </row>
    <row r="356">
      <c r="A356" s="2" t="n">
        <v>355</v>
      </c>
      <c r="B356" s="2" t="s">
        <v>4090</v>
      </c>
      <c r="C356" s="2" t="n">
        <v>327.9678931</v>
      </c>
      <c r="D356" s="2" t="n">
        <v>9.67084573128206</v>
      </c>
      <c r="E356" s="2" t="s">
        <v>4091</v>
      </c>
      <c r="F356" s="2" t="s">
        <v>250</v>
      </c>
      <c r="G356" s="2" t="s">
        <v>4092</v>
      </c>
      <c r="H356" s="2" t="s">
        <v>4093</v>
      </c>
      <c r="I356" s="2" t="s">
        <v>4094</v>
      </c>
      <c r="J356" s="2" t="s">
        <v>29</v>
      </c>
      <c r="K356" s="2" t="s">
        <v>29</v>
      </c>
      <c r="L356" s="2" t="s">
        <v>29</v>
      </c>
      <c r="M356" s="2" t="s">
        <v>4095</v>
      </c>
      <c r="N356" s="2" t="s">
        <v>29</v>
      </c>
      <c r="O356" s="2" t="s">
        <v>29</v>
      </c>
      <c r="P356" s="2" t="s">
        <v>4096</v>
      </c>
      <c r="Q356" s="2" t="s">
        <v>4097</v>
      </c>
      <c r="R356" s="2" t="s">
        <v>355</v>
      </c>
      <c r="S356" s="2" t="s">
        <v>356</v>
      </c>
      <c r="T356" s="2" t="s">
        <v>814</v>
      </c>
      <c r="U356" s="2" t="s">
        <v>29</v>
      </c>
      <c r="V356" s="2" t="n">
        <v>1</v>
      </c>
    </row>
    <row r="357">
      <c r="A357" s="2" t="n">
        <v>356</v>
      </c>
      <c r="B357" s="2" t="s">
        <v>4098</v>
      </c>
      <c r="C357" s="2" t="n">
        <v>328.000958103</v>
      </c>
      <c r="D357" s="2" t="n">
        <v>4.17867812718029</v>
      </c>
      <c r="E357" s="2" t="s">
        <v>4099</v>
      </c>
      <c r="F357" s="2" t="s">
        <v>360</v>
      </c>
      <c r="G357" s="2" t="s">
        <v>4100</v>
      </c>
      <c r="H357" s="2" t="s">
        <v>4101</v>
      </c>
      <c r="I357" s="2" t="s">
        <v>4102</v>
      </c>
      <c r="J357" s="2" t="s">
        <v>4103</v>
      </c>
      <c r="K357" s="2" t="s">
        <v>29</v>
      </c>
      <c r="L357" s="2" t="s">
        <v>29</v>
      </c>
      <c r="M357" s="2" t="s">
        <v>4104</v>
      </c>
      <c r="N357" s="2" t="s">
        <v>4105</v>
      </c>
      <c r="O357" s="2" t="s">
        <v>4106</v>
      </c>
      <c r="P357" s="2" t="s">
        <v>4107</v>
      </c>
      <c r="Q357" s="2" t="s">
        <v>4108</v>
      </c>
      <c r="R357" s="2" t="s">
        <v>502</v>
      </c>
      <c r="S357" s="2" t="s">
        <v>503</v>
      </c>
      <c r="T357" s="2" t="s">
        <v>2174</v>
      </c>
      <c r="U357" s="2" t="s">
        <v>29</v>
      </c>
      <c r="V357" s="2" t="n">
        <v>1</v>
      </c>
    </row>
    <row r="358">
      <c r="A358" s="2" t="n">
        <v>357</v>
      </c>
      <c r="B358" s="2" t="s">
        <v>4109</v>
      </c>
      <c r="C358" s="2" t="n">
        <v>328.067405067</v>
      </c>
      <c r="D358" s="2" t="n">
        <v>1.97410778977302</v>
      </c>
      <c r="E358" s="2" t="s">
        <v>4110</v>
      </c>
      <c r="F358" s="2" t="s">
        <v>110</v>
      </c>
      <c r="G358" s="2" t="s">
        <v>4111</v>
      </c>
      <c r="H358" s="2" t="s">
        <v>4112</v>
      </c>
      <c r="I358" s="2" t="s">
        <v>4113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4114</v>
      </c>
      <c r="Q358" s="2" t="s">
        <v>4115</v>
      </c>
      <c r="R358" s="2" t="s">
        <v>64</v>
      </c>
      <c r="S358" s="2" t="s">
        <v>65</v>
      </c>
      <c r="T358" s="2" t="s">
        <v>66</v>
      </c>
      <c r="U358" s="2" t="s">
        <v>29</v>
      </c>
      <c r="V358" s="2" t="n">
        <v>1</v>
      </c>
    </row>
    <row r="359">
      <c r="A359" s="2" t="n">
        <v>358</v>
      </c>
      <c r="B359" s="2" t="s">
        <v>4116</v>
      </c>
      <c r="C359" s="2" t="n">
        <v>328.101284345</v>
      </c>
      <c r="D359" s="2" t="n">
        <v>1.43899935196998</v>
      </c>
      <c r="E359" s="2" t="s">
        <v>4117</v>
      </c>
      <c r="F359" s="2" t="s">
        <v>24</v>
      </c>
      <c r="G359" s="2" t="s">
        <v>4118</v>
      </c>
      <c r="H359" s="2" t="s">
        <v>4119</v>
      </c>
      <c r="I359" s="2" t="s">
        <v>4120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4121</v>
      </c>
      <c r="O359" s="2" t="s">
        <v>29</v>
      </c>
      <c r="P359" s="2" t="s">
        <v>4122</v>
      </c>
      <c r="Q359" s="2" t="s">
        <v>4123</v>
      </c>
      <c r="R359" s="2" t="s">
        <v>355</v>
      </c>
      <c r="S359" s="2" t="s">
        <v>4124</v>
      </c>
      <c r="T359" s="2" t="s">
        <v>205</v>
      </c>
      <c r="U359" s="2" t="s">
        <v>29</v>
      </c>
      <c r="V359" s="2" t="n">
        <v>1</v>
      </c>
    </row>
    <row r="360">
      <c r="A360" s="2" t="n">
        <v>359</v>
      </c>
      <c r="B360" s="2" t="s">
        <v>4125</v>
      </c>
      <c r="C360" s="2" t="n">
        <v>328.22418049</v>
      </c>
      <c r="D360" s="2" t="n">
        <v>3.07012877087323</v>
      </c>
      <c r="E360" s="2" t="s">
        <v>4126</v>
      </c>
      <c r="F360" s="2" t="s">
        <v>110</v>
      </c>
      <c r="G360" s="2" t="s">
        <v>4127</v>
      </c>
      <c r="H360" s="2" t="s">
        <v>4128</v>
      </c>
      <c r="I360" s="2" t="s">
        <v>4129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4130</v>
      </c>
      <c r="O360" s="2" t="s">
        <v>29</v>
      </c>
      <c r="P360" s="2" t="s">
        <v>4131</v>
      </c>
      <c r="Q360" s="2" t="s">
        <v>4132</v>
      </c>
      <c r="R360" s="2" t="s">
        <v>49</v>
      </c>
      <c r="S360" s="2" t="s">
        <v>165</v>
      </c>
      <c r="T360" s="2" t="s">
        <v>166</v>
      </c>
      <c r="U360" s="2" t="s">
        <v>29</v>
      </c>
      <c r="V360" s="2" t="n">
        <v>1</v>
      </c>
    </row>
    <row r="361">
      <c r="A361" s="2" t="n">
        <v>360</v>
      </c>
      <c r="B361" s="2" t="s">
        <v>4133</v>
      </c>
      <c r="C361" s="2" t="n">
        <v>328.963253904</v>
      </c>
      <c r="D361" s="2" t="n">
        <v>6.80365241440647</v>
      </c>
      <c r="E361" s="2" t="s">
        <v>4134</v>
      </c>
      <c r="F361" s="2" t="s">
        <v>250</v>
      </c>
      <c r="G361" s="2" t="s">
        <v>4135</v>
      </c>
      <c r="H361" s="2" t="s">
        <v>4136</v>
      </c>
      <c r="I361" s="2" t="s">
        <v>4137</v>
      </c>
      <c r="J361" s="2" t="s">
        <v>4138</v>
      </c>
      <c r="K361" s="2" t="s">
        <v>72</v>
      </c>
      <c r="L361" s="2" t="s">
        <v>4139</v>
      </c>
      <c r="M361" s="2" t="s">
        <v>4140</v>
      </c>
      <c r="N361" s="2" t="s">
        <v>4141</v>
      </c>
      <c r="O361" s="2" t="s">
        <v>4142</v>
      </c>
      <c r="P361" s="2" t="s">
        <v>4143</v>
      </c>
      <c r="Q361" s="2" t="s">
        <v>4144</v>
      </c>
      <c r="R361" s="2" t="s">
        <v>4145</v>
      </c>
      <c r="S361" s="2" t="s">
        <v>4146</v>
      </c>
      <c r="T361" s="2" t="s">
        <v>4147</v>
      </c>
      <c r="U361" s="2" t="s">
        <v>39</v>
      </c>
      <c r="V361" s="2" t="n">
        <v>2</v>
      </c>
    </row>
    <row r="362">
      <c r="A362" s="2" t="n">
        <v>361</v>
      </c>
      <c r="B362" s="2" t="s">
        <v>4148</v>
      </c>
      <c r="C362" s="2" t="n">
        <v>328.9923785</v>
      </c>
      <c r="D362" s="2" t="n">
        <v>3.97353837656721</v>
      </c>
      <c r="E362" s="2" t="s">
        <v>4149</v>
      </c>
      <c r="F362" s="2" t="s">
        <v>522</v>
      </c>
      <c r="G362" s="2" t="s">
        <v>4150</v>
      </c>
      <c r="H362" s="2" t="s">
        <v>4151</v>
      </c>
      <c r="I362" s="2" t="s">
        <v>4152</v>
      </c>
      <c r="J362" s="2" t="s">
        <v>4153</v>
      </c>
      <c r="K362" s="2" t="s">
        <v>29</v>
      </c>
      <c r="L362" s="2" t="s">
        <v>29</v>
      </c>
      <c r="M362" s="2" t="s">
        <v>29</v>
      </c>
      <c r="N362" s="2" t="s">
        <v>4154</v>
      </c>
      <c r="O362" s="2" t="s">
        <v>29</v>
      </c>
      <c r="P362" s="2" t="s">
        <v>4155</v>
      </c>
      <c r="Q362" s="2" t="s">
        <v>4156</v>
      </c>
      <c r="R362" s="2" t="s">
        <v>355</v>
      </c>
      <c r="S362" s="2" t="s">
        <v>3687</v>
      </c>
      <c r="T362" s="2" t="s">
        <v>3688</v>
      </c>
      <c r="U362" s="2" t="s">
        <v>29</v>
      </c>
      <c r="V362" s="2" t="n">
        <v>1</v>
      </c>
    </row>
    <row r="363">
      <c r="A363" s="2" t="n">
        <v>362</v>
      </c>
      <c r="B363" s="2" t="s">
        <v>4157</v>
      </c>
      <c r="C363" s="2" t="n">
        <v>329.081281482</v>
      </c>
      <c r="D363" s="2" t="n">
        <v>8.64119084284817</v>
      </c>
      <c r="E363" s="2" t="s">
        <v>4158</v>
      </c>
      <c r="F363" s="2" t="s">
        <v>110</v>
      </c>
      <c r="G363" s="2" t="s">
        <v>4159</v>
      </c>
      <c r="H363" s="2" t="s">
        <v>4160</v>
      </c>
      <c r="I363" s="2" t="s">
        <v>4161</v>
      </c>
      <c r="J363" s="2" t="s">
        <v>4162</v>
      </c>
      <c r="K363" s="2" t="s">
        <v>29</v>
      </c>
      <c r="L363" s="2" t="s">
        <v>29</v>
      </c>
      <c r="M363" s="2" t="s">
        <v>29</v>
      </c>
      <c r="N363" s="2" t="s">
        <v>4163</v>
      </c>
      <c r="O363" s="2" t="s">
        <v>29</v>
      </c>
      <c r="P363" s="2" t="s">
        <v>4164</v>
      </c>
      <c r="Q363" s="2" t="s">
        <v>4165</v>
      </c>
      <c r="R363" s="2" t="s">
        <v>502</v>
      </c>
      <c r="S363" s="2" t="s">
        <v>503</v>
      </c>
      <c r="T363" s="2" t="s">
        <v>2174</v>
      </c>
      <c r="U363" s="2" t="s">
        <v>29</v>
      </c>
      <c r="V363" s="2" t="n">
        <v>1</v>
      </c>
    </row>
    <row r="364">
      <c r="A364" s="2" t="n">
        <v>363</v>
      </c>
      <c r="B364" s="2" t="s">
        <v>4166</v>
      </c>
      <c r="C364" s="2" t="n">
        <v>329.233348198</v>
      </c>
      <c r="D364" s="2" t="n">
        <v>3.00204522302622</v>
      </c>
      <c r="E364" s="2" t="s">
        <v>4167</v>
      </c>
      <c r="F364" s="2" t="s">
        <v>110</v>
      </c>
      <c r="G364" s="2" t="s">
        <v>4168</v>
      </c>
      <c r="H364" s="2" t="s">
        <v>4169</v>
      </c>
      <c r="I364" s="2" t="s">
        <v>4170</v>
      </c>
      <c r="J364" s="2" t="s">
        <v>4171</v>
      </c>
      <c r="K364" s="2" t="s">
        <v>4172</v>
      </c>
      <c r="L364" s="2" t="s">
        <v>4173</v>
      </c>
      <c r="M364" s="2" t="s">
        <v>4174</v>
      </c>
      <c r="N364" s="2" t="s">
        <v>4175</v>
      </c>
      <c r="O364" s="2" t="s">
        <v>29</v>
      </c>
      <c r="P364" s="2" t="s">
        <v>4176</v>
      </c>
      <c r="Q364" s="2" t="s">
        <v>4177</v>
      </c>
      <c r="R364" s="2" t="s">
        <v>1490</v>
      </c>
      <c r="S364" s="2" t="s">
        <v>1491</v>
      </c>
      <c r="T364" s="2" t="s">
        <v>1492</v>
      </c>
      <c r="U364" s="2" t="s">
        <v>39</v>
      </c>
      <c r="V364" s="2" t="n">
        <v>1</v>
      </c>
    </row>
    <row r="365">
      <c r="A365" s="2" t="n">
        <v>364</v>
      </c>
      <c r="B365" s="2" t="s">
        <v>4178</v>
      </c>
      <c r="C365" s="2" t="n">
        <v>330.134696787</v>
      </c>
      <c r="D365" s="2" t="n">
        <v>2.64871047962706</v>
      </c>
      <c r="E365" s="2" t="s">
        <v>4179</v>
      </c>
      <c r="F365" s="2" t="s">
        <v>110</v>
      </c>
      <c r="G365" s="2" t="s">
        <v>4180</v>
      </c>
      <c r="H365" s="2" t="s">
        <v>4181</v>
      </c>
      <c r="I365" s="2" t="s">
        <v>4182</v>
      </c>
      <c r="J365" s="2" t="s">
        <v>4183</v>
      </c>
      <c r="K365" s="2" t="s">
        <v>29</v>
      </c>
      <c r="L365" s="2" t="s">
        <v>4184</v>
      </c>
      <c r="M365" s="2" t="s">
        <v>29</v>
      </c>
      <c r="N365" s="2" t="s">
        <v>4185</v>
      </c>
      <c r="O365" s="2" t="s">
        <v>4186</v>
      </c>
      <c r="P365" s="2" t="s">
        <v>4187</v>
      </c>
      <c r="Q365" s="2" t="s">
        <v>4188</v>
      </c>
      <c r="R365" s="2" t="s">
        <v>4189</v>
      </c>
      <c r="S365" s="2" t="s">
        <v>4190</v>
      </c>
      <c r="T365" s="2" t="s">
        <v>4191</v>
      </c>
      <c r="U365" s="2" t="s">
        <v>39</v>
      </c>
      <c r="V365" s="2" t="n">
        <v>1</v>
      </c>
    </row>
    <row r="366">
      <c r="A366" s="2" t="n">
        <v>365</v>
      </c>
      <c r="B366" s="2" t="s">
        <v>4192</v>
      </c>
      <c r="C366" s="2" t="n">
        <v>330.908530357</v>
      </c>
      <c r="D366" s="2" t="n">
        <v>3.64977990594704</v>
      </c>
      <c r="E366" s="2" t="s">
        <v>4193</v>
      </c>
      <c r="F366" s="2" t="s">
        <v>250</v>
      </c>
      <c r="G366" s="2" t="s">
        <v>4194</v>
      </c>
      <c r="H366" s="2" t="s">
        <v>4195</v>
      </c>
      <c r="I366" s="2" t="s">
        <v>4196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4197</v>
      </c>
      <c r="O366" s="2" t="s">
        <v>29</v>
      </c>
      <c r="P366" s="2" t="s">
        <v>4198</v>
      </c>
      <c r="Q366" s="2" t="s">
        <v>4199</v>
      </c>
      <c r="R366" s="2" t="s">
        <v>502</v>
      </c>
      <c r="S366" s="2" t="s">
        <v>503</v>
      </c>
      <c r="T366" s="2" t="s">
        <v>2174</v>
      </c>
      <c r="U366" s="2" t="s">
        <v>29</v>
      </c>
      <c r="V366" s="2" t="n">
        <v>1</v>
      </c>
    </row>
    <row r="367">
      <c r="A367" s="2" t="n">
        <v>366</v>
      </c>
      <c r="B367" s="2" t="s">
        <v>4200</v>
      </c>
      <c r="C367" s="2" t="n">
        <v>331.045941346</v>
      </c>
      <c r="D367" s="2" t="n">
        <v>0.575688228124717</v>
      </c>
      <c r="E367" s="2" t="s">
        <v>4201</v>
      </c>
      <c r="F367" s="2" t="s">
        <v>110</v>
      </c>
      <c r="G367" s="2" t="s">
        <v>4202</v>
      </c>
      <c r="H367" s="2" t="s">
        <v>4203</v>
      </c>
      <c r="I367" s="2" t="s">
        <v>4204</v>
      </c>
      <c r="J367" s="2" t="s">
        <v>4205</v>
      </c>
      <c r="K367" s="2" t="s">
        <v>4206</v>
      </c>
      <c r="L367" s="2" t="s">
        <v>4207</v>
      </c>
      <c r="M367" s="2" t="s">
        <v>4208</v>
      </c>
      <c r="N367" s="2" t="s">
        <v>4209</v>
      </c>
      <c r="O367" s="2" t="s">
        <v>4210</v>
      </c>
      <c r="P367" s="2" t="s">
        <v>4211</v>
      </c>
      <c r="Q367" s="2" t="s">
        <v>4212</v>
      </c>
      <c r="R367" s="2" t="s">
        <v>3167</v>
      </c>
      <c r="S367" s="2" t="s">
        <v>4213</v>
      </c>
      <c r="T367" s="2" t="s">
        <v>4214</v>
      </c>
      <c r="U367" s="2" t="s">
        <v>39</v>
      </c>
      <c r="V367" s="2" t="n">
        <v>2</v>
      </c>
    </row>
    <row r="368">
      <c r="A368" s="2" t="n">
        <v>367</v>
      </c>
      <c r="B368" s="2" t="s">
        <v>4215</v>
      </c>
      <c r="C368" s="2" t="n">
        <v>331.14117914</v>
      </c>
      <c r="D368" s="2" t="n">
        <v>3.4969117471553</v>
      </c>
      <c r="E368" s="2" t="s">
        <v>4216</v>
      </c>
      <c r="F368" s="2" t="s">
        <v>110</v>
      </c>
      <c r="G368" s="2" t="s">
        <v>4217</v>
      </c>
      <c r="H368" s="2" t="s">
        <v>4218</v>
      </c>
      <c r="I368" s="2" t="s">
        <v>4219</v>
      </c>
      <c r="J368" s="2" t="s">
        <v>4220</v>
      </c>
      <c r="K368" s="2" t="s">
        <v>29</v>
      </c>
      <c r="L368" s="2" t="s">
        <v>29</v>
      </c>
      <c r="M368" s="2" t="s">
        <v>4221</v>
      </c>
      <c r="N368" s="2" t="s">
        <v>4222</v>
      </c>
      <c r="O368" s="2" t="s">
        <v>4223</v>
      </c>
      <c r="P368" s="2" t="s">
        <v>4224</v>
      </c>
      <c r="Q368" s="2" t="s">
        <v>4225</v>
      </c>
      <c r="R368" s="2" t="s">
        <v>49</v>
      </c>
      <c r="S368" s="2" t="s">
        <v>165</v>
      </c>
      <c r="T368" s="2" t="s">
        <v>166</v>
      </c>
      <c r="U368" s="2" t="s">
        <v>29</v>
      </c>
      <c r="V368" s="2" t="n">
        <v>1</v>
      </c>
    </row>
    <row r="369">
      <c r="A369" s="2" t="n">
        <v>368</v>
      </c>
      <c r="B369" s="2" t="s">
        <v>4226</v>
      </c>
      <c r="C369" s="2" t="n">
        <v>333.059221962</v>
      </c>
      <c r="D369" s="2" t="n">
        <v>0.581018663546833</v>
      </c>
      <c r="E369" s="2" t="s">
        <v>4227</v>
      </c>
      <c r="F369" s="2" t="s">
        <v>110</v>
      </c>
      <c r="G369" s="2" t="s">
        <v>4228</v>
      </c>
      <c r="H369" s="2" t="s">
        <v>4229</v>
      </c>
      <c r="I369" s="2" t="s">
        <v>4230</v>
      </c>
      <c r="J369" s="2" t="s">
        <v>29</v>
      </c>
      <c r="K369" s="2" t="s">
        <v>29</v>
      </c>
      <c r="L369" s="2" t="s">
        <v>4231</v>
      </c>
      <c r="M369" s="2" t="s">
        <v>4232</v>
      </c>
      <c r="N369" s="2" t="s">
        <v>29</v>
      </c>
      <c r="O369" s="2" t="s">
        <v>4233</v>
      </c>
      <c r="P369" s="2" t="s">
        <v>4234</v>
      </c>
      <c r="Q369" s="2" t="s">
        <v>4235</v>
      </c>
      <c r="R369" s="2" t="s">
        <v>1490</v>
      </c>
      <c r="S369" s="2" t="s">
        <v>4236</v>
      </c>
      <c r="T369" s="2" t="s">
        <v>4237</v>
      </c>
      <c r="U369" s="2" t="s">
        <v>39</v>
      </c>
      <c r="V369" s="2" t="n">
        <v>1</v>
      </c>
    </row>
    <row r="370">
      <c r="A370" s="2" t="n">
        <v>369</v>
      </c>
      <c r="B370" s="2" t="s">
        <v>4238</v>
      </c>
      <c r="C370" s="2" t="n">
        <v>334.177225993</v>
      </c>
      <c r="D370" s="2" t="n">
        <v>0.848658396449429</v>
      </c>
      <c r="E370" s="2" t="s">
        <v>4239</v>
      </c>
      <c r="F370" s="2" t="s">
        <v>24</v>
      </c>
      <c r="G370" s="2" t="s">
        <v>4240</v>
      </c>
      <c r="H370" s="2" t="s">
        <v>4241</v>
      </c>
      <c r="I370" s="2" t="s">
        <v>4242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4243</v>
      </c>
      <c r="O370" s="2" t="s">
        <v>29</v>
      </c>
      <c r="P370" s="2" t="s">
        <v>4244</v>
      </c>
      <c r="Q370" s="2" t="s">
        <v>4245</v>
      </c>
      <c r="R370" s="2" t="s">
        <v>355</v>
      </c>
      <c r="S370" s="2" t="s">
        <v>2424</v>
      </c>
      <c r="T370" s="2" t="s">
        <v>4246</v>
      </c>
      <c r="U370" s="2" t="s">
        <v>29</v>
      </c>
      <c r="V370" s="2" t="n">
        <v>1</v>
      </c>
    </row>
    <row r="371">
      <c r="A371" s="2" t="n">
        <v>370</v>
      </c>
      <c r="B371" s="2" t="s">
        <v>4247</v>
      </c>
      <c r="C371" s="2" t="n">
        <v>335.044222492</v>
      </c>
      <c r="D371" s="2" t="n">
        <v>1.50124350999192</v>
      </c>
      <c r="E371" s="2" t="s">
        <v>4248</v>
      </c>
      <c r="F371" s="2" t="s">
        <v>24</v>
      </c>
      <c r="G371" s="2" t="s">
        <v>4249</v>
      </c>
      <c r="H371" s="2" t="s">
        <v>4250</v>
      </c>
      <c r="I371" s="2" t="s">
        <v>4251</v>
      </c>
      <c r="J371" s="2" t="s">
        <v>226</v>
      </c>
      <c r="K371" s="2" t="s">
        <v>226</v>
      </c>
      <c r="L371" s="2" t="s">
        <v>226</v>
      </c>
      <c r="M371" s="2" t="s">
        <v>4252</v>
      </c>
      <c r="N371" s="2" t="s">
        <v>4253</v>
      </c>
      <c r="O371" s="2" t="s">
        <v>226</v>
      </c>
      <c r="P371" s="2" t="s">
        <v>4254</v>
      </c>
      <c r="Q371" s="2" t="s">
        <v>4255</v>
      </c>
      <c r="R371" s="2" t="s">
        <v>105</v>
      </c>
      <c r="S371" s="2" t="s">
        <v>106</v>
      </c>
      <c r="T371" s="2" t="s">
        <v>107</v>
      </c>
      <c r="U371" s="2" t="s">
        <v>29</v>
      </c>
      <c r="V371" s="2" t="n">
        <v>3</v>
      </c>
    </row>
    <row r="372">
      <c r="A372" s="2" t="n">
        <v>371</v>
      </c>
      <c r="B372" s="2" t="s">
        <v>4256</v>
      </c>
      <c r="C372" s="2" t="n">
        <v>337.089187849</v>
      </c>
      <c r="D372" s="2" t="n">
        <v>5.10246735523457</v>
      </c>
      <c r="E372" s="2" t="s">
        <v>4257</v>
      </c>
      <c r="F372" s="2" t="s">
        <v>42</v>
      </c>
      <c r="G372" s="2" t="s">
        <v>4258</v>
      </c>
      <c r="H372" s="2" t="s">
        <v>4259</v>
      </c>
      <c r="I372" s="2" t="s">
        <v>4260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4261</v>
      </c>
      <c r="O372" s="2" t="s">
        <v>29</v>
      </c>
      <c r="P372" s="2" t="s">
        <v>4262</v>
      </c>
      <c r="Q372" s="2" t="s">
        <v>4263</v>
      </c>
      <c r="R372" s="2" t="s">
        <v>49</v>
      </c>
      <c r="S372" s="2" t="s">
        <v>4264</v>
      </c>
      <c r="T372" s="2" t="s">
        <v>4265</v>
      </c>
      <c r="U372" s="2" t="s">
        <v>29</v>
      </c>
      <c r="V372" s="2" t="n">
        <v>1</v>
      </c>
    </row>
    <row r="373">
      <c r="A373" s="2" t="n">
        <v>372</v>
      </c>
      <c r="B373" s="2" t="s">
        <v>4266</v>
      </c>
      <c r="C373" s="2" t="n">
        <v>337.20204807</v>
      </c>
      <c r="D373" s="2" t="n">
        <v>3.57516198589654</v>
      </c>
      <c r="E373" s="2" t="s">
        <v>4267</v>
      </c>
      <c r="F373" s="2" t="s">
        <v>110</v>
      </c>
      <c r="G373" s="2" t="s">
        <v>4268</v>
      </c>
      <c r="H373" s="2" t="s">
        <v>4269</v>
      </c>
      <c r="I373" s="2" t="s">
        <v>4270</v>
      </c>
      <c r="J373" s="2" t="s">
        <v>4271</v>
      </c>
      <c r="K373" s="2" t="s">
        <v>29</v>
      </c>
      <c r="L373" s="2" t="s">
        <v>4272</v>
      </c>
      <c r="M373" s="2" t="s">
        <v>4273</v>
      </c>
      <c r="N373" s="2" t="s">
        <v>4274</v>
      </c>
      <c r="O373" s="2" t="s">
        <v>4275</v>
      </c>
      <c r="P373" s="2" t="s">
        <v>4276</v>
      </c>
      <c r="Q373" s="2" t="s">
        <v>4277</v>
      </c>
      <c r="R373" s="2" t="s">
        <v>355</v>
      </c>
      <c r="S373" s="2" t="s">
        <v>4278</v>
      </c>
      <c r="T373" s="2" t="s">
        <v>205</v>
      </c>
      <c r="U373" s="2" t="s">
        <v>39</v>
      </c>
      <c r="V373" s="2" t="n">
        <v>1</v>
      </c>
    </row>
    <row r="374">
      <c r="A374" s="2" t="n">
        <v>373</v>
      </c>
      <c r="B374" s="2" t="s">
        <v>4279</v>
      </c>
      <c r="C374" s="2" t="n">
        <v>337.311204588</v>
      </c>
      <c r="D374" s="2" t="n">
        <v>4.47080130685046</v>
      </c>
      <c r="E374" s="2" t="s">
        <v>4280</v>
      </c>
      <c r="F374" s="2" t="s">
        <v>110</v>
      </c>
      <c r="G374" s="2" t="s">
        <v>4281</v>
      </c>
      <c r="H374" s="2" t="s">
        <v>4282</v>
      </c>
      <c r="I374" s="2" t="s">
        <v>4283</v>
      </c>
      <c r="J374" s="2" t="s">
        <v>4284</v>
      </c>
      <c r="K374" s="2" t="s">
        <v>4285</v>
      </c>
      <c r="L374" s="2" t="s">
        <v>4286</v>
      </c>
      <c r="M374" s="2" t="s">
        <v>4287</v>
      </c>
      <c r="N374" s="2" t="s">
        <v>4288</v>
      </c>
      <c r="O374" s="2" t="s">
        <v>4289</v>
      </c>
      <c r="P374" s="2" t="s">
        <v>4290</v>
      </c>
      <c r="Q374" s="2" t="s">
        <v>4291</v>
      </c>
      <c r="R374" s="2" t="s">
        <v>1490</v>
      </c>
      <c r="S374" s="2" t="s">
        <v>1491</v>
      </c>
      <c r="T374" s="2" t="s">
        <v>1492</v>
      </c>
      <c r="U374" s="2" t="s">
        <v>39</v>
      </c>
      <c r="V374" s="2" t="n">
        <v>1</v>
      </c>
    </row>
    <row r="375">
      <c r="A375" s="2" t="n">
        <v>374</v>
      </c>
      <c r="B375" s="2" t="s">
        <v>4292</v>
      </c>
      <c r="C375" s="2" t="n">
        <v>338.99218763</v>
      </c>
      <c r="D375" s="2" t="n">
        <v>0.255296826194574</v>
      </c>
      <c r="E375" s="2" t="s">
        <v>4293</v>
      </c>
      <c r="F375" s="2" t="s">
        <v>522</v>
      </c>
      <c r="G375" s="2" t="s">
        <v>4294</v>
      </c>
      <c r="H375" s="2" t="s">
        <v>4295</v>
      </c>
      <c r="I375" s="2" t="s">
        <v>4296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4297</v>
      </c>
      <c r="Q375" s="2" t="s">
        <v>4298</v>
      </c>
      <c r="R375" s="2" t="s">
        <v>355</v>
      </c>
      <c r="S375" s="2" t="s">
        <v>3042</v>
      </c>
      <c r="T375" s="2" t="s">
        <v>205</v>
      </c>
      <c r="U375" s="2" t="s">
        <v>29</v>
      </c>
      <c r="V375" s="2" t="n">
        <v>1</v>
      </c>
    </row>
    <row r="376">
      <c r="A376" s="2" t="n">
        <v>375</v>
      </c>
      <c r="B376" s="2" t="s">
        <v>4299</v>
      </c>
      <c r="C376" s="2" t="n">
        <v>339.192541705</v>
      </c>
      <c r="D376" s="2" t="n">
        <v>1.30235976645894</v>
      </c>
      <c r="E376" s="2" t="s">
        <v>4300</v>
      </c>
      <c r="F376" s="2" t="s">
        <v>24</v>
      </c>
      <c r="G376" s="2" t="s">
        <v>4301</v>
      </c>
      <c r="H376" s="2" t="s">
        <v>4302</v>
      </c>
      <c r="I376" s="2" t="s">
        <v>4303</v>
      </c>
      <c r="J376" s="2" t="s">
        <v>4304</v>
      </c>
      <c r="K376" s="2" t="s">
        <v>72</v>
      </c>
      <c r="L376" s="2" t="s">
        <v>4305</v>
      </c>
      <c r="M376" s="2" t="s">
        <v>4306</v>
      </c>
      <c r="N376" s="2" t="s">
        <v>4307</v>
      </c>
      <c r="O376" s="2" t="s">
        <v>4308</v>
      </c>
      <c r="P376" s="2" t="s">
        <v>4309</v>
      </c>
      <c r="Q376" s="2" t="s">
        <v>4310</v>
      </c>
      <c r="R376" s="2" t="s">
        <v>480</v>
      </c>
      <c r="S376" s="2" t="s">
        <v>1240</v>
      </c>
      <c r="T376" s="2" t="s">
        <v>4311</v>
      </c>
      <c r="U376" s="2" t="s">
        <v>39</v>
      </c>
      <c r="V376" s="2" t="n">
        <v>2</v>
      </c>
    </row>
    <row r="377">
      <c r="A377" s="2" t="n">
        <v>376</v>
      </c>
      <c r="B377" s="2" t="s">
        <v>4312</v>
      </c>
      <c r="C377" s="2" t="n">
        <v>339.326854652</v>
      </c>
      <c r="D377" s="2" t="n">
        <v>4.64732829608594</v>
      </c>
      <c r="E377" s="2" t="s">
        <v>4313</v>
      </c>
      <c r="F377" s="2" t="s">
        <v>110</v>
      </c>
      <c r="G377" s="2" t="s">
        <v>4314</v>
      </c>
      <c r="H377" s="2" t="s">
        <v>4315</v>
      </c>
      <c r="I377" s="2" t="s">
        <v>4316</v>
      </c>
      <c r="J377" s="2" t="s">
        <v>4317</v>
      </c>
      <c r="K377" s="2" t="s">
        <v>4318</v>
      </c>
      <c r="L377" s="2" t="s">
        <v>4319</v>
      </c>
      <c r="M377" s="2" t="s">
        <v>4320</v>
      </c>
      <c r="N377" s="2" t="s">
        <v>4321</v>
      </c>
      <c r="O377" s="2" t="s">
        <v>4322</v>
      </c>
      <c r="P377" s="2" t="s">
        <v>4323</v>
      </c>
      <c r="Q377" s="2" t="s">
        <v>4324</v>
      </c>
      <c r="R377" s="2" t="s">
        <v>1490</v>
      </c>
      <c r="S377" s="2" t="s">
        <v>1491</v>
      </c>
      <c r="T377" s="2" t="s">
        <v>1492</v>
      </c>
      <c r="U377" s="2" t="s">
        <v>39</v>
      </c>
      <c r="V377" s="2" t="n">
        <v>1</v>
      </c>
    </row>
    <row r="378">
      <c r="A378" s="2" t="n">
        <v>377</v>
      </c>
      <c r="B378" s="2" t="s">
        <v>4325</v>
      </c>
      <c r="C378" s="2" t="n">
        <v>341.196962686</v>
      </c>
      <c r="D378" s="2" t="n">
        <v>10.447771590507</v>
      </c>
      <c r="E378" s="2" t="s">
        <v>4326</v>
      </c>
      <c r="F378" s="2" t="s">
        <v>110</v>
      </c>
      <c r="G378" s="2" t="s">
        <v>4327</v>
      </c>
      <c r="H378" s="2" t="s">
        <v>4328</v>
      </c>
      <c r="I378" s="2" t="s">
        <v>4329</v>
      </c>
      <c r="J378" s="2" t="s">
        <v>4330</v>
      </c>
      <c r="K378" s="2" t="s">
        <v>4331</v>
      </c>
      <c r="L378" s="2" t="s">
        <v>72</v>
      </c>
      <c r="M378" s="2" t="s">
        <v>4332</v>
      </c>
      <c r="N378" s="2" t="s">
        <v>4333</v>
      </c>
      <c r="O378" s="2" t="s">
        <v>4334</v>
      </c>
      <c r="P378" s="2" t="s">
        <v>4335</v>
      </c>
      <c r="Q378" s="2" t="s">
        <v>4336</v>
      </c>
      <c r="R378" s="2" t="s">
        <v>575</v>
      </c>
      <c r="S378" s="2" t="s">
        <v>576</v>
      </c>
      <c r="T378" s="2" t="s">
        <v>4337</v>
      </c>
      <c r="U378" s="2" t="s">
        <v>29</v>
      </c>
      <c r="V378" s="2" t="n">
        <v>2</v>
      </c>
    </row>
    <row r="379">
      <c r="A379" s="2" t="n">
        <v>378</v>
      </c>
      <c r="B379" s="2" t="s">
        <v>4338</v>
      </c>
      <c r="C379" s="2" t="n">
        <v>342.931523205</v>
      </c>
      <c r="D379" s="2" t="n">
        <v>4.27113696772437</v>
      </c>
      <c r="E379" s="2" t="s">
        <v>4339</v>
      </c>
      <c r="F379" s="2" t="s">
        <v>522</v>
      </c>
      <c r="G379" s="2" t="s">
        <v>4340</v>
      </c>
      <c r="H379" s="2" t="s">
        <v>4341</v>
      </c>
      <c r="I379" s="2" t="s">
        <v>4342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4343</v>
      </c>
      <c r="O379" s="2" t="s">
        <v>4344</v>
      </c>
      <c r="P379" s="2" t="s">
        <v>4345</v>
      </c>
      <c r="Q379" s="2" t="s">
        <v>4346</v>
      </c>
      <c r="R379" s="2" t="s">
        <v>64</v>
      </c>
      <c r="S379" s="2" t="s">
        <v>65</v>
      </c>
      <c r="T379" s="2" t="s">
        <v>66</v>
      </c>
      <c r="U379" s="2" t="s">
        <v>29</v>
      </c>
      <c r="V379" s="2" t="n">
        <v>1</v>
      </c>
    </row>
    <row r="380">
      <c r="A380" s="2" t="n">
        <v>379</v>
      </c>
      <c r="B380" s="2" t="s">
        <v>4347</v>
      </c>
      <c r="C380" s="2" t="n">
        <v>342.986993918</v>
      </c>
      <c r="D380" s="2" t="n">
        <v>0.448548394973021</v>
      </c>
      <c r="E380" s="2" t="s">
        <v>4348</v>
      </c>
      <c r="F380" s="2" t="s">
        <v>360</v>
      </c>
      <c r="G380" s="2" t="s">
        <v>4349</v>
      </c>
      <c r="H380" s="2" t="s">
        <v>4350</v>
      </c>
      <c r="I380" s="2" t="s">
        <v>4351</v>
      </c>
      <c r="J380" s="2" t="s">
        <v>4352</v>
      </c>
      <c r="K380" s="2" t="s">
        <v>29</v>
      </c>
      <c r="L380" s="2" t="s">
        <v>4353</v>
      </c>
      <c r="M380" s="2" t="s">
        <v>4354</v>
      </c>
      <c r="N380" s="2" t="s">
        <v>4355</v>
      </c>
      <c r="O380" s="2" t="s">
        <v>4356</v>
      </c>
      <c r="P380" s="2" t="s">
        <v>4357</v>
      </c>
      <c r="Q380" s="2" t="s">
        <v>4358</v>
      </c>
      <c r="R380" s="2" t="s">
        <v>502</v>
      </c>
      <c r="S380" s="2" t="s">
        <v>503</v>
      </c>
      <c r="T380" s="2" t="s">
        <v>504</v>
      </c>
      <c r="U380" s="2" t="s">
        <v>39</v>
      </c>
      <c r="V380" s="2" t="n">
        <v>1</v>
      </c>
    </row>
    <row r="381">
      <c r="A381" s="2" t="n">
        <v>380</v>
      </c>
      <c r="B381" s="2" t="s">
        <v>4359</v>
      </c>
      <c r="C381" s="2" t="n">
        <v>343.170354013</v>
      </c>
      <c r="D381" s="2" t="n">
        <v>0.160051107503584</v>
      </c>
      <c r="E381" s="2" t="s">
        <v>4360</v>
      </c>
      <c r="F381" s="2" t="s">
        <v>110</v>
      </c>
      <c r="G381" s="2" t="s">
        <v>4361</v>
      </c>
      <c r="H381" s="2" t="s">
        <v>4362</v>
      </c>
      <c r="I381" s="2" t="s">
        <v>4363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4364</v>
      </c>
      <c r="O381" s="2" t="s">
        <v>29</v>
      </c>
      <c r="P381" s="2" t="s">
        <v>4365</v>
      </c>
      <c r="Q381" s="2" t="s">
        <v>4366</v>
      </c>
      <c r="R381" s="2" t="s">
        <v>2509</v>
      </c>
      <c r="S381" s="2" t="s">
        <v>4367</v>
      </c>
      <c r="T381" s="2" t="s">
        <v>205</v>
      </c>
      <c r="U381" s="2" t="s">
        <v>29</v>
      </c>
      <c r="V381" s="2" t="n">
        <v>1</v>
      </c>
    </row>
    <row r="382">
      <c r="A382" s="2" t="n">
        <v>381</v>
      </c>
      <c r="B382" s="2" t="s">
        <v>4368</v>
      </c>
      <c r="C382" s="2" t="n">
        <v>345.046335271</v>
      </c>
      <c r="D382" s="2" t="n">
        <v>2.67979372886475</v>
      </c>
      <c r="E382" s="2" t="s">
        <v>4369</v>
      </c>
      <c r="F382" s="2" t="s">
        <v>110</v>
      </c>
      <c r="G382" s="2" t="s">
        <v>4370</v>
      </c>
      <c r="H382" s="2" t="s">
        <v>4371</v>
      </c>
      <c r="I382" s="2" t="s">
        <v>4372</v>
      </c>
      <c r="J382" s="2" t="s">
        <v>72</v>
      </c>
      <c r="K382" s="2" t="s">
        <v>72</v>
      </c>
      <c r="L382" s="2" t="s">
        <v>72</v>
      </c>
      <c r="M382" s="2" t="s">
        <v>72</v>
      </c>
      <c r="N382" s="2" t="s">
        <v>4373</v>
      </c>
      <c r="O382" s="2" t="s">
        <v>72</v>
      </c>
      <c r="P382" s="2" t="s">
        <v>4374</v>
      </c>
      <c r="Q382" s="2" t="s">
        <v>4375</v>
      </c>
      <c r="R382" s="2" t="s">
        <v>4376</v>
      </c>
      <c r="S382" s="2" t="s">
        <v>4377</v>
      </c>
      <c r="T382" s="2" t="s">
        <v>4378</v>
      </c>
      <c r="U382" s="2" t="s">
        <v>29</v>
      </c>
      <c r="V382" s="2" t="n">
        <v>2</v>
      </c>
    </row>
    <row r="383">
      <c r="A383" s="2" t="n">
        <v>382</v>
      </c>
      <c r="B383" s="2" t="s">
        <v>4379</v>
      </c>
      <c r="C383" s="2" t="n">
        <v>345.185453762</v>
      </c>
      <c r="D383" s="2" t="n">
        <v>4.08900604753779</v>
      </c>
      <c r="E383" s="2" t="s">
        <v>4380</v>
      </c>
      <c r="F383" s="2" t="s">
        <v>42</v>
      </c>
      <c r="G383" s="2" t="s">
        <v>4381</v>
      </c>
      <c r="H383" s="2" t="s">
        <v>4382</v>
      </c>
      <c r="I383" s="2" t="s">
        <v>4383</v>
      </c>
      <c r="J383" s="2" t="s">
        <v>4384</v>
      </c>
      <c r="K383" s="2" t="s">
        <v>72</v>
      </c>
      <c r="L383" s="2" t="s">
        <v>72</v>
      </c>
      <c r="M383" s="2" t="s">
        <v>4385</v>
      </c>
      <c r="N383" s="2" t="s">
        <v>4386</v>
      </c>
      <c r="O383" s="2" t="s">
        <v>4387</v>
      </c>
      <c r="P383" s="2" t="s">
        <v>4388</v>
      </c>
      <c r="Q383" s="2" t="s">
        <v>4389</v>
      </c>
      <c r="R383" s="2" t="s">
        <v>4390</v>
      </c>
      <c r="S383" s="2" t="s">
        <v>4391</v>
      </c>
      <c r="T383" s="2" t="s">
        <v>4392</v>
      </c>
      <c r="U383" s="2" t="s">
        <v>29</v>
      </c>
      <c r="V383" s="2" t="n">
        <v>2</v>
      </c>
    </row>
    <row r="384">
      <c r="A384" s="2" t="n">
        <v>383</v>
      </c>
      <c r="B384" s="2" t="s">
        <v>4393</v>
      </c>
      <c r="C384" s="2" t="n">
        <v>346.055808339</v>
      </c>
      <c r="D384" s="2" t="n">
        <v>2.12330763772156</v>
      </c>
      <c r="E384" s="2" t="s">
        <v>4394</v>
      </c>
      <c r="F384" s="2" t="s">
        <v>110</v>
      </c>
      <c r="G384" s="2" t="s">
        <v>4395</v>
      </c>
      <c r="H384" s="2" t="s">
        <v>4396</v>
      </c>
      <c r="I384" s="2" t="s">
        <v>4397</v>
      </c>
      <c r="J384" s="2" t="s">
        <v>4398</v>
      </c>
      <c r="K384" s="2" t="s">
        <v>72</v>
      </c>
      <c r="L384" s="2" t="s">
        <v>4399</v>
      </c>
      <c r="M384" s="2" t="s">
        <v>4400</v>
      </c>
      <c r="N384" s="2" t="s">
        <v>4401</v>
      </c>
      <c r="O384" s="2" t="s">
        <v>4402</v>
      </c>
      <c r="P384" s="2" t="s">
        <v>4403</v>
      </c>
      <c r="Q384" s="2" t="s">
        <v>4404</v>
      </c>
      <c r="R384" s="2" t="s">
        <v>4405</v>
      </c>
      <c r="S384" s="2" t="s">
        <v>4406</v>
      </c>
      <c r="T384" s="2" t="s">
        <v>4407</v>
      </c>
      <c r="U384" s="2" t="s">
        <v>39</v>
      </c>
      <c r="V384" s="2" t="n">
        <v>2</v>
      </c>
    </row>
    <row r="385">
      <c r="A385" s="2" t="n">
        <v>384</v>
      </c>
      <c r="B385" s="2" t="s">
        <v>4408</v>
      </c>
      <c r="C385" s="2" t="n">
        <v>347.047394797</v>
      </c>
      <c r="D385" s="2" t="n">
        <v>2.25191694139716</v>
      </c>
      <c r="E385" s="2" t="s">
        <v>4409</v>
      </c>
      <c r="F385" s="2" t="s">
        <v>522</v>
      </c>
      <c r="G385" s="2" t="s">
        <v>4410</v>
      </c>
      <c r="H385" s="2" t="s">
        <v>4411</v>
      </c>
      <c r="I385" s="2" t="s">
        <v>4412</v>
      </c>
      <c r="J385" s="2" t="s">
        <v>29</v>
      </c>
      <c r="K385" s="2" t="s">
        <v>29</v>
      </c>
      <c r="L385" s="2" t="s">
        <v>29</v>
      </c>
      <c r="M385" s="2" t="s">
        <v>4413</v>
      </c>
      <c r="N385" s="2" t="s">
        <v>4414</v>
      </c>
      <c r="O385" s="2" t="s">
        <v>29</v>
      </c>
      <c r="P385" s="2" t="s">
        <v>4415</v>
      </c>
      <c r="Q385" s="2" t="s">
        <v>4416</v>
      </c>
      <c r="R385" s="2" t="s">
        <v>49</v>
      </c>
      <c r="S385" s="2" t="s">
        <v>165</v>
      </c>
      <c r="T385" s="2" t="s">
        <v>166</v>
      </c>
      <c r="U385" s="2" t="s">
        <v>29</v>
      </c>
      <c r="V385" s="2" t="n">
        <v>1</v>
      </c>
    </row>
    <row r="386">
      <c r="A386" s="2" t="n">
        <v>385</v>
      </c>
      <c r="B386" s="2" t="s">
        <v>4417</v>
      </c>
      <c r="C386" s="2" t="n">
        <v>347.197631394</v>
      </c>
      <c r="D386" s="2" t="n">
        <v>1.5844544433376</v>
      </c>
      <c r="E386" s="2" t="s">
        <v>4418</v>
      </c>
      <c r="F386" s="2" t="s">
        <v>110</v>
      </c>
      <c r="G386" s="2" t="s">
        <v>4419</v>
      </c>
      <c r="H386" s="2" t="s">
        <v>4420</v>
      </c>
      <c r="I386" s="2" t="s">
        <v>4421</v>
      </c>
      <c r="J386" s="2" t="s">
        <v>4422</v>
      </c>
      <c r="K386" s="2" t="s">
        <v>29</v>
      </c>
      <c r="L386" s="2" t="s">
        <v>29</v>
      </c>
      <c r="M386" s="2" t="s">
        <v>4423</v>
      </c>
      <c r="N386" s="2" t="s">
        <v>4424</v>
      </c>
      <c r="O386" s="2" t="s">
        <v>4425</v>
      </c>
      <c r="P386" s="2" t="s">
        <v>4426</v>
      </c>
      <c r="Q386" s="2" t="s">
        <v>4427</v>
      </c>
      <c r="R386" s="2" t="s">
        <v>355</v>
      </c>
      <c r="S386" s="2" t="s">
        <v>1580</v>
      </c>
      <c r="T386" s="2" t="s">
        <v>4428</v>
      </c>
      <c r="U386" s="2" t="s">
        <v>29</v>
      </c>
      <c r="V386" s="2" t="n">
        <v>1</v>
      </c>
    </row>
    <row r="387">
      <c r="A387" s="2" t="n">
        <v>386</v>
      </c>
      <c r="B387" s="2" t="s">
        <v>4429</v>
      </c>
      <c r="C387" s="2" t="n">
        <v>348.053876683</v>
      </c>
      <c r="D387" s="2" t="n">
        <v>1.7787131469911</v>
      </c>
      <c r="E387" s="2" t="s">
        <v>4430</v>
      </c>
      <c r="F387" s="2" t="s">
        <v>522</v>
      </c>
      <c r="G387" s="2" t="s">
        <v>4431</v>
      </c>
      <c r="H387" s="2" t="s">
        <v>4432</v>
      </c>
      <c r="I387" s="2" t="s">
        <v>4433</v>
      </c>
      <c r="J387" s="2" t="s">
        <v>4434</v>
      </c>
      <c r="K387" s="2" t="s">
        <v>72</v>
      </c>
      <c r="L387" s="2" t="s">
        <v>72</v>
      </c>
      <c r="M387" s="2" t="s">
        <v>4435</v>
      </c>
      <c r="N387" s="2" t="s">
        <v>4436</v>
      </c>
      <c r="O387" s="2" t="s">
        <v>4437</v>
      </c>
      <c r="P387" s="2" t="s">
        <v>4438</v>
      </c>
      <c r="Q387" s="2" t="s">
        <v>4439</v>
      </c>
      <c r="R387" s="2" t="s">
        <v>4405</v>
      </c>
      <c r="S387" s="2" t="s">
        <v>4440</v>
      </c>
      <c r="T387" s="2" t="s">
        <v>247</v>
      </c>
      <c r="U387" s="2" t="s">
        <v>29</v>
      </c>
      <c r="V387" s="2" t="n">
        <v>2</v>
      </c>
    </row>
    <row r="388">
      <c r="A388" s="2" t="n">
        <v>387</v>
      </c>
      <c r="B388" s="2" t="s">
        <v>4441</v>
      </c>
      <c r="C388" s="2" t="n">
        <v>348.152467796</v>
      </c>
      <c r="D388" s="2" t="n">
        <v>1.82361310287855</v>
      </c>
      <c r="E388" s="2" t="s">
        <v>4442</v>
      </c>
      <c r="F388" s="2" t="s">
        <v>24</v>
      </c>
      <c r="G388" s="2" t="s">
        <v>4443</v>
      </c>
      <c r="H388" s="2" t="s">
        <v>4444</v>
      </c>
      <c r="I388" s="2" t="s">
        <v>4445</v>
      </c>
      <c r="J388" s="2" t="s">
        <v>226</v>
      </c>
      <c r="K388" s="2" t="s">
        <v>226</v>
      </c>
      <c r="L388" s="2" t="s">
        <v>226</v>
      </c>
      <c r="M388" s="2" t="s">
        <v>4446</v>
      </c>
      <c r="N388" s="2" t="s">
        <v>4447</v>
      </c>
      <c r="O388" s="2" t="s">
        <v>4448</v>
      </c>
      <c r="P388" s="2" t="s">
        <v>4449</v>
      </c>
      <c r="Q388" s="2" t="s">
        <v>4450</v>
      </c>
      <c r="R388" s="2" t="s">
        <v>312</v>
      </c>
      <c r="S388" s="2" t="s">
        <v>313</v>
      </c>
      <c r="T388" s="2" t="s">
        <v>314</v>
      </c>
      <c r="U388" s="2" t="s">
        <v>29</v>
      </c>
      <c r="V388" s="2" t="n">
        <v>3</v>
      </c>
    </row>
    <row r="389">
      <c r="A389" s="2" t="n">
        <v>388</v>
      </c>
      <c r="B389" s="2" t="s">
        <v>4451</v>
      </c>
      <c r="C389" s="2" t="n">
        <v>348.912802484</v>
      </c>
      <c r="D389" s="2" t="n">
        <v>4.0361331933108</v>
      </c>
      <c r="E389" s="2" t="s">
        <v>4452</v>
      </c>
      <c r="F389" s="2" t="s">
        <v>24</v>
      </c>
      <c r="G389" s="2" t="s">
        <v>4453</v>
      </c>
      <c r="H389" s="2" t="s">
        <v>4454</v>
      </c>
      <c r="I389" s="2" t="s">
        <v>4455</v>
      </c>
      <c r="J389" s="2" t="s">
        <v>4456</v>
      </c>
      <c r="K389" s="2" t="s">
        <v>29</v>
      </c>
      <c r="L389" s="2" t="s">
        <v>4457</v>
      </c>
      <c r="M389" s="2" t="s">
        <v>4458</v>
      </c>
      <c r="N389" s="2" t="s">
        <v>4459</v>
      </c>
      <c r="O389" s="2" t="s">
        <v>4460</v>
      </c>
      <c r="P389" s="2" t="s">
        <v>4461</v>
      </c>
      <c r="Q389" s="2" t="s">
        <v>4462</v>
      </c>
      <c r="R389" s="2" t="s">
        <v>502</v>
      </c>
      <c r="S389" s="2" t="s">
        <v>503</v>
      </c>
      <c r="T389" s="2" t="s">
        <v>1964</v>
      </c>
      <c r="U389" s="2" t="s">
        <v>39</v>
      </c>
      <c r="V389" s="2" t="n">
        <v>1</v>
      </c>
    </row>
    <row r="390">
      <c r="A390" s="2" t="n">
        <v>389</v>
      </c>
      <c r="B390" s="2" t="s">
        <v>4463</v>
      </c>
      <c r="C390" s="2" t="n">
        <v>349.067735114</v>
      </c>
      <c r="D390" s="2" t="n">
        <v>1.32135429848464</v>
      </c>
      <c r="E390" s="2" t="s">
        <v>4464</v>
      </c>
      <c r="F390" s="2" t="s">
        <v>24</v>
      </c>
      <c r="G390" s="2" t="s">
        <v>4465</v>
      </c>
      <c r="H390" s="2" t="s">
        <v>4466</v>
      </c>
      <c r="I390" s="2" t="s">
        <v>4467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4468</v>
      </c>
      <c r="O390" s="2" t="s">
        <v>29</v>
      </c>
      <c r="P390" s="2" t="s">
        <v>4469</v>
      </c>
      <c r="Q390" s="2" t="s">
        <v>4470</v>
      </c>
      <c r="R390" s="2" t="s">
        <v>355</v>
      </c>
      <c r="S390" s="2" t="s">
        <v>874</v>
      </c>
      <c r="T390" s="2" t="s">
        <v>205</v>
      </c>
      <c r="U390" s="2" t="s">
        <v>29</v>
      </c>
      <c r="V390" s="2" t="n">
        <v>1</v>
      </c>
    </row>
    <row r="391">
      <c r="A391" s="2" t="n">
        <v>390</v>
      </c>
      <c r="B391" s="2" t="s">
        <v>4471</v>
      </c>
      <c r="C391" s="2" t="n">
        <v>350.907412823</v>
      </c>
      <c r="D391" s="2" t="n">
        <v>12.8707839450775</v>
      </c>
      <c r="E391" s="2" t="s">
        <v>4472</v>
      </c>
      <c r="F391" s="2" t="s">
        <v>110</v>
      </c>
      <c r="G391" s="2" t="s">
        <v>4473</v>
      </c>
      <c r="H391" s="2" t="s">
        <v>4474</v>
      </c>
      <c r="I391" s="2" t="s">
        <v>4475</v>
      </c>
      <c r="J391" s="2" t="s">
        <v>4476</v>
      </c>
      <c r="K391" s="2" t="s">
        <v>72</v>
      </c>
      <c r="L391" s="2" t="s">
        <v>4477</v>
      </c>
      <c r="M391" s="2" t="s">
        <v>4478</v>
      </c>
      <c r="N391" s="2" t="s">
        <v>4479</v>
      </c>
      <c r="O391" s="2" t="s">
        <v>4480</v>
      </c>
      <c r="P391" s="2" t="s">
        <v>4481</v>
      </c>
      <c r="Q391" s="2" t="s">
        <v>4482</v>
      </c>
      <c r="R391" s="2" t="s">
        <v>480</v>
      </c>
      <c r="S391" s="2" t="s">
        <v>1240</v>
      </c>
      <c r="T391" s="2" t="s">
        <v>4483</v>
      </c>
      <c r="U391" s="2" t="s">
        <v>39</v>
      </c>
      <c r="V391" s="2" t="n">
        <v>2</v>
      </c>
    </row>
    <row r="392">
      <c r="A392" s="2" t="n">
        <v>391</v>
      </c>
      <c r="B392" s="2" t="s">
        <v>4484</v>
      </c>
      <c r="C392" s="2" t="n">
        <v>351.072841586</v>
      </c>
      <c r="D392" s="2" t="n">
        <v>1.77551925806074</v>
      </c>
      <c r="E392" s="2" t="s">
        <v>4485</v>
      </c>
      <c r="F392" s="2" t="s">
        <v>110</v>
      </c>
      <c r="G392" s="2" t="s">
        <v>4486</v>
      </c>
      <c r="H392" s="2" t="s">
        <v>4487</v>
      </c>
      <c r="I392" s="2" t="s">
        <v>4488</v>
      </c>
      <c r="J392" s="2" t="s">
        <v>4489</v>
      </c>
      <c r="K392" s="2" t="s">
        <v>29</v>
      </c>
      <c r="L392" s="2" t="s">
        <v>29</v>
      </c>
      <c r="M392" s="2" t="s">
        <v>4490</v>
      </c>
      <c r="N392" s="2" t="s">
        <v>4491</v>
      </c>
      <c r="O392" s="2" t="s">
        <v>4492</v>
      </c>
      <c r="P392" s="2" t="s">
        <v>4493</v>
      </c>
      <c r="Q392" s="2" t="s">
        <v>4494</v>
      </c>
      <c r="R392" s="2" t="s">
        <v>2509</v>
      </c>
      <c r="S392" s="2" t="s">
        <v>4495</v>
      </c>
      <c r="T392" s="2" t="s">
        <v>205</v>
      </c>
      <c r="U392" s="2" t="s">
        <v>29</v>
      </c>
      <c r="V392" s="2" t="n">
        <v>1</v>
      </c>
    </row>
    <row r="393">
      <c r="A393" s="2" t="n">
        <v>392</v>
      </c>
      <c r="B393" s="2" t="s">
        <v>4496</v>
      </c>
      <c r="C393" s="2" t="n">
        <v>351.199940064</v>
      </c>
      <c r="D393" s="2" t="n">
        <v>0.299004855381526</v>
      </c>
      <c r="E393" s="2" t="s">
        <v>4497</v>
      </c>
      <c r="F393" s="2" t="s">
        <v>110</v>
      </c>
      <c r="G393" s="2" t="s">
        <v>4498</v>
      </c>
      <c r="H393" s="2" t="s">
        <v>4499</v>
      </c>
      <c r="I393" s="2" t="s">
        <v>4500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4501</v>
      </c>
      <c r="O393" s="2" t="s">
        <v>29</v>
      </c>
      <c r="P393" s="2" t="s">
        <v>4502</v>
      </c>
      <c r="Q393" s="2" t="s">
        <v>4503</v>
      </c>
      <c r="R393" s="2" t="s">
        <v>502</v>
      </c>
      <c r="S393" s="2" t="s">
        <v>503</v>
      </c>
      <c r="T393" s="2" t="s">
        <v>4504</v>
      </c>
      <c r="U393" s="2" t="s">
        <v>29</v>
      </c>
      <c r="V393" s="2" t="n">
        <v>1</v>
      </c>
    </row>
    <row r="394">
      <c r="A394" s="2" t="n">
        <v>393</v>
      </c>
      <c r="B394" s="2" t="s">
        <v>4505</v>
      </c>
      <c r="C394" s="2" t="n">
        <v>352.066373025</v>
      </c>
      <c r="D394" s="2" t="n">
        <v>5.88376273027088</v>
      </c>
      <c r="E394" s="2" t="s">
        <v>4506</v>
      </c>
      <c r="F394" s="2" t="s">
        <v>110</v>
      </c>
      <c r="G394" s="2" t="s">
        <v>4507</v>
      </c>
      <c r="H394" s="2" t="s">
        <v>4508</v>
      </c>
      <c r="I394" s="2" t="s">
        <v>4509</v>
      </c>
      <c r="J394" s="2" t="s">
        <v>4510</v>
      </c>
      <c r="K394" s="2" t="s">
        <v>29</v>
      </c>
      <c r="L394" s="2" t="s">
        <v>4511</v>
      </c>
      <c r="M394" s="2" t="s">
        <v>4512</v>
      </c>
      <c r="N394" s="2" t="s">
        <v>4513</v>
      </c>
      <c r="O394" s="2" t="s">
        <v>4514</v>
      </c>
      <c r="P394" s="2" t="s">
        <v>4515</v>
      </c>
      <c r="Q394" s="2" t="s">
        <v>4516</v>
      </c>
      <c r="R394" s="2" t="s">
        <v>64</v>
      </c>
      <c r="S394" s="2" t="s">
        <v>65</v>
      </c>
      <c r="T394" s="2" t="s">
        <v>66</v>
      </c>
      <c r="U394" s="2" t="s">
        <v>39</v>
      </c>
      <c r="V394" s="2" t="n">
        <v>1</v>
      </c>
    </row>
    <row r="395">
      <c r="A395" s="2" t="n">
        <v>394</v>
      </c>
      <c r="B395" s="2" t="s">
        <v>4517</v>
      </c>
      <c r="C395" s="2" t="n">
        <v>353.051420668</v>
      </c>
      <c r="D395" s="2" t="n">
        <v>9.90413010772545</v>
      </c>
      <c r="E395" s="2" t="s">
        <v>4518</v>
      </c>
      <c r="F395" s="2" t="s">
        <v>110</v>
      </c>
      <c r="G395" s="2" t="s">
        <v>4519</v>
      </c>
      <c r="H395" s="2" t="s">
        <v>4520</v>
      </c>
      <c r="I395" s="2" t="s">
        <v>4521</v>
      </c>
      <c r="J395" s="2" t="s">
        <v>4522</v>
      </c>
      <c r="K395" s="2" t="s">
        <v>29</v>
      </c>
      <c r="L395" s="2" t="s">
        <v>29</v>
      </c>
      <c r="M395" s="2" t="s">
        <v>4523</v>
      </c>
      <c r="N395" s="2" t="s">
        <v>4524</v>
      </c>
      <c r="O395" s="2" t="s">
        <v>4525</v>
      </c>
      <c r="P395" s="2" t="s">
        <v>4526</v>
      </c>
      <c r="Q395" s="2" t="s">
        <v>4527</v>
      </c>
      <c r="R395" s="2" t="s">
        <v>2509</v>
      </c>
      <c r="S395" s="2" t="s">
        <v>4528</v>
      </c>
      <c r="T395" s="2" t="s">
        <v>4529</v>
      </c>
      <c r="U395" s="2" t="s">
        <v>29</v>
      </c>
      <c r="V395" s="2" t="n">
        <v>1</v>
      </c>
    </row>
    <row r="396">
      <c r="A396" s="2" t="n">
        <v>395</v>
      </c>
      <c r="B396" s="2" t="s">
        <v>4530</v>
      </c>
      <c r="C396" s="2" t="n">
        <v>353.088529035</v>
      </c>
      <c r="D396" s="2" t="n">
        <v>0.073186912290785</v>
      </c>
      <c r="E396" s="2" t="s">
        <v>4531</v>
      </c>
      <c r="F396" s="2" t="s">
        <v>522</v>
      </c>
      <c r="G396" s="2" t="s">
        <v>4532</v>
      </c>
      <c r="H396" s="2" t="s">
        <v>4533</v>
      </c>
      <c r="I396" s="2" t="s">
        <v>4534</v>
      </c>
      <c r="J396" s="2" t="s">
        <v>4535</v>
      </c>
      <c r="K396" s="2" t="s">
        <v>29</v>
      </c>
      <c r="L396" s="2" t="s">
        <v>29</v>
      </c>
      <c r="M396" s="2" t="s">
        <v>29</v>
      </c>
      <c r="N396" s="2" t="s">
        <v>4536</v>
      </c>
      <c r="O396" s="2" t="s">
        <v>4537</v>
      </c>
      <c r="P396" s="2" t="s">
        <v>4538</v>
      </c>
      <c r="Q396" s="2" t="s">
        <v>4539</v>
      </c>
      <c r="R396" s="2" t="s">
        <v>502</v>
      </c>
      <c r="S396" s="2" t="s">
        <v>503</v>
      </c>
      <c r="T396" s="2" t="s">
        <v>1421</v>
      </c>
      <c r="U396" s="2" t="s">
        <v>29</v>
      </c>
      <c r="V396" s="2" t="n">
        <v>1</v>
      </c>
    </row>
    <row r="397">
      <c r="A397" s="2" t="n">
        <v>396</v>
      </c>
      <c r="B397" s="2" t="s">
        <v>4540</v>
      </c>
      <c r="C397" s="2" t="n">
        <v>353.2019601</v>
      </c>
      <c r="D397" s="2" t="n">
        <v>0.904443959384025</v>
      </c>
      <c r="E397" s="2" t="s">
        <v>4541</v>
      </c>
      <c r="F397" s="2" t="s">
        <v>522</v>
      </c>
      <c r="G397" s="2" t="s">
        <v>4542</v>
      </c>
      <c r="H397" s="2" t="s">
        <v>4543</v>
      </c>
      <c r="I397" s="2" t="s">
        <v>4544</v>
      </c>
      <c r="J397" s="2" t="s">
        <v>29</v>
      </c>
      <c r="K397" s="2" t="s">
        <v>4545</v>
      </c>
      <c r="L397" s="2" t="s">
        <v>29</v>
      </c>
      <c r="M397" s="2" t="s">
        <v>29</v>
      </c>
      <c r="N397" s="2" t="s">
        <v>4546</v>
      </c>
      <c r="O397" s="2" t="s">
        <v>29</v>
      </c>
      <c r="P397" s="2" t="s">
        <v>4547</v>
      </c>
      <c r="Q397" s="2" t="s">
        <v>4548</v>
      </c>
      <c r="R397" s="2" t="s">
        <v>1490</v>
      </c>
      <c r="S397" s="2" t="s">
        <v>1491</v>
      </c>
      <c r="T397" s="2" t="s">
        <v>1492</v>
      </c>
      <c r="U397" s="2" t="s">
        <v>29</v>
      </c>
      <c r="V397" s="2" t="n">
        <v>1</v>
      </c>
    </row>
    <row r="398">
      <c r="A398" s="2" t="n">
        <v>397</v>
      </c>
      <c r="B398" s="2" t="s">
        <v>4549</v>
      </c>
      <c r="C398" s="2" t="n">
        <v>354.082023089</v>
      </c>
      <c r="D398" s="2" t="n">
        <v>6.36106701300014</v>
      </c>
      <c r="E398" s="2" t="s">
        <v>4550</v>
      </c>
      <c r="F398" s="2" t="s">
        <v>110</v>
      </c>
      <c r="G398" s="2" t="s">
        <v>4551</v>
      </c>
      <c r="H398" s="2" t="s">
        <v>4552</v>
      </c>
      <c r="I398" s="2" t="s">
        <v>4553</v>
      </c>
      <c r="J398" s="2" t="s">
        <v>4554</v>
      </c>
      <c r="K398" s="2" t="s">
        <v>29</v>
      </c>
      <c r="L398" s="2" t="s">
        <v>4555</v>
      </c>
      <c r="M398" s="2" t="s">
        <v>4556</v>
      </c>
      <c r="N398" s="2" t="s">
        <v>4557</v>
      </c>
      <c r="O398" s="2" t="s">
        <v>29</v>
      </c>
      <c r="P398" s="2" t="s">
        <v>4558</v>
      </c>
      <c r="Q398" s="2" t="s">
        <v>4559</v>
      </c>
      <c r="R398" s="2" t="s">
        <v>64</v>
      </c>
      <c r="S398" s="2" t="s">
        <v>65</v>
      </c>
      <c r="T398" s="2" t="s">
        <v>66</v>
      </c>
      <c r="U398" s="2" t="s">
        <v>39</v>
      </c>
      <c r="V398" s="2" t="n">
        <v>1</v>
      </c>
    </row>
    <row r="399">
      <c r="A399" s="2" t="n">
        <v>398</v>
      </c>
      <c r="B399" s="2" t="s">
        <v>4560</v>
      </c>
      <c r="C399" s="2" t="n">
        <v>354.987726026</v>
      </c>
      <c r="D399" s="2" t="n">
        <v>1.89832424394947</v>
      </c>
      <c r="E399" s="2" t="s">
        <v>4561</v>
      </c>
      <c r="F399" s="2" t="s">
        <v>1019</v>
      </c>
      <c r="G399" s="2" t="s">
        <v>4562</v>
      </c>
      <c r="H399" s="2" t="s">
        <v>4563</v>
      </c>
      <c r="I399" s="2" t="s">
        <v>4564</v>
      </c>
      <c r="J399" s="2" t="s">
        <v>4565</v>
      </c>
      <c r="K399" s="2" t="s">
        <v>29</v>
      </c>
      <c r="L399" s="2" t="s">
        <v>4566</v>
      </c>
      <c r="M399" s="2" t="s">
        <v>29</v>
      </c>
      <c r="N399" s="2" t="s">
        <v>4567</v>
      </c>
      <c r="O399" s="2" t="s">
        <v>4568</v>
      </c>
      <c r="P399" s="2" t="s">
        <v>4569</v>
      </c>
      <c r="Q399" s="2" t="s">
        <v>4570</v>
      </c>
      <c r="R399" s="2" t="s">
        <v>851</v>
      </c>
      <c r="S399" s="2" t="s">
        <v>852</v>
      </c>
      <c r="T399" s="2" t="s">
        <v>853</v>
      </c>
      <c r="U399" s="2" t="s">
        <v>39</v>
      </c>
      <c r="V399" s="2" t="n">
        <v>1</v>
      </c>
    </row>
    <row r="400">
      <c r="A400" s="2" t="n">
        <v>399</v>
      </c>
      <c r="B400" s="2" t="s">
        <v>4571</v>
      </c>
      <c r="C400" s="2" t="n">
        <v>355.9765839</v>
      </c>
      <c r="D400" s="2" t="n">
        <v>8.64322891795129</v>
      </c>
      <c r="E400" s="2" t="s">
        <v>4572</v>
      </c>
      <c r="F400" s="2" t="s">
        <v>522</v>
      </c>
      <c r="G400" s="2" t="s">
        <v>4573</v>
      </c>
      <c r="H400" s="2" t="s">
        <v>4574</v>
      </c>
      <c r="I400" s="2" t="s">
        <v>4575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4576</v>
      </c>
      <c r="O400" s="2" t="s">
        <v>29</v>
      </c>
      <c r="P400" s="2" t="s">
        <v>4577</v>
      </c>
      <c r="Q400" s="2" t="s">
        <v>4578</v>
      </c>
      <c r="R400" s="2" t="s">
        <v>355</v>
      </c>
      <c r="S400" s="2" t="s">
        <v>4579</v>
      </c>
      <c r="T400" s="2" t="s">
        <v>205</v>
      </c>
      <c r="U400" s="2" t="s">
        <v>29</v>
      </c>
      <c r="V400" s="2" t="n">
        <v>1</v>
      </c>
    </row>
    <row r="401">
      <c r="A401" s="2" t="n">
        <v>400</v>
      </c>
      <c r="B401" s="2" t="s">
        <v>4580</v>
      </c>
      <c r="C401" s="2" t="n">
        <v>356.093806345</v>
      </c>
      <c r="D401" s="2" t="n">
        <v>4.52453894756575</v>
      </c>
      <c r="E401" s="2" t="s">
        <v>4581</v>
      </c>
      <c r="F401" s="2" t="s">
        <v>110</v>
      </c>
      <c r="G401" s="2" t="s">
        <v>4582</v>
      </c>
      <c r="H401" s="2" t="s">
        <v>4583</v>
      </c>
      <c r="I401" s="2" t="s">
        <v>4584</v>
      </c>
      <c r="J401" s="2" t="s">
        <v>4585</v>
      </c>
      <c r="K401" s="2" t="s">
        <v>29</v>
      </c>
      <c r="L401" s="2" t="s">
        <v>29</v>
      </c>
      <c r="M401" s="2" t="s">
        <v>29</v>
      </c>
      <c r="N401" s="2" t="s">
        <v>4586</v>
      </c>
      <c r="O401" s="2" t="s">
        <v>29</v>
      </c>
      <c r="P401" s="2" t="s">
        <v>4587</v>
      </c>
      <c r="Q401" s="2" t="s">
        <v>4588</v>
      </c>
      <c r="R401" s="2" t="s">
        <v>355</v>
      </c>
      <c r="S401" s="2" t="s">
        <v>1396</v>
      </c>
      <c r="T401" s="2" t="s">
        <v>205</v>
      </c>
      <c r="U401" s="2" t="s">
        <v>29</v>
      </c>
      <c r="V401" s="2" t="n">
        <v>1</v>
      </c>
    </row>
    <row r="402">
      <c r="A402" s="2" t="n">
        <v>401</v>
      </c>
      <c r="B402" s="2" t="s">
        <v>4589</v>
      </c>
      <c r="C402" s="2" t="n">
        <v>357.026003978</v>
      </c>
      <c r="D402" s="2" t="n">
        <v>4.75730414596108</v>
      </c>
      <c r="E402" s="2" t="s">
        <v>4590</v>
      </c>
      <c r="F402" s="2" t="s">
        <v>522</v>
      </c>
      <c r="G402" s="2" t="s">
        <v>4591</v>
      </c>
      <c r="H402" s="2" t="s">
        <v>4592</v>
      </c>
      <c r="I402" s="2" t="s">
        <v>4593</v>
      </c>
      <c r="J402" s="2" t="s">
        <v>4594</v>
      </c>
      <c r="K402" s="2" t="s">
        <v>29</v>
      </c>
      <c r="L402" s="2" t="s">
        <v>3681</v>
      </c>
      <c r="M402" s="2" t="s">
        <v>3682</v>
      </c>
      <c r="N402" s="2" t="s">
        <v>4595</v>
      </c>
      <c r="O402" s="2" t="s">
        <v>4596</v>
      </c>
      <c r="P402" s="2" t="s">
        <v>4597</v>
      </c>
      <c r="Q402" s="2" t="s">
        <v>4598</v>
      </c>
      <c r="R402" s="2" t="s">
        <v>2590</v>
      </c>
      <c r="S402" s="2" t="s">
        <v>4599</v>
      </c>
      <c r="T402" s="2" t="s">
        <v>4600</v>
      </c>
      <c r="U402" s="2" t="s">
        <v>39</v>
      </c>
      <c r="V402" s="2" t="n">
        <v>1</v>
      </c>
    </row>
    <row r="403">
      <c r="A403" s="2" t="n">
        <v>402</v>
      </c>
      <c r="B403" s="2" t="s">
        <v>4601</v>
      </c>
      <c r="C403" s="2" t="n">
        <v>357.993764235</v>
      </c>
      <c r="D403" s="2" t="n">
        <v>2.34462558399241</v>
      </c>
      <c r="E403" s="2" t="s">
        <v>4602</v>
      </c>
      <c r="F403" s="2" t="s">
        <v>360</v>
      </c>
      <c r="G403" s="2" t="s">
        <v>4603</v>
      </c>
      <c r="H403" s="2" t="s">
        <v>4604</v>
      </c>
      <c r="I403" s="2" t="s">
        <v>4605</v>
      </c>
      <c r="J403" s="2" t="s">
        <v>226</v>
      </c>
      <c r="K403" s="2" t="s">
        <v>226</v>
      </c>
      <c r="L403" s="2" t="s">
        <v>226</v>
      </c>
      <c r="M403" s="2" t="s">
        <v>4606</v>
      </c>
      <c r="N403" s="2" t="s">
        <v>4607</v>
      </c>
      <c r="O403" s="2" t="s">
        <v>4608</v>
      </c>
      <c r="P403" s="2" t="s">
        <v>4609</v>
      </c>
      <c r="Q403" s="2" t="s">
        <v>4610</v>
      </c>
      <c r="R403" s="2" t="s">
        <v>230</v>
      </c>
      <c r="S403" s="2" t="s">
        <v>4611</v>
      </c>
      <c r="T403" s="2" t="s">
        <v>4612</v>
      </c>
      <c r="U403" s="2" t="s">
        <v>29</v>
      </c>
      <c r="V403" s="2" t="n">
        <v>3</v>
      </c>
    </row>
    <row r="404">
      <c r="A404" s="2" t="n">
        <v>403</v>
      </c>
      <c r="B404" s="2" t="s">
        <v>4613</v>
      </c>
      <c r="C404" s="2" t="n">
        <v>359.055460657</v>
      </c>
      <c r="D404" s="2" t="n">
        <v>8.91342662582848</v>
      </c>
      <c r="E404" s="2" t="s">
        <v>4614</v>
      </c>
      <c r="F404" s="2" t="s">
        <v>110</v>
      </c>
      <c r="G404" s="2" t="s">
        <v>4615</v>
      </c>
      <c r="H404" s="2" t="s">
        <v>4616</v>
      </c>
      <c r="I404" s="2" t="s">
        <v>4617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4618</v>
      </c>
      <c r="O404" s="2" t="s">
        <v>29</v>
      </c>
      <c r="P404" s="2" t="s">
        <v>4619</v>
      </c>
      <c r="Q404" s="2" t="s">
        <v>4620</v>
      </c>
      <c r="R404" s="2" t="s">
        <v>49</v>
      </c>
      <c r="S404" s="2" t="s">
        <v>165</v>
      </c>
      <c r="T404" s="2" t="s">
        <v>166</v>
      </c>
      <c r="U404" s="2" t="s">
        <v>29</v>
      </c>
      <c r="V404" s="2" t="n">
        <v>1</v>
      </c>
    </row>
    <row r="405">
      <c r="A405" s="2" t="n">
        <v>404</v>
      </c>
      <c r="B405" s="2" t="s">
        <v>4621</v>
      </c>
      <c r="C405" s="2" t="n">
        <v>361.06956954</v>
      </c>
      <c r="D405" s="2" t="n">
        <v>2.00888875004845</v>
      </c>
      <c r="E405" s="2" t="s">
        <v>4622</v>
      </c>
      <c r="F405" s="2" t="s">
        <v>522</v>
      </c>
      <c r="G405" s="2" t="s">
        <v>4623</v>
      </c>
      <c r="H405" s="2" t="s">
        <v>4624</v>
      </c>
      <c r="I405" s="2" t="s">
        <v>4625</v>
      </c>
      <c r="J405" s="2" t="s">
        <v>4626</v>
      </c>
      <c r="K405" s="2" t="s">
        <v>226</v>
      </c>
      <c r="L405" s="2" t="s">
        <v>4627</v>
      </c>
      <c r="M405" s="2" t="s">
        <v>4628</v>
      </c>
      <c r="N405" s="2" t="s">
        <v>4629</v>
      </c>
      <c r="O405" s="2" t="s">
        <v>4630</v>
      </c>
      <c r="P405" s="2" t="s">
        <v>4631</v>
      </c>
      <c r="Q405" s="2" t="s">
        <v>4632</v>
      </c>
      <c r="R405" s="2" t="s">
        <v>4633</v>
      </c>
      <c r="S405" s="2" t="s">
        <v>4634</v>
      </c>
      <c r="T405" s="2" t="s">
        <v>4635</v>
      </c>
      <c r="U405" s="2" t="s">
        <v>39</v>
      </c>
      <c r="V405" s="2" t="n">
        <v>3</v>
      </c>
    </row>
    <row r="406">
      <c r="A406" s="2" t="n">
        <v>405</v>
      </c>
      <c r="B406" s="2" t="s">
        <v>4636</v>
      </c>
      <c r="C406" s="2" t="n">
        <v>362.0527296</v>
      </c>
      <c r="D406" s="2" t="n">
        <v>2.45212878236207</v>
      </c>
      <c r="E406" s="2" t="s">
        <v>4637</v>
      </c>
      <c r="F406" s="2" t="s">
        <v>522</v>
      </c>
      <c r="G406" s="2" t="s">
        <v>4638</v>
      </c>
      <c r="H406" s="2" t="s">
        <v>4639</v>
      </c>
      <c r="I406" s="2" t="s">
        <v>4640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4641</v>
      </c>
      <c r="O406" s="2" t="s">
        <v>29</v>
      </c>
      <c r="P406" s="2" t="s">
        <v>4642</v>
      </c>
      <c r="Q406" s="2" t="s">
        <v>4643</v>
      </c>
      <c r="R406" s="2" t="s">
        <v>64</v>
      </c>
      <c r="S406" s="2" t="s">
        <v>65</v>
      </c>
      <c r="T406" s="2" t="s">
        <v>66</v>
      </c>
      <c r="U406" s="2" t="s">
        <v>29</v>
      </c>
      <c r="V406" s="2" t="n">
        <v>1</v>
      </c>
    </row>
    <row r="407">
      <c r="A407" s="2" t="n">
        <v>406</v>
      </c>
      <c r="B407" s="2" t="s">
        <v>4644</v>
      </c>
      <c r="C407" s="2" t="n">
        <v>362.95539178</v>
      </c>
      <c r="D407" s="2" t="n">
        <v>18.8095334674853</v>
      </c>
      <c r="E407" s="2" t="s">
        <v>4645</v>
      </c>
      <c r="F407" s="2" t="s">
        <v>1019</v>
      </c>
      <c r="G407" s="2" t="s">
        <v>4646</v>
      </c>
      <c r="H407" s="2" t="s">
        <v>4647</v>
      </c>
      <c r="I407" s="2" t="s">
        <v>4648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4649</v>
      </c>
      <c r="O407" s="2" t="s">
        <v>29</v>
      </c>
      <c r="P407" s="2" t="s">
        <v>4650</v>
      </c>
      <c r="Q407" s="2" t="s">
        <v>4651</v>
      </c>
      <c r="R407" s="2" t="s">
        <v>502</v>
      </c>
      <c r="S407" s="2" t="s">
        <v>1528</v>
      </c>
      <c r="T407" s="2" t="s">
        <v>205</v>
      </c>
      <c r="U407" s="2" t="s">
        <v>29</v>
      </c>
      <c r="V407" s="2" t="n">
        <v>1</v>
      </c>
    </row>
    <row r="408">
      <c r="A408" s="2" t="n">
        <v>407</v>
      </c>
      <c r="B408" s="2" t="s">
        <v>4652</v>
      </c>
      <c r="C408" s="2" t="n">
        <v>364.05281379</v>
      </c>
      <c r="D408" s="2" t="n">
        <v>0.966623479350082</v>
      </c>
      <c r="E408" s="2" t="s">
        <v>4653</v>
      </c>
      <c r="F408" s="2" t="s">
        <v>110</v>
      </c>
      <c r="G408" s="2" t="s">
        <v>4654</v>
      </c>
      <c r="H408" s="2" t="s">
        <v>4655</v>
      </c>
      <c r="I408" s="2" t="s">
        <v>4656</v>
      </c>
      <c r="J408" s="2" t="s">
        <v>4657</v>
      </c>
      <c r="K408" s="2" t="s">
        <v>72</v>
      </c>
      <c r="L408" s="2" t="s">
        <v>4658</v>
      </c>
      <c r="M408" s="2" t="s">
        <v>4659</v>
      </c>
      <c r="N408" s="2" t="s">
        <v>4660</v>
      </c>
      <c r="O408" s="2" t="s">
        <v>4661</v>
      </c>
      <c r="P408" s="2" t="s">
        <v>4662</v>
      </c>
      <c r="Q408" s="2" t="s">
        <v>4663</v>
      </c>
      <c r="R408" s="2" t="s">
        <v>1097</v>
      </c>
      <c r="S408" s="2" t="s">
        <v>4664</v>
      </c>
      <c r="T408" s="2" t="s">
        <v>4665</v>
      </c>
      <c r="U408" s="2" t="s">
        <v>39</v>
      </c>
      <c r="V408" s="2" t="n">
        <v>2</v>
      </c>
    </row>
    <row r="409">
      <c r="A409" s="2" t="n">
        <v>408</v>
      </c>
      <c r="B409" s="2" t="s">
        <v>4666</v>
      </c>
      <c r="C409" s="2" t="n">
        <v>365.342504716</v>
      </c>
      <c r="D409" s="2" t="n">
        <v>1.2789092361188</v>
      </c>
      <c r="E409" s="2" t="s">
        <v>4667</v>
      </c>
      <c r="F409" s="2" t="s">
        <v>110</v>
      </c>
      <c r="G409" s="2" t="s">
        <v>4668</v>
      </c>
      <c r="H409" s="2" t="s">
        <v>4669</v>
      </c>
      <c r="I409" s="2" t="s">
        <v>4670</v>
      </c>
      <c r="J409" s="2" t="s">
        <v>4671</v>
      </c>
      <c r="K409" s="2" t="s">
        <v>4672</v>
      </c>
      <c r="L409" s="2" t="s">
        <v>4673</v>
      </c>
      <c r="M409" s="2" t="s">
        <v>4674</v>
      </c>
      <c r="N409" s="2" t="s">
        <v>4675</v>
      </c>
      <c r="O409" s="2" t="s">
        <v>4676</v>
      </c>
      <c r="P409" s="2" t="s">
        <v>4677</v>
      </c>
      <c r="Q409" s="2" t="s">
        <v>4678</v>
      </c>
      <c r="R409" s="2" t="s">
        <v>1490</v>
      </c>
      <c r="S409" s="2" t="s">
        <v>1491</v>
      </c>
      <c r="T409" s="2" t="s">
        <v>1492</v>
      </c>
      <c r="U409" s="2" t="s">
        <v>39</v>
      </c>
      <c r="V409" s="2" t="n">
        <v>1</v>
      </c>
    </row>
    <row r="410">
      <c r="A410" s="2" t="n">
        <v>409</v>
      </c>
      <c r="B410" s="2" t="s">
        <v>4679</v>
      </c>
      <c r="C410" s="2" t="n">
        <v>366.956324869</v>
      </c>
      <c r="D410" s="2" t="n">
        <v>7.89334772657275</v>
      </c>
      <c r="E410" s="2" t="s">
        <v>4680</v>
      </c>
      <c r="F410" s="2" t="s">
        <v>250</v>
      </c>
      <c r="G410" s="2" t="s">
        <v>4681</v>
      </c>
      <c r="H410" s="2" t="s">
        <v>4682</v>
      </c>
      <c r="I410" s="2" t="s">
        <v>4683</v>
      </c>
      <c r="J410" s="2" t="s">
        <v>4684</v>
      </c>
      <c r="K410" s="2" t="s">
        <v>29</v>
      </c>
      <c r="L410" s="2" t="s">
        <v>4685</v>
      </c>
      <c r="M410" s="2" t="s">
        <v>4686</v>
      </c>
      <c r="N410" s="2" t="s">
        <v>4687</v>
      </c>
      <c r="O410" s="2" t="s">
        <v>4688</v>
      </c>
      <c r="P410" s="2" t="s">
        <v>4689</v>
      </c>
      <c r="Q410" s="2" t="s">
        <v>4690</v>
      </c>
      <c r="R410" s="2" t="s">
        <v>502</v>
      </c>
      <c r="S410" s="2" t="s">
        <v>503</v>
      </c>
      <c r="T410" s="2" t="s">
        <v>1964</v>
      </c>
      <c r="U410" s="2" t="s">
        <v>39</v>
      </c>
      <c r="V410" s="2" t="n">
        <v>1</v>
      </c>
    </row>
    <row r="411">
      <c r="A411" s="2" t="n">
        <v>410</v>
      </c>
      <c r="B411" s="2" t="s">
        <v>4691</v>
      </c>
      <c r="C411" s="2" t="n">
        <v>367.104179099</v>
      </c>
      <c r="D411" s="2" t="n">
        <v>0.546803145945742</v>
      </c>
      <c r="E411" s="2" t="s">
        <v>4692</v>
      </c>
      <c r="F411" s="2" t="s">
        <v>522</v>
      </c>
      <c r="G411" s="2" t="s">
        <v>4693</v>
      </c>
      <c r="H411" s="2" t="s">
        <v>4694</v>
      </c>
      <c r="I411" s="2" t="s">
        <v>4695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4696</v>
      </c>
      <c r="O411" s="2" t="s">
        <v>29</v>
      </c>
      <c r="P411" s="2" t="s">
        <v>4697</v>
      </c>
      <c r="Q411" s="2" t="s">
        <v>4698</v>
      </c>
      <c r="R411" s="2" t="s">
        <v>502</v>
      </c>
      <c r="S411" s="2" t="s">
        <v>503</v>
      </c>
      <c r="T411" s="2" t="s">
        <v>2174</v>
      </c>
      <c r="U411" s="2" t="s">
        <v>29</v>
      </c>
      <c r="V411" s="2" t="n">
        <v>1</v>
      </c>
    </row>
    <row r="412">
      <c r="A412" s="2" t="n">
        <v>411</v>
      </c>
      <c r="B412" s="2" t="s">
        <v>4699</v>
      </c>
      <c r="C412" s="2" t="n">
        <v>367.35815478</v>
      </c>
      <c r="D412" s="2" t="n">
        <v>5.58200547820978</v>
      </c>
      <c r="E412" s="2" t="s">
        <v>4700</v>
      </c>
      <c r="F412" s="2" t="s">
        <v>110</v>
      </c>
      <c r="G412" s="2" t="s">
        <v>4701</v>
      </c>
      <c r="H412" s="2" t="s">
        <v>4702</v>
      </c>
      <c r="I412" s="2" t="s">
        <v>4703</v>
      </c>
      <c r="J412" s="2" t="s">
        <v>4704</v>
      </c>
      <c r="K412" s="2" t="s">
        <v>4705</v>
      </c>
      <c r="L412" s="2" t="s">
        <v>4706</v>
      </c>
      <c r="M412" s="2" t="s">
        <v>4707</v>
      </c>
      <c r="N412" s="2" t="s">
        <v>4708</v>
      </c>
      <c r="O412" s="2" t="s">
        <v>4709</v>
      </c>
      <c r="P412" s="2" t="s">
        <v>4710</v>
      </c>
      <c r="Q412" s="2" t="s">
        <v>4711</v>
      </c>
      <c r="R412" s="2" t="s">
        <v>1490</v>
      </c>
      <c r="S412" s="2" t="s">
        <v>1491</v>
      </c>
      <c r="T412" s="2" t="s">
        <v>1492</v>
      </c>
      <c r="U412" s="2" t="s">
        <v>39</v>
      </c>
      <c r="V412" s="2" t="n">
        <v>1</v>
      </c>
    </row>
    <row r="413">
      <c r="A413" s="2" t="n">
        <v>412</v>
      </c>
      <c r="B413" s="2" t="s">
        <v>4712</v>
      </c>
      <c r="C413" s="2" t="n">
        <v>368.984125836</v>
      </c>
      <c r="D413" s="2" t="n">
        <v>7.1173041910733</v>
      </c>
      <c r="E413" s="2" t="s">
        <v>4713</v>
      </c>
      <c r="F413" s="2" t="s">
        <v>522</v>
      </c>
      <c r="G413" s="2" t="s">
        <v>4714</v>
      </c>
      <c r="H413" s="2" t="s">
        <v>4715</v>
      </c>
      <c r="I413" s="2" t="s">
        <v>4716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4717</v>
      </c>
      <c r="O413" s="2" t="s">
        <v>29</v>
      </c>
      <c r="P413" s="2" t="s">
        <v>4718</v>
      </c>
      <c r="Q413" s="2" t="s">
        <v>4719</v>
      </c>
      <c r="R413" s="2" t="s">
        <v>2509</v>
      </c>
      <c r="S413" s="2" t="s">
        <v>4720</v>
      </c>
      <c r="T413" s="2" t="s">
        <v>4721</v>
      </c>
      <c r="U413" s="2" t="s">
        <v>29</v>
      </c>
      <c r="V413" s="2" t="n">
        <v>1</v>
      </c>
    </row>
    <row r="414">
      <c r="A414" s="2" t="n">
        <v>413</v>
      </c>
      <c r="B414" s="2" t="s">
        <v>4722</v>
      </c>
      <c r="C414" s="2" t="n">
        <v>369.97284891</v>
      </c>
      <c r="D414" s="2" t="n">
        <v>4.22400473186182</v>
      </c>
      <c r="E414" s="2" t="s">
        <v>4723</v>
      </c>
      <c r="F414" s="2" t="s">
        <v>110</v>
      </c>
      <c r="G414" s="2" t="s">
        <v>4724</v>
      </c>
      <c r="H414" s="2" t="s">
        <v>4725</v>
      </c>
      <c r="I414" s="2" t="s">
        <v>4726</v>
      </c>
      <c r="J414" s="2" t="s">
        <v>29</v>
      </c>
      <c r="K414" s="2" t="s">
        <v>29</v>
      </c>
      <c r="L414" s="2" t="s">
        <v>29</v>
      </c>
      <c r="M414" s="2" t="s">
        <v>4727</v>
      </c>
      <c r="N414" s="2" t="s">
        <v>4728</v>
      </c>
      <c r="O414" s="2" t="s">
        <v>4729</v>
      </c>
      <c r="P414" s="2" t="s">
        <v>4730</v>
      </c>
      <c r="Q414" s="2" t="s">
        <v>4731</v>
      </c>
      <c r="R414" s="2" t="s">
        <v>355</v>
      </c>
      <c r="S414" s="2" t="s">
        <v>4732</v>
      </c>
      <c r="T414" s="2" t="s">
        <v>205</v>
      </c>
      <c r="U414" s="2" t="s">
        <v>29</v>
      </c>
      <c r="V414" s="2" t="n">
        <v>1</v>
      </c>
    </row>
    <row r="415">
      <c r="A415" s="2" t="n">
        <v>414</v>
      </c>
      <c r="B415" s="2" t="s">
        <v>4733</v>
      </c>
      <c r="C415" s="2" t="n">
        <v>370.0383348</v>
      </c>
      <c r="D415" s="2" t="n">
        <v>3.7103249841004</v>
      </c>
      <c r="E415" s="2" t="s">
        <v>4734</v>
      </c>
      <c r="F415" s="2" t="s">
        <v>24</v>
      </c>
      <c r="G415" s="2" t="s">
        <v>4735</v>
      </c>
      <c r="H415" s="2" t="s">
        <v>4736</v>
      </c>
      <c r="I415" s="2" t="s">
        <v>4737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4738</v>
      </c>
      <c r="O415" s="2" t="s">
        <v>29</v>
      </c>
      <c r="P415" s="2" t="s">
        <v>4739</v>
      </c>
      <c r="Q415" s="2" t="s">
        <v>4740</v>
      </c>
      <c r="R415" s="2" t="s">
        <v>502</v>
      </c>
      <c r="S415" s="2" t="s">
        <v>503</v>
      </c>
      <c r="T415" s="2" t="s">
        <v>2313</v>
      </c>
      <c r="U415" s="2" t="s">
        <v>29</v>
      </c>
      <c r="V415" s="2" t="n">
        <v>1</v>
      </c>
    </row>
    <row r="416">
      <c r="A416" s="2" t="n">
        <v>415</v>
      </c>
      <c r="B416" s="2" t="s">
        <v>4741</v>
      </c>
      <c r="C416" s="2" t="n">
        <v>370.971455788</v>
      </c>
      <c r="D416" s="2" t="n">
        <v>0.550223072567186</v>
      </c>
      <c r="E416" s="2" t="s">
        <v>4742</v>
      </c>
      <c r="F416" s="2" t="s">
        <v>110</v>
      </c>
      <c r="G416" s="2" t="s">
        <v>4743</v>
      </c>
      <c r="H416" s="2" t="s">
        <v>4744</v>
      </c>
      <c r="I416" s="2" t="s">
        <v>4745</v>
      </c>
      <c r="J416" s="2" t="s">
        <v>4746</v>
      </c>
      <c r="K416" s="2" t="s">
        <v>29</v>
      </c>
      <c r="L416" s="2" t="s">
        <v>29</v>
      </c>
      <c r="M416" s="2" t="s">
        <v>29</v>
      </c>
      <c r="N416" s="2" t="s">
        <v>4747</v>
      </c>
      <c r="O416" s="2" t="s">
        <v>29</v>
      </c>
      <c r="P416" s="2" t="s">
        <v>4748</v>
      </c>
      <c r="Q416" s="2" t="s">
        <v>4749</v>
      </c>
      <c r="R416" s="2" t="s">
        <v>2509</v>
      </c>
      <c r="S416" s="2" t="s">
        <v>4750</v>
      </c>
      <c r="T416" s="2" t="s">
        <v>205</v>
      </c>
      <c r="U416" s="2" t="s">
        <v>29</v>
      </c>
      <c r="V416" s="2" t="n">
        <v>1</v>
      </c>
    </row>
    <row r="417">
      <c r="A417" s="2" t="n">
        <v>416</v>
      </c>
      <c r="B417" s="2" t="s">
        <v>4751</v>
      </c>
      <c r="C417" s="2" t="n">
        <v>371.05076514</v>
      </c>
      <c r="D417" s="2" t="n">
        <v>1.07231135194106</v>
      </c>
      <c r="E417" s="2" t="s">
        <v>4752</v>
      </c>
      <c r="F417" s="2" t="s">
        <v>522</v>
      </c>
      <c r="G417" s="2" t="s">
        <v>4753</v>
      </c>
      <c r="H417" s="2" t="s">
        <v>4754</v>
      </c>
      <c r="I417" s="2" t="s">
        <v>4755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4756</v>
      </c>
      <c r="O417" s="2" t="s">
        <v>29</v>
      </c>
      <c r="P417" s="2" t="s">
        <v>4757</v>
      </c>
      <c r="Q417" s="2" t="s">
        <v>4758</v>
      </c>
      <c r="R417" s="2" t="s">
        <v>49</v>
      </c>
      <c r="S417" s="2" t="s">
        <v>165</v>
      </c>
      <c r="T417" s="2" t="s">
        <v>166</v>
      </c>
      <c r="U417" s="2" t="s">
        <v>29</v>
      </c>
      <c r="V417" s="2" t="n">
        <v>1</v>
      </c>
    </row>
    <row r="418">
      <c r="A418" s="2" t="n">
        <v>417</v>
      </c>
      <c r="B418" s="2" t="s">
        <v>4759</v>
      </c>
      <c r="C418" s="2" t="n">
        <v>371.105561128</v>
      </c>
      <c r="D418" s="2" t="n">
        <v>0.967654615903789</v>
      </c>
      <c r="E418" s="2" t="s">
        <v>4760</v>
      </c>
      <c r="F418" s="2" t="s">
        <v>522</v>
      </c>
      <c r="G418" s="2" t="s">
        <v>4761</v>
      </c>
      <c r="H418" s="2" t="s">
        <v>4762</v>
      </c>
      <c r="I418" s="2" t="s">
        <v>4763</v>
      </c>
      <c r="J418" s="2" t="s">
        <v>4764</v>
      </c>
      <c r="K418" s="2" t="s">
        <v>4765</v>
      </c>
      <c r="L418" s="2" t="s">
        <v>72</v>
      </c>
      <c r="M418" s="2" t="s">
        <v>72</v>
      </c>
      <c r="N418" s="2" t="s">
        <v>4766</v>
      </c>
      <c r="O418" s="2" t="s">
        <v>4767</v>
      </c>
      <c r="P418" s="2" t="s">
        <v>4768</v>
      </c>
      <c r="Q418" s="2" t="s">
        <v>4769</v>
      </c>
      <c r="R418" s="2" t="s">
        <v>4770</v>
      </c>
      <c r="S418" s="2" t="s">
        <v>4771</v>
      </c>
      <c r="T418" s="2" t="s">
        <v>4772</v>
      </c>
      <c r="U418" s="2" t="s">
        <v>29</v>
      </c>
      <c r="V418" s="2" t="n">
        <v>2</v>
      </c>
    </row>
    <row r="419">
      <c r="A419" s="2" t="n">
        <v>418</v>
      </c>
      <c r="B419" s="2" t="s">
        <v>4773</v>
      </c>
      <c r="C419" s="2" t="n">
        <v>372.093619833</v>
      </c>
      <c r="D419" s="2" t="n">
        <v>5.2004459592506</v>
      </c>
      <c r="E419" s="2" t="s">
        <v>4774</v>
      </c>
      <c r="F419" s="2" t="s">
        <v>110</v>
      </c>
      <c r="G419" s="2" t="s">
        <v>4775</v>
      </c>
      <c r="H419" s="2" t="s">
        <v>4776</v>
      </c>
      <c r="I419" s="2" t="s">
        <v>4777</v>
      </c>
      <c r="J419" s="2" t="s">
        <v>4778</v>
      </c>
      <c r="K419" s="2" t="s">
        <v>29</v>
      </c>
      <c r="L419" s="2" t="s">
        <v>4779</v>
      </c>
      <c r="M419" s="2" t="s">
        <v>4780</v>
      </c>
      <c r="N419" s="2" t="s">
        <v>4781</v>
      </c>
      <c r="O419" s="2" t="s">
        <v>4782</v>
      </c>
      <c r="P419" s="2" t="s">
        <v>4783</v>
      </c>
      <c r="Q419" s="2" t="s">
        <v>4784</v>
      </c>
      <c r="R419" s="2" t="s">
        <v>64</v>
      </c>
      <c r="S419" s="2" t="s">
        <v>65</v>
      </c>
      <c r="T419" s="2" t="s">
        <v>66</v>
      </c>
      <c r="U419" s="2" t="s">
        <v>39</v>
      </c>
      <c r="V419" s="2" t="n">
        <v>1</v>
      </c>
    </row>
    <row r="420">
      <c r="A420" s="2" t="n">
        <v>419</v>
      </c>
      <c r="B420" s="2" t="s">
        <v>4785</v>
      </c>
      <c r="C420" s="2" t="n">
        <v>374.092848747</v>
      </c>
      <c r="D420" s="2" t="n">
        <v>11.1395025135573</v>
      </c>
      <c r="E420" s="2" t="s">
        <v>4786</v>
      </c>
      <c r="F420" s="2" t="s">
        <v>110</v>
      </c>
      <c r="G420" s="2" t="s">
        <v>4787</v>
      </c>
      <c r="H420" s="2" t="s">
        <v>4788</v>
      </c>
      <c r="I420" s="2" t="s">
        <v>4789</v>
      </c>
      <c r="J420" s="2" t="s">
        <v>4790</v>
      </c>
      <c r="K420" s="2" t="s">
        <v>29</v>
      </c>
      <c r="L420" s="2" t="s">
        <v>29</v>
      </c>
      <c r="M420" s="2" t="s">
        <v>4791</v>
      </c>
      <c r="N420" s="2" t="s">
        <v>4792</v>
      </c>
      <c r="O420" s="2" t="s">
        <v>4793</v>
      </c>
      <c r="P420" s="2" t="s">
        <v>4794</v>
      </c>
      <c r="Q420" s="2" t="s">
        <v>4795</v>
      </c>
      <c r="R420" s="2" t="s">
        <v>355</v>
      </c>
      <c r="S420" s="2" t="s">
        <v>4796</v>
      </c>
      <c r="T420" s="2" t="s">
        <v>4797</v>
      </c>
      <c r="U420" s="2" t="s">
        <v>29</v>
      </c>
      <c r="V420" s="2" t="n">
        <v>1</v>
      </c>
    </row>
    <row r="421">
      <c r="A421" s="2" t="n">
        <v>420</v>
      </c>
      <c r="B421" s="2" t="s">
        <v>4798</v>
      </c>
      <c r="C421" s="2" t="n">
        <v>375.035766296</v>
      </c>
      <c r="D421" s="2" t="n">
        <v>6.25136081649101</v>
      </c>
      <c r="E421" s="2" t="s">
        <v>4799</v>
      </c>
      <c r="F421" s="2" t="s">
        <v>24</v>
      </c>
      <c r="G421" s="2" t="s">
        <v>4800</v>
      </c>
      <c r="H421" s="2" t="s">
        <v>4801</v>
      </c>
      <c r="I421" s="2" t="s">
        <v>4802</v>
      </c>
      <c r="J421" s="2" t="s">
        <v>4803</v>
      </c>
      <c r="K421" s="2" t="s">
        <v>226</v>
      </c>
      <c r="L421" s="2" t="s">
        <v>226</v>
      </c>
      <c r="M421" s="2" t="s">
        <v>4804</v>
      </c>
      <c r="N421" s="2" t="s">
        <v>4805</v>
      </c>
      <c r="O421" s="2" t="s">
        <v>4806</v>
      </c>
      <c r="P421" s="2" t="s">
        <v>4807</v>
      </c>
      <c r="Q421" s="2" t="s">
        <v>4808</v>
      </c>
      <c r="R421" s="2" t="s">
        <v>4809</v>
      </c>
      <c r="S421" s="2" t="s">
        <v>4810</v>
      </c>
      <c r="T421" s="2" t="s">
        <v>4811</v>
      </c>
      <c r="U421" s="2" t="s">
        <v>29</v>
      </c>
      <c r="V421" s="2" t="n">
        <v>3</v>
      </c>
    </row>
    <row r="422">
      <c r="A422" s="2" t="n">
        <v>421</v>
      </c>
      <c r="B422" s="2" t="s">
        <v>4812</v>
      </c>
      <c r="C422" s="2" t="n">
        <v>375.103643</v>
      </c>
      <c r="D422" s="2" t="n">
        <v>2.59290439959813</v>
      </c>
      <c r="E422" s="2" t="s">
        <v>4813</v>
      </c>
      <c r="F422" s="2" t="s">
        <v>522</v>
      </c>
      <c r="G422" s="2" t="s">
        <v>4814</v>
      </c>
      <c r="H422" s="2" t="s">
        <v>4815</v>
      </c>
      <c r="I422" s="2" t="s">
        <v>4816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4817</v>
      </c>
      <c r="O422" s="2" t="s">
        <v>29</v>
      </c>
      <c r="P422" s="2" t="s">
        <v>4818</v>
      </c>
      <c r="Q422" s="2" t="s">
        <v>4819</v>
      </c>
      <c r="R422" s="2" t="s">
        <v>355</v>
      </c>
      <c r="S422" s="2" t="s">
        <v>1580</v>
      </c>
      <c r="T422" s="2" t="s">
        <v>4820</v>
      </c>
      <c r="U422" s="2" t="s">
        <v>29</v>
      </c>
      <c r="V422" s="2" t="n">
        <v>1</v>
      </c>
    </row>
    <row r="423">
      <c r="A423" s="2" t="n">
        <v>422</v>
      </c>
      <c r="B423" s="2" t="s">
        <v>4821</v>
      </c>
      <c r="C423" s="2" t="n">
        <v>377.087801866</v>
      </c>
      <c r="D423" s="2" t="n">
        <v>3.20468236850062</v>
      </c>
      <c r="E423" s="2" t="s">
        <v>4822</v>
      </c>
      <c r="F423" s="2" t="s">
        <v>24</v>
      </c>
      <c r="G423" s="2" t="s">
        <v>4823</v>
      </c>
      <c r="H423" s="2" t="s">
        <v>4824</v>
      </c>
      <c r="I423" s="2" t="s">
        <v>4825</v>
      </c>
      <c r="J423" s="2" t="s">
        <v>4826</v>
      </c>
      <c r="K423" s="2" t="s">
        <v>72</v>
      </c>
      <c r="L423" s="2" t="s">
        <v>72</v>
      </c>
      <c r="M423" s="2" t="s">
        <v>4827</v>
      </c>
      <c r="N423" s="2" t="s">
        <v>4828</v>
      </c>
      <c r="O423" s="2" t="s">
        <v>4829</v>
      </c>
      <c r="P423" s="2" t="s">
        <v>4830</v>
      </c>
      <c r="Q423" s="2" t="s">
        <v>4831</v>
      </c>
      <c r="R423" s="2" t="s">
        <v>3167</v>
      </c>
      <c r="S423" s="2" t="s">
        <v>4213</v>
      </c>
      <c r="T423" s="2" t="s">
        <v>4832</v>
      </c>
      <c r="U423" s="2" t="s">
        <v>29</v>
      </c>
      <c r="V423" s="2" t="n">
        <v>2</v>
      </c>
    </row>
    <row r="424">
      <c r="A424" s="2" t="n">
        <v>423</v>
      </c>
      <c r="B424" s="2" t="s">
        <v>4833</v>
      </c>
      <c r="C424" s="2" t="n">
        <v>379.080134238</v>
      </c>
      <c r="D424" s="2" t="n">
        <v>2.58997430944752</v>
      </c>
      <c r="E424" s="2" t="s">
        <v>4834</v>
      </c>
      <c r="F424" s="2" t="s">
        <v>522</v>
      </c>
      <c r="G424" s="2" t="s">
        <v>4835</v>
      </c>
      <c r="H424" s="2" t="s">
        <v>4836</v>
      </c>
      <c r="I424" s="2" t="s">
        <v>4837</v>
      </c>
      <c r="J424" s="2" t="s">
        <v>4838</v>
      </c>
      <c r="K424" s="2" t="s">
        <v>29</v>
      </c>
      <c r="L424" s="2" t="s">
        <v>29</v>
      </c>
      <c r="M424" s="2" t="s">
        <v>4839</v>
      </c>
      <c r="N424" s="2" t="s">
        <v>4840</v>
      </c>
      <c r="O424" s="2" t="s">
        <v>4841</v>
      </c>
      <c r="P424" s="2" t="s">
        <v>4842</v>
      </c>
      <c r="Q424" s="2" t="s">
        <v>4843</v>
      </c>
      <c r="R424" s="2" t="s">
        <v>64</v>
      </c>
      <c r="S424" s="2" t="s">
        <v>65</v>
      </c>
      <c r="T424" s="2" t="s">
        <v>66</v>
      </c>
      <c r="U424" s="2" t="s">
        <v>29</v>
      </c>
      <c r="V424" s="2" t="n">
        <v>1</v>
      </c>
    </row>
    <row r="425">
      <c r="A425" s="2" t="n">
        <v>424</v>
      </c>
      <c r="B425" s="2" t="s">
        <v>4844</v>
      </c>
      <c r="C425" s="2" t="n">
        <v>379.9920441</v>
      </c>
      <c r="D425" s="2" t="n">
        <v>6.7873796922438</v>
      </c>
      <c r="E425" s="2" t="s">
        <v>4845</v>
      </c>
      <c r="F425" s="2" t="s">
        <v>522</v>
      </c>
      <c r="G425" s="2" t="s">
        <v>4846</v>
      </c>
      <c r="H425" s="2" t="s">
        <v>4847</v>
      </c>
      <c r="I425" s="2" t="s">
        <v>4848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4849</v>
      </c>
      <c r="O425" s="2" t="s">
        <v>29</v>
      </c>
      <c r="P425" s="2" t="s">
        <v>4850</v>
      </c>
      <c r="Q425" s="2" t="s">
        <v>4851</v>
      </c>
      <c r="R425" s="2" t="s">
        <v>355</v>
      </c>
      <c r="S425" s="2" t="s">
        <v>356</v>
      </c>
      <c r="T425" s="2" t="s">
        <v>814</v>
      </c>
      <c r="U425" s="2" t="s">
        <v>29</v>
      </c>
      <c r="V425" s="2" t="n">
        <v>1</v>
      </c>
    </row>
    <row r="426">
      <c r="A426" s="2" t="n">
        <v>425</v>
      </c>
      <c r="B426" s="2" t="s">
        <v>4852</v>
      </c>
      <c r="C426" s="2" t="n">
        <v>381.373804844</v>
      </c>
      <c r="D426" s="2" t="n">
        <v>2.05634797723731</v>
      </c>
      <c r="E426" s="2" t="s">
        <v>4853</v>
      </c>
      <c r="F426" s="2" t="s">
        <v>110</v>
      </c>
      <c r="G426" s="2" t="s">
        <v>4854</v>
      </c>
      <c r="H426" s="2" t="s">
        <v>4855</v>
      </c>
      <c r="I426" s="2" t="s">
        <v>4856</v>
      </c>
      <c r="J426" s="2" t="s">
        <v>4857</v>
      </c>
      <c r="K426" s="2" t="s">
        <v>4858</v>
      </c>
      <c r="L426" s="2" t="s">
        <v>226</v>
      </c>
      <c r="M426" s="2" t="s">
        <v>4859</v>
      </c>
      <c r="N426" s="2" t="s">
        <v>4860</v>
      </c>
      <c r="O426" s="2" t="s">
        <v>4861</v>
      </c>
      <c r="P426" s="2" t="s">
        <v>4862</v>
      </c>
      <c r="Q426" s="2" t="s">
        <v>4863</v>
      </c>
      <c r="R426" s="2" t="s">
        <v>105</v>
      </c>
      <c r="S426" s="2" t="s">
        <v>106</v>
      </c>
      <c r="T426" s="2" t="s">
        <v>4864</v>
      </c>
      <c r="U426" s="2" t="s">
        <v>29</v>
      </c>
      <c r="V426" s="2" t="n">
        <v>3</v>
      </c>
    </row>
    <row r="427">
      <c r="A427" s="2" t="n">
        <v>426</v>
      </c>
      <c r="B427" s="2" t="s">
        <v>4865</v>
      </c>
      <c r="C427" s="2" t="n">
        <v>382.018732835</v>
      </c>
      <c r="D427" s="2" t="n">
        <v>6.25631919261974</v>
      </c>
      <c r="E427" s="2" t="s">
        <v>4866</v>
      </c>
      <c r="F427" s="2" t="s">
        <v>522</v>
      </c>
      <c r="G427" s="2" t="s">
        <v>4867</v>
      </c>
      <c r="H427" s="2" t="s">
        <v>4868</v>
      </c>
      <c r="I427" s="2" t="s">
        <v>4869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4870</v>
      </c>
      <c r="Q427" s="2" t="s">
        <v>4871</v>
      </c>
      <c r="R427" s="2" t="s">
        <v>355</v>
      </c>
      <c r="S427" s="2" t="s">
        <v>1316</v>
      </c>
      <c r="T427" s="2" t="s">
        <v>4872</v>
      </c>
      <c r="U427" s="2" t="s">
        <v>29</v>
      </c>
      <c r="V427" s="2" t="n">
        <v>1</v>
      </c>
    </row>
    <row r="428">
      <c r="A428" s="2" t="n">
        <v>427</v>
      </c>
      <c r="B428" s="2" t="s">
        <v>4873</v>
      </c>
      <c r="C428" s="2" t="n">
        <v>382.989125531</v>
      </c>
      <c r="D428" s="2" t="n">
        <v>8.031675136275</v>
      </c>
      <c r="E428" s="2" t="s">
        <v>4874</v>
      </c>
      <c r="F428" s="2" t="s">
        <v>360</v>
      </c>
      <c r="G428" s="2" t="s">
        <v>4875</v>
      </c>
      <c r="H428" s="2" t="s">
        <v>4876</v>
      </c>
      <c r="I428" s="2" t="s">
        <v>4877</v>
      </c>
      <c r="J428" s="2" t="s">
        <v>4878</v>
      </c>
      <c r="K428" s="2" t="s">
        <v>29</v>
      </c>
      <c r="L428" s="2" t="s">
        <v>4879</v>
      </c>
      <c r="M428" s="2" t="s">
        <v>4880</v>
      </c>
      <c r="N428" s="2" t="s">
        <v>4881</v>
      </c>
      <c r="O428" s="2" t="s">
        <v>4882</v>
      </c>
      <c r="P428" s="2" t="s">
        <v>4883</v>
      </c>
      <c r="Q428" s="2" t="s">
        <v>4884</v>
      </c>
      <c r="R428" s="2" t="s">
        <v>2509</v>
      </c>
      <c r="S428" s="2" t="s">
        <v>2840</v>
      </c>
      <c r="T428" s="2" t="s">
        <v>205</v>
      </c>
      <c r="U428" s="2" t="s">
        <v>39</v>
      </c>
      <c r="V428" s="2" t="n">
        <v>1</v>
      </c>
    </row>
    <row r="429">
      <c r="A429" s="2" t="n">
        <v>428</v>
      </c>
      <c r="B429" s="2" t="s">
        <v>4885</v>
      </c>
      <c r="C429" s="2" t="n">
        <v>383.065091318</v>
      </c>
      <c r="D429" s="2" t="n">
        <v>11.5761485601647</v>
      </c>
      <c r="E429" s="2" t="s">
        <v>4886</v>
      </c>
      <c r="F429" s="2" t="s">
        <v>250</v>
      </c>
      <c r="G429" s="2" t="s">
        <v>4887</v>
      </c>
      <c r="H429" s="2" t="s">
        <v>4888</v>
      </c>
      <c r="I429" s="2" t="s">
        <v>4889</v>
      </c>
      <c r="J429" s="2" t="s">
        <v>4890</v>
      </c>
      <c r="K429" s="2" t="s">
        <v>29</v>
      </c>
      <c r="L429" s="2" t="s">
        <v>4891</v>
      </c>
      <c r="M429" s="2" t="s">
        <v>4892</v>
      </c>
      <c r="N429" s="2" t="s">
        <v>4893</v>
      </c>
      <c r="O429" s="2" t="s">
        <v>4894</v>
      </c>
      <c r="P429" s="2" t="s">
        <v>4895</v>
      </c>
      <c r="Q429" s="2" t="s">
        <v>4896</v>
      </c>
      <c r="R429" s="2" t="s">
        <v>355</v>
      </c>
      <c r="S429" s="2" t="s">
        <v>1316</v>
      </c>
      <c r="T429" s="2" t="s">
        <v>4897</v>
      </c>
      <c r="U429" s="2" t="s">
        <v>39</v>
      </c>
      <c r="V429" s="2" t="n">
        <v>1</v>
      </c>
    </row>
    <row r="430">
      <c r="A430" s="2" t="n">
        <v>429</v>
      </c>
      <c r="B430" s="2" t="s">
        <v>4898</v>
      </c>
      <c r="C430" s="2" t="n">
        <v>385.06956954</v>
      </c>
      <c r="D430" s="2" t="n">
        <v>6.94374450919281</v>
      </c>
      <c r="E430" s="2" t="s">
        <v>4899</v>
      </c>
      <c r="F430" s="2" t="s">
        <v>522</v>
      </c>
      <c r="G430" s="2" t="s">
        <v>4900</v>
      </c>
      <c r="H430" s="2" t="s">
        <v>4901</v>
      </c>
      <c r="I430" s="2" t="s">
        <v>4902</v>
      </c>
      <c r="J430" s="2" t="s">
        <v>4903</v>
      </c>
      <c r="K430" s="2" t="s">
        <v>29</v>
      </c>
      <c r="L430" s="2" t="s">
        <v>4904</v>
      </c>
      <c r="M430" s="2" t="s">
        <v>4905</v>
      </c>
      <c r="N430" s="2" t="s">
        <v>4906</v>
      </c>
      <c r="O430" s="2" t="s">
        <v>29</v>
      </c>
      <c r="P430" s="2" t="s">
        <v>4907</v>
      </c>
      <c r="Q430" s="2" t="s">
        <v>4908</v>
      </c>
      <c r="R430" s="2" t="s">
        <v>2509</v>
      </c>
      <c r="S430" s="2" t="s">
        <v>2840</v>
      </c>
      <c r="T430" s="2" t="s">
        <v>205</v>
      </c>
      <c r="U430" s="2" t="s">
        <v>39</v>
      </c>
      <c r="V430" s="2" t="n">
        <v>1</v>
      </c>
    </row>
    <row r="431">
      <c r="A431" s="2" t="n">
        <v>430</v>
      </c>
      <c r="B431" s="2" t="s">
        <v>4909</v>
      </c>
      <c r="C431" s="2" t="n">
        <v>385.129277048</v>
      </c>
      <c r="D431" s="2" t="n">
        <v>1.59896742575722</v>
      </c>
      <c r="E431" s="2" t="s">
        <v>4910</v>
      </c>
      <c r="F431" s="2" t="s">
        <v>110</v>
      </c>
      <c r="G431" s="2" t="s">
        <v>4911</v>
      </c>
      <c r="H431" s="2" t="s">
        <v>4912</v>
      </c>
      <c r="I431" s="2" t="s">
        <v>4913</v>
      </c>
      <c r="J431" s="2" t="s">
        <v>72</v>
      </c>
      <c r="K431" s="2" t="s">
        <v>4914</v>
      </c>
      <c r="L431" s="2" t="s">
        <v>72</v>
      </c>
      <c r="M431" s="2" t="s">
        <v>72</v>
      </c>
      <c r="N431" s="2" t="s">
        <v>4915</v>
      </c>
      <c r="O431" s="2" t="s">
        <v>4916</v>
      </c>
      <c r="P431" s="2" t="s">
        <v>4917</v>
      </c>
      <c r="Q431" s="2" t="s">
        <v>4918</v>
      </c>
      <c r="R431" s="2" t="s">
        <v>3167</v>
      </c>
      <c r="S431" s="2" t="s">
        <v>4919</v>
      </c>
      <c r="T431" s="2" t="s">
        <v>4920</v>
      </c>
      <c r="U431" s="2" t="s">
        <v>29</v>
      </c>
      <c r="V431" s="2" t="n">
        <v>2</v>
      </c>
    </row>
    <row r="432">
      <c r="A432" s="2" t="n">
        <v>431</v>
      </c>
      <c r="B432" s="2" t="s">
        <v>4921</v>
      </c>
      <c r="C432" s="2" t="n">
        <v>387.0074882</v>
      </c>
      <c r="D432" s="2" t="n">
        <v>1.69094283153577</v>
      </c>
      <c r="E432" s="2" t="s">
        <v>4922</v>
      </c>
      <c r="F432" s="2" t="s">
        <v>250</v>
      </c>
      <c r="G432" s="2" t="s">
        <v>4923</v>
      </c>
      <c r="H432" s="2" t="s">
        <v>4924</v>
      </c>
      <c r="I432" s="2" t="s">
        <v>4925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4926</v>
      </c>
      <c r="O432" s="2" t="s">
        <v>29</v>
      </c>
      <c r="P432" s="2" t="s">
        <v>4927</v>
      </c>
      <c r="Q432" s="2" t="s">
        <v>4928</v>
      </c>
      <c r="R432" s="2" t="s">
        <v>64</v>
      </c>
      <c r="S432" s="2" t="s">
        <v>65</v>
      </c>
      <c r="T432" s="2" t="s">
        <v>91</v>
      </c>
      <c r="U432" s="2" t="s">
        <v>29</v>
      </c>
      <c r="V432" s="2" t="n">
        <v>1</v>
      </c>
    </row>
    <row r="433">
      <c r="A433" s="2" t="n">
        <v>432</v>
      </c>
      <c r="B433" s="2" t="s">
        <v>4929</v>
      </c>
      <c r="C433" s="2" t="n">
        <v>388.099688101</v>
      </c>
      <c r="D433" s="2" t="n">
        <v>1.53286744906139</v>
      </c>
      <c r="E433" s="2" t="s">
        <v>4930</v>
      </c>
      <c r="F433" s="2" t="s">
        <v>42</v>
      </c>
      <c r="G433" s="2" t="s">
        <v>4931</v>
      </c>
      <c r="H433" s="2" t="s">
        <v>4932</v>
      </c>
      <c r="I433" s="2" t="s">
        <v>4933</v>
      </c>
      <c r="J433" s="2" t="s">
        <v>4934</v>
      </c>
      <c r="K433" s="2" t="s">
        <v>72</v>
      </c>
      <c r="L433" s="2" t="s">
        <v>72</v>
      </c>
      <c r="M433" s="2" t="s">
        <v>4935</v>
      </c>
      <c r="N433" s="2" t="s">
        <v>4936</v>
      </c>
      <c r="O433" s="2" t="s">
        <v>4937</v>
      </c>
      <c r="P433" s="2" t="s">
        <v>4938</v>
      </c>
      <c r="Q433" s="2" t="s">
        <v>4939</v>
      </c>
      <c r="R433" s="2" t="s">
        <v>715</v>
      </c>
      <c r="S433" s="2" t="s">
        <v>716</v>
      </c>
      <c r="T433" s="2" t="s">
        <v>717</v>
      </c>
      <c r="U433" s="2" t="s">
        <v>29</v>
      </c>
      <c r="V433" s="2" t="n">
        <v>2</v>
      </c>
    </row>
    <row r="434">
      <c r="A434" s="2" t="n">
        <v>433</v>
      </c>
      <c r="B434" s="2" t="s">
        <v>4940</v>
      </c>
      <c r="C434" s="2" t="n">
        <v>389.08780616</v>
      </c>
      <c r="D434" s="2" t="n">
        <v>6.89161315415078</v>
      </c>
      <c r="E434" s="2" t="s">
        <v>4941</v>
      </c>
      <c r="F434" s="2" t="s">
        <v>110</v>
      </c>
      <c r="G434" s="2" t="s">
        <v>4942</v>
      </c>
      <c r="H434" s="2" t="s">
        <v>4943</v>
      </c>
      <c r="I434" s="2" t="s">
        <v>4944</v>
      </c>
      <c r="J434" s="2" t="s">
        <v>4945</v>
      </c>
      <c r="K434" s="2" t="s">
        <v>29</v>
      </c>
      <c r="L434" s="2" t="s">
        <v>29</v>
      </c>
      <c r="M434" s="2" t="s">
        <v>29</v>
      </c>
      <c r="N434" s="2" t="s">
        <v>4946</v>
      </c>
      <c r="O434" s="2" t="s">
        <v>29</v>
      </c>
      <c r="P434" s="2" t="s">
        <v>4947</v>
      </c>
      <c r="Q434" s="2" t="s">
        <v>4948</v>
      </c>
      <c r="R434" s="2" t="s">
        <v>2509</v>
      </c>
      <c r="S434" s="2" t="s">
        <v>4949</v>
      </c>
      <c r="T434" s="2" t="s">
        <v>4950</v>
      </c>
      <c r="U434" s="2" t="s">
        <v>29</v>
      </c>
      <c r="V434" s="2" t="n">
        <v>1</v>
      </c>
    </row>
    <row r="435">
      <c r="A435" s="2" t="n">
        <v>434</v>
      </c>
      <c r="B435" s="2" t="s">
        <v>4951</v>
      </c>
      <c r="C435" s="2" t="n">
        <v>389.126808627</v>
      </c>
      <c r="D435" s="2" t="n">
        <v>0.43415128494493</v>
      </c>
      <c r="E435" s="2" t="s">
        <v>4952</v>
      </c>
      <c r="F435" s="2" t="s">
        <v>42</v>
      </c>
      <c r="G435" s="2" t="s">
        <v>4953</v>
      </c>
      <c r="H435" s="2" t="s">
        <v>4954</v>
      </c>
      <c r="I435" s="2" t="s">
        <v>4955</v>
      </c>
      <c r="J435" s="2" t="s">
        <v>4956</v>
      </c>
      <c r="K435" s="2" t="s">
        <v>29</v>
      </c>
      <c r="L435" s="2" t="s">
        <v>4957</v>
      </c>
      <c r="M435" s="2" t="s">
        <v>4958</v>
      </c>
      <c r="N435" s="2" t="s">
        <v>4959</v>
      </c>
      <c r="O435" s="2" t="s">
        <v>4960</v>
      </c>
      <c r="P435" s="2" t="s">
        <v>4961</v>
      </c>
      <c r="Q435" s="2" t="s">
        <v>4962</v>
      </c>
      <c r="R435" s="2" t="s">
        <v>355</v>
      </c>
      <c r="S435" s="2" t="s">
        <v>1316</v>
      </c>
      <c r="T435" s="2" t="s">
        <v>4897</v>
      </c>
      <c r="U435" s="2" t="s">
        <v>39</v>
      </c>
      <c r="V435" s="2" t="n">
        <v>1</v>
      </c>
    </row>
    <row r="436">
      <c r="A436" s="2" t="n">
        <v>435</v>
      </c>
      <c r="B436" s="2" t="s">
        <v>4963</v>
      </c>
      <c r="C436" s="2" t="n">
        <v>389.248604335</v>
      </c>
      <c r="D436" s="2" t="n">
        <v>8.48898106017148</v>
      </c>
      <c r="E436" s="2" t="s">
        <v>4964</v>
      </c>
      <c r="F436" s="2" t="s">
        <v>110</v>
      </c>
      <c r="G436" s="2" t="s">
        <v>4965</v>
      </c>
      <c r="H436" s="2" t="s">
        <v>4966</v>
      </c>
      <c r="I436" s="2" t="s">
        <v>4967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4968</v>
      </c>
      <c r="O436" s="2" t="s">
        <v>29</v>
      </c>
      <c r="P436" s="2" t="s">
        <v>4969</v>
      </c>
      <c r="Q436" s="2" t="s">
        <v>4970</v>
      </c>
      <c r="R436" s="2" t="s">
        <v>1490</v>
      </c>
      <c r="S436" s="2" t="s">
        <v>4971</v>
      </c>
      <c r="T436" s="2" t="s">
        <v>4972</v>
      </c>
      <c r="U436" s="2" t="s">
        <v>29</v>
      </c>
      <c r="V436" s="2" t="n">
        <v>1</v>
      </c>
    </row>
    <row r="437">
      <c r="A437" s="2" t="n">
        <v>436</v>
      </c>
      <c r="B437" s="2" t="s">
        <v>4973</v>
      </c>
      <c r="C437" s="2" t="n">
        <v>394.061837776</v>
      </c>
      <c r="D437" s="2" t="n">
        <v>1.41511330911236</v>
      </c>
      <c r="E437" s="2" t="s">
        <v>4974</v>
      </c>
      <c r="F437" s="2" t="s">
        <v>522</v>
      </c>
      <c r="G437" s="2" t="s">
        <v>4975</v>
      </c>
      <c r="H437" s="2" t="s">
        <v>4976</v>
      </c>
      <c r="I437" s="2" t="s">
        <v>4977</v>
      </c>
      <c r="J437" s="2" t="s">
        <v>4978</v>
      </c>
      <c r="K437" s="2" t="s">
        <v>226</v>
      </c>
      <c r="L437" s="2" t="s">
        <v>226</v>
      </c>
      <c r="M437" s="2" t="s">
        <v>4979</v>
      </c>
      <c r="N437" s="2" t="s">
        <v>4980</v>
      </c>
      <c r="O437" s="2" t="s">
        <v>4981</v>
      </c>
      <c r="P437" s="2" t="s">
        <v>4982</v>
      </c>
      <c r="Q437" s="2" t="s">
        <v>4983</v>
      </c>
      <c r="R437" s="2" t="s">
        <v>4984</v>
      </c>
      <c r="S437" s="2" t="s">
        <v>4985</v>
      </c>
      <c r="T437" s="2" t="s">
        <v>4986</v>
      </c>
      <c r="U437" s="2" t="s">
        <v>29</v>
      </c>
      <c r="V437" s="2" t="n">
        <v>3</v>
      </c>
    </row>
    <row r="438">
      <c r="A438" s="2" t="n">
        <v>437</v>
      </c>
      <c r="B438" s="2" t="s">
        <v>4987</v>
      </c>
      <c r="C438" s="2" t="n">
        <v>394.98742144</v>
      </c>
      <c r="D438" s="2" t="n">
        <v>2.95960418877072</v>
      </c>
      <c r="E438" s="2" t="s">
        <v>4988</v>
      </c>
      <c r="F438" s="2" t="s">
        <v>250</v>
      </c>
      <c r="G438" s="2" t="s">
        <v>4989</v>
      </c>
      <c r="H438" s="2" t="s">
        <v>4990</v>
      </c>
      <c r="I438" s="2" t="s">
        <v>4991</v>
      </c>
      <c r="J438" s="2" t="s">
        <v>4992</v>
      </c>
      <c r="K438" s="2" t="s">
        <v>72</v>
      </c>
      <c r="L438" s="2" t="s">
        <v>72</v>
      </c>
      <c r="M438" s="2" t="s">
        <v>72</v>
      </c>
      <c r="N438" s="2" t="s">
        <v>4993</v>
      </c>
      <c r="O438" s="2" t="s">
        <v>4994</v>
      </c>
      <c r="P438" s="2" t="s">
        <v>4995</v>
      </c>
      <c r="Q438" s="2" t="s">
        <v>4996</v>
      </c>
      <c r="R438" s="2" t="s">
        <v>537</v>
      </c>
      <c r="S438" s="2" t="s">
        <v>4997</v>
      </c>
      <c r="T438" s="2" t="s">
        <v>4998</v>
      </c>
      <c r="U438" s="2" t="s">
        <v>29</v>
      </c>
      <c r="V438" s="2" t="n">
        <v>2</v>
      </c>
    </row>
    <row r="439">
      <c r="A439" s="2" t="n">
        <v>438</v>
      </c>
      <c r="B439" s="2" t="s">
        <v>4999</v>
      </c>
      <c r="C439" s="2" t="n">
        <v>395.207527378</v>
      </c>
      <c r="D439" s="2" t="n">
        <v>9.46109529024835</v>
      </c>
      <c r="E439" s="2" t="s">
        <v>5000</v>
      </c>
      <c r="F439" s="2" t="s">
        <v>110</v>
      </c>
      <c r="G439" s="2" t="s">
        <v>5001</v>
      </c>
      <c r="H439" s="2" t="s">
        <v>5002</v>
      </c>
      <c r="I439" s="2" t="s">
        <v>5003</v>
      </c>
      <c r="J439" s="2" t="s">
        <v>5004</v>
      </c>
      <c r="K439" s="2" t="s">
        <v>29</v>
      </c>
      <c r="L439" s="2" t="s">
        <v>29</v>
      </c>
      <c r="M439" s="2" t="s">
        <v>5005</v>
      </c>
      <c r="N439" s="2" t="s">
        <v>5006</v>
      </c>
      <c r="O439" s="2" t="s">
        <v>5007</v>
      </c>
      <c r="P439" s="2" t="s">
        <v>5008</v>
      </c>
      <c r="Q439" s="2" t="s">
        <v>5009</v>
      </c>
      <c r="R439" s="2" t="s">
        <v>1490</v>
      </c>
      <c r="S439" s="2" t="s">
        <v>4971</v>
      </c>
      <c r="T439" s="2" t="s">
        <v>5010</v>
      </c>
      <c r="U439" s="2" t="s">
        <v>29</v>
      </c>
      <c r="V439" s="2" t="n">
        <v>1</v>
      </c>
    </row>
    <row r="440">
      <c r="A440" s="2" t="n">
        <v>439</v>
      </c>
      <c r="B440" s="2" t="s">
        <v>5011</v>
      </c>
      <c r="C440" s="2" t="n">
        <v>395.389454908</v>
      </c>
      <c r="D440" s="2" t="n">
        <v>5.76916188544249</v>
      </c>
      <c r="E440" s="2" t="s">
        <v>5012</v>
      </c>
      <c r="F440" s="2" t="s">
        <v>110</v>
      </c>
      <c r="G440" s="2" t="s">
        <v>5013</v>
      </c>
      <c r="H440" s="2" t="s">
        <v>5014</v>
      </c>
      <c r="I440" s="2" t="s">
        <v>5015</v>
      </c>
      <c r="J440" s="2" t="s">
        <v>5016</v>
      </c>
      <c r="K440" s="2" t="s">
        <v>5017</v>
      </c>
      <c r="L440" s="2" t="s">
        <v>72</v>
      </c>
      <c r="M440" s="2" t="s">
        <v>5018</v>
      </c>
      <c r="N440" s="2" t="s">
        <v>5019</v>
      </c>
      <c r="O440" s="2" t="s">
        <v>5020</v>
      </c>
      <c r="P440" s="2" t="s">
        <v>5021</v>
      </c>
      <c r="Q440" s="2" t="s">
        <v>5022</v>
      </c>
      <c r="R440" s="2" t="s">
        <v>575</v>
      </c>
      <c r="S440" s="2" t="s">
        <v>576</v>
      </c>
      <c r="T440" s="2" t="s">
        <v>5023</v>
      </c>
      <c r="U440" s="2" t="s">
        <v>29</v>
      </c>
      <c r="V440" s="2" t="n">
        <v>2</v>
      </c>
    </row>
    <row r="441">
      <c r="A441" s="2" t="n">
        <v>440</v>
      </c>
      <c r="B441" s="2" t="s">
        <v>5024</v>
      </c>
      <c r="C441" s="2" t="n">
        <v>396.99996554</v>
      </c>
      <c r="D441" s="2" t="n">
        <v>1.47755150058468</v>
      </c>
      <c r="E441" s="2" t="s">
        <v>5025</v>
      </c>
      <c r="F441" s="2" t="s">
        <v>1019</v>
      </c>
      <c r="G441" s="2" t="s">
        <v>5026</v>
      </c>
      <c r="H441" s="2" t="s">
        <v>5027</v>
      </c>
      <c r="I441" s="2" t="s">
        <v>5028</v>
      </c>
      <c r="J441" s="2" t="s">
        <v>5029</v>
      </c>
      <c r="K441" s="2" t="s">
        <v>29</v>
      </c>
      <c r="L441" s="2" t="s">
        <v>29</v>
      </c>
      <c r="M441" s="2" t="s">
        <v>29</v>
      </c>
      <c r="N441" s="2" t="s">
        <v>5030</v>
      </c>
      <c r="O441" s="2" t="s">
        <v>29</v>
      </c>
      <c r="P441" s="2" t="s">
        <v>5031</v>
      </c>
      <c r="Q441" s="2" t="s">
        <v>5032</v>
      </c>
      <c r="R441" s="2" t="s">
        <v>355</v>
      </c>
      <c r="S441" s="2" t="s">
        <v>5033</v>
      </c>
      <c r="T441" s="2" t="s">
        <v>5034</v>
      </c>
      <c r="U441" s="2" t="s">
        <v>29</v>
      </c>
      <c r="V441" s="2" t="n">
        <v>1</v>
      </c>
    </row>
    <row r="442">
      <c r="A442" s="2" t="n">
        <v>441</v>
      </c>
      <c r="B442" s="2" t="s">
        <v>5035</v>
      </c>
      <c r="C442" s="2" t="n">
        <v>397.059673559</v>
      </c>
      <c r="D442" s="2" t="n">
        <v>1.7958677534352</v>
      </c>
      <c r="E442" s="2" t="s">
        <v>5036</v>
      </c>
      <c r="F442" s="2" t="s">
        <v>522</v>
      </c>
      <c r="G442" s="2" t="s">
        <v>5037</v>
      </c>
      <c r="H442" s="2" t="s">
        <v>5038</v>
      </c>
      <c r="I442" s="2" t="s">
        <v>5039</v>
      </c>
      <c r="J442" s="2" t="s">
        <v>5040</v>
      </c>
      <c r="K442" s="2" t="s">
        <v>72</v>
      </c>
      <c r="L442" s="2" t="s">
        <v>72</v>
      </c>
      <c r="M442" s="2" t="s">
        <v>72</v>
      </c>
      <c r="N442" s="2" t="s">
        <v>5041</v>
      </c>
      <c r="O442" s="2" t="s">
        <v>5042</v>
      </c>
      <c r="P442" s="2" t="s">
        <v>5043</v>
      </c>
      <c r="Q442" s="2" t="s">
        <v>5044</v>
      </c>
      <c r="R442" s="2" t="s">
        <v>537</v>
      </c>
      <c r="S442" s="2" t="s">
        <v>5045</v>
      </c>
      <c r="T442" s="2" t="s">
        <v>5046</v>
      </c>
      <c r="U442" s="2" t="s">
        <v>29</v>
      </c>
      <c r="V442" s="2" t="n">
        <v>2</v>
      </c>
    </row>
    <row r="443">
      <c r="A443" s="2" t="n">
        <v>442</v>
      </c>
      <c r="B443" s="2" t="s">
        <v>5047</v>
      </c>
      <c r="C443" s="2" t="n">
        <v>397.989474</v>
      </c>
      <c r="D443" s="2" t="n">
        <v>0.777914304174417</v>
      </c>
      <c r="E443" s="2" t="s">
        <v>5048</v>
      </c>
      <c r="F443" s="2" t="s">
        <v>110</v>
      </c>
      <c r="G443" s="2" t="s">
        <v>5049</v>
      </c>
      <c r="H443" s="2" t="s">
        <v>5050</v>
      </c>
      <c r="I443" s="2" t="s">
        <v>5051</v>
      </c>
      <c r="J443" s="2" t="s">
        <v>5052</v>
      </c>
      <c r="K443" s="2" t="s">
        <v>226</v>
      </c>
      <c r="L443" s="2" t="s">
        <v>226</v>
      </c>
      <c r="M443" s="2" t="s">
        <v>226</v>
      </c>
      <c r="N443" s="2" t="s">
        <v>5053</v>
      </c>
      <c r="O443" s="2" t="s">
        <v>5054</v>
      </c>
      <c r="P443" s="2" t="s">
        <v>5055</v>
      </c>
      <c r="Q443" s="2" t="s">
        <v>5056</v>
      </c>
      <c r="R443" s="2" t="s">
        <v>312</v>
      </c>
      <c r="S443" s="2" t="s">
        <v>313</v>
      </c>
      <c r="T443" s="2" t="s">
        <v>314</v>
      </c>
      <c r="U443" s="2" t="s">
        <v>29</v>
      </c>
      <c r="V443" s="2" t="n">
        <v>3</v>
      </c>
    </row>
    <row r="444">
      <c r="A444" s="2" t="n">
        <v>443</v>
      </c>
      <c r="B444" s="2" t="s">
        <v>5057</v>
      </c>
      <c r="C444" s="2" t="n">
        <v>398.9972907</v>
      </c>
      <c r="D444" s="2" t="n">
        <v>14.4762255151992</v>
      </c>
      <c r="E444" s="2" t="s">
        <v>5058</v>
      </c>
      <c r="F444" s="2" t="s">
        <v>522</v>
      </c>
      <c r="G444" s="2" t="s">
        <v>5059</v>
      </c>
      <c r="H444" s="2" t="s">
        <v>5060</v>
      </c>
      <c r="I444" s="2" t="s">
        <v>5061</v>
      </c>
      <c r="J444" s="2" t="s">
        <v>5062</v>
      </c>
      <c r="K444" s="2" t="s">
        <v>29</v>
      </c>
      <c r="L444" s="2" t="s">
        <v>29</v>
      </c>
      <c r="M444" s="2" t="s">
        <v>5063</v>
      </c>
      <c r="N444" s="2" t="s">
        <v>5064</v>
      </c>
      <c r="O444" s="2" t="s">
        <v>29</v>
      </c>
      <c r="P444" s="2" t="s">
        <v>5065</v>
      </c>
      <c r="Q444" s="2" t="s">
        <v>5066</v>
      </c>
      <c r="R444" s="2" t="s">
        <v>49</v>
      </c>
      <c r="S444" s="2" t="s">
        <v>165</v>
      </c>
      <c r="T444" s="2" t="s">
        <v>625</v>
      </c>
      <c r="U444" s="2" t="s">
        <v>29</v>
      </c>
      <c r="V444" s="2" t="n">
        <v>1</v>
      </c>
    </row>
    <row r="445">
      <c r="A445" s="2" t="n">
        <v>444</v>
      </c>
      <c r="B445" s="2" t="s">
        <v>5067</v>
      </c>
      <c r="C445" s="2" t="n">
        <v>401.078874072</v>
      </c>
      <c r="D445" s="2" t="n">
        <v>8.84097669152206</v>
      </c>
      <c r="E445" s="2" t="s">
        <v>5068</v>
      </c>
      <c r="F445" s="2" t="s">
        <v>360</v>
      </c>
      <c r="G445" s="2" t="s">
        <v>5069</v>
      </c>
      <c r="H445" s="2" t="s">
        <v>5070</v>
      </c>
      <c r="I445" s="2" t="s">
        <v>5071</v>
      </c>
      <c r="J445" s="2" t="s">
        <v>5072</v>
      </c>
      <c r="K445" s="2" t="s">
        <v>29</v>
      </c>
      <c r="L445" s="2" t="s">
        <v>5073</v>
      </c>
      <c r="M445" s="2" t="s">
        <v>5074</v>
      </c>
      <c r="N445" s="2" t="s">
        <v>5075</v>
      </c>
      <c r="O445" s="2" t="s">
        <v>5076</v>
      </c>
      <c r="P445" s="2" t="s">
        <v>5077</v>
      </c>
      <c r="Q445" s="2" t="s">
        <v>5078</v>
      </c>
      <c r="R445" s="2" t="s">
        <v>49</v>
      </c>
      <c r="S445" s="2" t="s">
        <v>165</v>
      </c>
      <c r="T445" s="2" t="s">
        <v>166</v>
      </c>
      <c r="U445" s="2" t="s">
        <v>39</v>
      </c>
      <c r="V445" s="2" t="n">
        <v>1</v>
      </c>
    </row>
    <row r="446">
      <c r="A446" s="2" t="n">
        <v>445</v>
      </c>
      <c r="B446" s="2" t="s">
        <v>5079</v>
      </c>
      <c r="C446" s="2" t="n">
        <v>402.002267512</v>
      </c>
      <c r="D446" s="2" t="n">
        <v>0.590903618555596</v>
      </c>
      <c r="E446" s="2" t="s">
        <v>5080</v>
      </c>
      <c r="F446" s="2" t="s">
        <v>250</v>
      </c>
      <c r="G446" s="2" t="s">
        <v>5081</v>
      </c>
      <c r="H446" s="2" t="s">
        <v>5082</v>
      </c>
      <c r="I446" s="2" t="s">
        <v>5083</v>
      </c>
      <c r="J446" s="2" t="s">
        <v>5084</v>
      </c>
      <c r="K446" s="2" t="s">
        <v>72</v>
      </c>
      <c r="L446" s="2" t="s">
        <v>72</v>
      </c>
      <c r="M446" s="2" t="s">
        <v>5085</v>
      </c>
      <c r="N446" s="2" t="s">
        <v>5086</v>
      </c>
      <c r="O446" s="2" t="s">
        <v>5087</v>
      </c>
      <c r="P446" s="2" t="s">
        <v>5088</v>
      </c>
      <c r="Q446" s="2" t="s">
        <v>5089</v>
      </c>
      <c r="R446" s="2" t="s">
        <v>4405</v>
      </c>
      <c r="S446" s="2" t="s">
        <v>4406</v>
      </c>
      <c r="T446" s="2" t="s">
        <v>5090</v>
      </c>
      <c r="U446" s="2" t="s">
        <v>29</v>
      </c>
      <c r="V446" s="2" t="n">
        <v>2</v>
      </c>
    </row>
    <row r="447">
      <c r="A447" s="2" t="n">
        <v>446</v>
      </c>
      <c r="B447" s="2" t="s">
        <v>5091</v>
      </c>
      <c r="C447" s="2" t="n">
        <v>402.104184519</v>
      </c>
      <c r="D447" s="2" t="n">
        <v>8.07864750172258</v>
      </c>
      <c r="E447" s="2" t="s">
        <v>5092</v>
      </c>
      <c r="F447" s="2" t="s">
        <v>110</v>
      </c>
      <c r="G447" s="2" t="s">
        <v>5093</v>
      </c>
      <c r="H447" s="2" t="s">
        <v>5094</v>
      </c>
      <c r="I447" s="2" t="s">
        <v>5095</v>
      </c>
      <c r="J447" s="2" t="s">
        <v>5096</v>
      </c>
      <c r="K447" s="2" t="s">
        <v>29</v>
      </c>
      <c r="L447" s="2" t="s">
        <v>29</v>
      </c>
      <c r="M447" s="2" t="s">
        <v>5097</v>
      </c>
      <c r="N447" s="2" t="s">
        <v>5098</v>
      </c>
      <c r="O447" s="2" t="s">
        <v>5099</v>
      </c>
      <c r="P447" s="2" t="s">
        <v>5100</v>
      </c>
      <c r="Q447" s="2" t="s">
        <v>5101</v>
      </c>
      <c r="R447" s="2" t="s">
        <v>64</v>
      </c>
      <c r="S447" s="2" t="s">
        <v>65</v>
      </c>
      <c r="T447" s="2" t="s">
        <v>66</v>
      </c>
      <c r="U447" s="2" t="s">
        <v>29</v>
      </c>
      <c r="V447" s="2" t="n">
        <v>1</v>
      </c>
    </row>
    <row r="448">
      <c r="A448" s="2" t="n">
        <v>447</v>
      </c>
      <c r="B448" s="2" t="s">
        <v>5102</v>
      </c>
      <c r="C448" s="2" t="n">
        <v>404.106350985</v>
      </c>
      <c r="D448" s="2" t="n">
        <v>0.491188776382654</v>
      </c>
      <c r="E448" s="2" t="s">
        <v>5103</v>
      </c>
      <c r="F448" s="2" t="s">
        <v>110</v>
      </c>
      <c r="G448" s="2" t="s">
        <v>5104</v>
      </c>
      <c r="H448" s="2" t="s">
        <v>5105</v>
      </c>
      <c r="I448" s="2" t="s">
        <v>5106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5107</v>
      </c>
      <c r="O448" s="2" t="s">
        <v>29</v>
      </c>
      <c r="P448" s="2" t="s">
        <v>5108</v>
      </c>
      <c r="Q448" s="2" t="s">
        <v>5109</v>
      </c>
      <c r="R448" s="2" t="s">
        <v>355</v>
      </c>
      <c r="S448" s="2" t="s">
        <v>1316</v>
      </c>
      <c r="T448" s="2" t="s">
        <v>1317</v>
      </c>
      <c r="U448" s="2" t="s">
        <v>29</v>
      </c>
      <c r="V448" s="2" t="n">
        <v>1</v>
      </c>
    </row>
    <row r="449">
      <c r="A449" s="2" t="n">
        <v>448</v>
      </c>
      <c r="B449" s="2" t="s">
        <v>5110</v>
      </c>
      <c r="C449" s="2" t="n">
        <v>405.100452838</v>
      </c>
      <c r="D449" s="2" t="n">
        <v>8.02350486451267</v>
      </c>
      <c r="E449" s="2" t="s">
        <v>5111</v>
      </c>
      <c r="F449" s="2" t="s">
        <v>24</v>
      </c>
      <c r="G449" s="2" t="s">
        <v>5112</v>
      </c>
      <c r="H449" s="2" t="s">
        <v>5113</v>
      </c>
      <c r="I449" s="2" t="s">
        <v>5114</v>
      </c>
      <c r="J449" s="2" t="s">
        <v>5115</v>
      </c>
      <c r="K449" s="2" t="s">
        <v>29</v>
      </c>
      <c r="L449" s="2" t="s">
        <v>29</v>
      </c>
      <c r="M449" s="2" t="s">
        <v>29</v>
      </c>
      <c r="N449" s="2" t="s">
        <v>5116</v>
      </c>
      <c r="O449" s="2" t="s">
        <v>5117</v>
      </c>
      <c r="P449" s="2" t="s">
        <v>5118</v>
      </c>
      <c r="Q449" s="2" t="s">
        <v>5119</v>
      </c>
      <c r="R449" s="2" t="s">
        <v>355</v>
      </c>
      <c r="S449" s="2" t="s">
        <v>356</v>
      </c>
      <c r="T449" s="2" t="s">
        <v>357</v>
      </c>
      <c r="U449" s="2" t="s">
        <v>29</v>
      </c>
      <c r="V449" s="2" t="n">
        <v>1</v>
      </c>
    </row>
    <row r="450">
      <c r="A450" s="2" t="n">
        <v>449</v>
      </c>
      <c r="B450" s="2" t="s">
        <v>5120</v>
      </c>
      <c r="C450" s="2" t="n">
        <v>406.0165306</v>
      </c>
      <c r="D450" s="2" t="n">
        <v>6.05304427225633</v>
      </c>
      <c r="E450" s="2" t="s">
        <v>5121</v>
      </c>
      <c r="F450" s="2" t="s">
        <v>522</v>
      </c>
      <c r="G450" s="2" t="s">
        <v>5122</v>
      </c>
      <c r="H450" s="2" t="s">
        <v>5123</v>
      </c>
      <c r="I450" s="2" t="s">
        <v>5124</v>
      </c>
      <c r="J450" s="2" t="s">
        <v>5125</v>
      </c>
      <c r="K450" s="2" t="s">
        <v>29</v>
      </c>
      <c r="L450" s="2" t="s">
        <v>5126</v>
      </c>
      <c r="M450" s="2" t="s">
        <v>29</v>
      </c>
      <c r="N450" s="2" t="s">
        <v>5127</v>
      </c>
      <c r="O450" s="2" t="s">
        <v>5128</v>
      </c>
      <c r="P450" s="2" t="s">
        <v>5129</v>
      </c>
      <c r="Q450" s="2" t="s">
        <v>5130</v>
      </c>
      <c r="R450" s="2" t="s">
        <v>355</v>
      </c>
      <c r="S450" s="2" t="s">
        <v>5131</v>
      </c>
      <c r="T450" s="2" t="s">
        <v>5132</v>
      </c>
      <c r="U450" s="2" t="s">
        <v>39</v>
      </c>
      <c r="V450" s="2" t="n">
        <v>1</v>
      </c>
    </row>
    <row r="451">
      <c r="A451" s="2" t="n">
        <v>450</v>
      </c>
      <c r="B451" s="2" t="s">
        <v>5133</v>
      </c>
      <c r="C451" s="2" t="n">
        <v>406.10628484</v>
      </c>
      <c r="D451" s="2" t="n">
        <v>4.04815180960453</v>
      </c>
      <c r="E451" s="2" t="s">
        <v>5134</v>
      </c>
      <c r="F451" s="2" t="s">
        <v>24</v>
      </c>
      <c r="G451" s="2" t="s">
        <v>5135</v>
      </c>
      <c r="H451" s="2" t="s">
        <v>5136</v>
      </c>
      <c r="I451" s="2" t="s">
        <v>5137</v>
      </c>
      <c r="J451" s="2" t="s">
        <v>5138</v>
      </c>
      <c r="K451" s="2" t="s">
        <v>29</v>
      </c>
      <c r="L451" s="2" t="s">
        <v>29</v>
      </c>
      <c r="M451" s="2" t="s">
        <v>5139</v>
      </c>
      <c r="N451" s="2" t="s">
        <v>5140</v>
      </c>
      <c r="O451" s="2" t="s">
        <v>5141</v>
      </c>
      <c r="P451" s="2" t="s">
        <v>5142</v>
      </c>
      <c r="Q451" s="2" t="s">
        <v>5143</v>
      </c>
      <c r="R451" s="2" t="s">
        <v>502</v>
      </c>
      <c r="S451" s="2" t="s">
        <v>503</v>
      </c>
      <c r="T451" s="2" t="s">
        <v>5144</v>
      </c>
      <c r="U451" s="2" t="s">
        <v>29</v>
      </c>
      <c r="V451" s="2" t="n">
        <v>1</v>
      </c>
    </row>
    <row r="452">
      <c r="A452" s="2" t="n">
        <v>451</v>
      </c>
      <c r="B452" s="2" t="s">
        <v>5145</v>
      </c>
      <c r="C452" s="2" t="n">
        <v>406.945184652</v>
      </c>
      <c r="D452" s="2" t="n">
        <v>7.32036907307792</v>
      </c>
      <c r="E452" s="2" t="s">
        <v>5146</v>
      </c>
      <c r="F452" s="2" t="s">
        <v>1019</v>
      </c>
      <c r="G452" s="2" t="s">
        <v>5147</v>
      </c>
      <c r="H452" s="2" t="s">
        <v>5148</v>
      </c>
      <c r="I452" s="2" t="s">
        <v>5149</v>
      </c>
      <c r="J452" s="2" t="s">
        <v>5150</v>
      </c>
      <c r="K452" s="2" t="s">
        <v>29</v>
      </c>
      <c r="L452" s="2" t="s">
        <v>29</v>
      </c>
      <c r="M452" s="2" t="s">
        <v>29</v>
      </c>
      <c r="N452" s="2" t="s">
        <v>5151</v>
      </c>
      <c r="O452" s="2" t="s">
        <v>29</v>
      </c>
      <c r="P452" s="2" t="s">
        <v>5152</v>
      </c>
      <c r="Q452" s="2" t="s">
        <v>5153</v>
      </c>
      <c r="R452" s="2" t="s">
        <v>49</v>
      </c>
      <c r="S452" s="2" t="s">
        <v>218</v>
      </c>
      <c r="T452" s="2" t="s">
        <v>219</v>
      </c>
      <c r="U452" s="2" t="s">
        <v>29</v>
      </c>
      <c r="V452" s="2" t="n">
        <v>1</v>
      </c>
    </row>
    <row r="453">
      <c r="A453" s="2" t="n">
        <v>452</v>
      </c>
      <c r="B453" s="2" t="s">
        <v>5154</v>
      </c>
      <c r="C453" s="2" t="n">
        <v>407.064971734</v>
      </c>
      <c r="D453" s="2" t="n">
        <v>1.47255293962879</v>
      </c>
      <c r="E453" s="2" t="s">
        <v>5155</v>
      </c>
      <c r="F453" s="2" t="s">
        <v>24</v>
      </c>
      <c r="G453" s="2" t="s">
        <v>5156</v>
      </c>
      <c r="H453" s="2" t="s">
        <v>5157</v>
      </c>
      <c r="I453" s="2" t="s">
        <v>5158</v>
      </c>
      <c r="J453" s="2" t="s">
        <v>5159</v>
      </c>
      <c r="K453" s="2" t="s">
        <v>29</v>
      </c>
      <c r="L453" s="2" t="s">
        <v>5160</v>
      </c>
      <c r="M453" s="2" t="s">
        <v>5161</v>
      </c>
      <c r="N453" s="2" t="s">
        <v>5162</v>
      </c>
      <c r="O453" s="2" t="s">
        <v>5163</v>
      </c>
      <c r="P453" s="2" t="s">
        <v>5164</v>
      </c>
      <c r="Q453" s="2" t="s">
        <v>5165</v>
      </c>
      <c r="R453" s="2" t="s">
        <v>502</v>
      </c>
      <c r="S453" s="2" t="s">
        <v>503</v>
      </c>
      <c r="T453" s="2" t="s">
        <v>5166</v>
      </c>
      <c r="U453" s="2" t="s">
        <v>39</v>
      </c>
      <c r="V453" s="2" t="n">
        <v>1</v>
      </c>
    </row>
    <row r="454">
      <c r="A454" s="2" t="n">
        <v>453</v>
      </c>
      <c r="B454" s="2" t="s">
        <v>5167</v>
      </c>
      <c r="C454" s="2" t="n">
        <v>409.236064114</v>
      </c>
      <c r="D454" s="2" t="n">
        <v>0.132970557119784</v>
      </c>
      <c r="E454" s="2" t="s">
        <v>5168</v>
      </c>
      <c r="F454" s="2" t="s">
        <v>110</v>
      </c>
      <c r="G454" s="2" t="s">
        <v>5169</v>
      </c>
      <c r="H454" s="2" t="s">
        <v>5170</v>
      </c>
      <c r="I454" s="2" t="s">
        <v>5171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5172</v>
      </c>
      <c r="O454" s="2" t="s">
        <v>29</v>
      </c>
      <c r="P454" s="2" t="s">
        <v>5173</v>
      </c>
      <c r="Q454" s="2" t="s">
        <v>5174</v>
      </c>
      <c r="R454" s="2" t="s">
        <v>1490</v>
      </c>
      <c r="S454" s="2" t="s">
        <v>4236</v>
      </c>
      <c r="T454" s="2" t="s">
        <v>5175</v>
      </c>
      <c r="U454" s="2" t="s">
        <v>29</v>
      </c>
      <c r="V454" s="2" t="n">
        <v>1</v>
      </c>
    </row>
    <row r="455">
      <c r="A455" s="2" t="n">
        <v>454</v>
      </c>
      <c r="B455" s="2" t="s">
        <v>5176</v>
      </c>
      <c r="C455" s="2" t="n">
        <v>410.065808911</v>
      </c>
      <c r="D455" s="2" t="n">
        <v>1.58969270523522</v>
      </c>
      <c r="E455" s="2" t="s">
        <v>5177</v>
      </c>
      <c r="F455" s="2" t="s">
        <v>42</v>
      </c>
      <c r="G455" s="2" t="s">
        <v>5178</v>
      </c>
      <c r="H455" s="2" t="s">
        <v>5179</v>
      </c>
      <c r="I455" s="2" t="s">
        <v>5180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5181</v>
      </c>
      <c r="O455" s="2" t="s">
        <v>29</v>
      </c>
      <c r="P455" s="2" t="s">
        <v>5182</v>
      </c>
      <c r="Q455" s="2" t="s">
        <v>5183</v>
      </c>
      <c r="R455" s="2" t="s">
        <v>64</v>
      </c>
      <c r="S455" s="2" t="s">
        <v>65</v>
      </c>
      <c r="T455" s="2" t="s">
        <v>66</v>
      </c>
      <c r="U455" s="2" t="s">
        <v>29</v>
      </c>
      <c r="V455" s="2" t="n">
        <v>1</v>
      </c>
    </row>
    <row r="456">
      <c r="A456" s="2" t="n">
        <v>455</v>
      </c>
      <c r="B456" s="2" t="s">
        <v>5184</v>
      </c>
      <c r="C456" s="2" t="n">
        <v>411.203779398</v>
      </c>
      <c r="D456" s="2" t="n">
        <v>2.61777812863371</v>
      </c>
      <c r="E456" s="2" t="s">
        <v>5185</v>
      </c>
      <c r="F456" s="2" t="s">
        <v>110</v>
      </c>
      <c r="G456" s="2" t="s">
        <v>5186</v>
      </c>
      <c r="H456" s="2" t="s">
        <v>5187</v>
      </c>
      <c r="I456" s="2" t="s">
        <v>5188</v>
      </c>
      <c r="J456" s="2" t="s">
        <v>5189</v>
      </c>
      <c r="K456" s="2" t="s">
        <v>226</v>
      </c>
      <c r="L456" s="2" t="s">
        <v>226</v>
      </c>
      <c r="M456" s="2" t="s">
        <v>226</v>
      </c>
      <c r="N456" s="2" t="s">
        <v>5190</v>
      </c>
      <c r="O456" s="2" t="s">
        <v>226</v>
      </c>
      <c r="P456" s="2" t="s">
        <v>5191</v>
      </c>
      <c r="Q456" s="2" t="s">
        <v>5192</v>
      </c>
      <c r="R456" s="2" t="s">
        <v>5193</v>
      </c>
      <c r="S456" s="2" t="s">
        <v>5194</v>
      </c>
      <c r="T456" s="2" t="s">
        <v>5195</v>
      </c>
      <c r="U456" s="2" t="s">
        <v>29</v>
      </c>
      <c r="V456" s="2" t="n">
        <v>3</v>
      </c>
    </row>
    <row r="457">
      <c r="A457" s="2" t="n">
        <v>456</v>
      </c>
      <c r="B457" s="2" t="s">
        <v>5196</v>
      </c>
      <c r="C457" s="2" t="n">
        <v>413.076586924</v>
      </c>
      <c r="D457" s="2" t="n">
        <v>0.0929112229683649</v>
      </c>
      <c r="E457" s="2" t="s">
        <v>5197</v>
      </c>
      <c r="F457" s="2" t="s">
        <v>522</v>
      </c>
      <c r="G457" s="2" t="s">
        <v>5198</v>
      </c>
      <c r="H457" s="2" t="s">
        <v>5199</v>
      </c>
      <c r="I457" s="2" t="s">
        <v>5200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5201</v>
      </c>
      <c r="O457" s="2" t="s">
        <v>29</v>
      </c>
      <c r="P457" s="2" t="s">
        <v>5202</v>
      </c>
      <c r="Q457" s="2" t="s">
        <v>5203</v>
      </c>
      <c r="R457" s="2" t="s">
        <v>502</v>
      </c>
      <c r="S457" s="2" t="s">
        <v>503</v>
      </c>
      <c r="T457" s="2" t="s">
        <v>5204</v>
      </c>
      <c r="U457" s="2" t="s">
        <v>29</v>
      </c>
      <c r="V457" s="2" t="n">
        <v>1</v>
      </c>
    </row>
    <row r="458">
      <c r="A458" s="2" t="n">
        <v>457</v>
      </c>
      <c r="B458" s="2" t="s">
        <v>5205</v>
      </c>
      <c r="C458" s="2" t="n">
        <v>413.12419168</v>
      </c>
      <c r="D458" s="2" t="n">
        <v>4.02935793069195</v>
      </c>
      <c r="E458" s="2" t="s">
        <v>5206</v>
      </c>
      <c r="F458" s="2" t="s">
        <v>110</v>
      </c>
      <c r="G458" s="2" t="s">
        <v>5207</v>
      </c>
      <c r="H458" s="2" t="s">
        <v>5208</v>
      </c>
      <c r="I458" s="2" t="s">
        <v>5209</v>
      </c>
      <c r="J458" s="2" t="s">
        <v>5210</v>
      </c>
      <c r="K458" s="2" t="s">
        <v>72</v>
      </c>
      <c r="L458" s="2" t="s">
        <v>5211</v>
      </c>
      <c r="M458" s="2" t="s">
        <v>5212</v>
      </c>
      <c r="N458" s="2" t="s">
        <v>5213</v>
      </c>
      <c r="O458" s="2" t="s">
        <v>5214</v>
      </c>
      <c r="P458" s="2" t="s">
        <v>5215</v>
      </c>
      <c r="Q458" s="2" t="s">
        <v>5216</v>
      </c>
      <c r="R458" s="2" t="s">
        <v>5217</v>
      </c>
      <c r="S458" s="2" t="s">
        <v>5218</v>
      </c>
      <c r="T458" s="2" t="s">
        <v>5219</v>
      </c>
      <c r="U458" s="2" t="s">
        <v>39</v>
      </c>
      <c r="V458" s="2" t="n">
        <v>2</v>
      </c>
    </row>
    <row r="459">
      <c r="A459" s="2" t="n">
        <v>458</v>
      </c>
      <c r="B459" s="2" t="s">
        <v>5220</v>
      </c>
      <c r="C459" s="2" t="n">
        <v>415.034052205</v>
      </c>
      <c r="D459" s="2" t="n">
        <v>4.32378646717235</v>
      </c>
      <c r="E459" s="2" t="s">
        <v>5221</v>
      </c>
      <c r="F459" s="2" t="s">
        <v>24</v>
      </c>
      <c r="G459" s="2" t="s">
        <v>5222</v>
      </c>
      <c r="H459" s="2" t="s">
        <v>5223</v>
      </c>
      <c r="I459" s="2" t="s">
        <v>5224</v>
      </c>
      <c r="J459" s="2" t="s">
        <v>226</v>
      </c>
      <c r="K459" s="2" t="s">
        <v>226</v>
      </c>
      <c r="L459" s="2" t="s">
        <v>226</v>
      </c>
      <c r="M459" s="2" t="s">
        <v>5225</v>
      </c>
      <c r="N459" s="2" t="s">
        <v>5226</v>
      </c>
      <c r="O459" s="2" t="s">
        <v>5227</v>
      </c>
      <c r="P459" s="2" t="s">
        <v>5228</v>
      </c>
      <c r="Q459" s="2" t="s">
        <v>5229</v>
      </c>
      <c r="R459" s="2" t="s">
        <v>5230</v>
      </c>
      <c r="S459" s="2" t="s">
        <v>5231</v>
      </c>
      <c r="T459" s="2" t="s">
        <v>5232</v>
      </c>
      <c r="U459" s="2" t="s">
        <v>29</v>
      </c>
      <c r="V459" s="2" t="n">
        <v>3</v>
      </c>
    </row>
    <row r="460">
      <c r="A460" s="2" t="n">
        <v>459</v>
      </c>
      <c r="B460" s="2" t="s">
        <v>5233</v>
      </c>
      <c r="C460" s="2" t="n">
        <v>415.144546138</v>
      </c>
      <c r="D460" s="2" t="n">
        <v>0.235395020960763</v>
      </c>
      <c r="E460" s="2" t="s">
        <v>5234</v>
      </c>
      <c r="F460" s="2" t="s">
        <v>24</v>
      </c>
      <c r="G460" s="2" t="s">
        <v>5235</v>
      </c>
      <c r="H460" s="2" t="s">
        <v>5236</v>
      </c>
      <c r="I460" s="2" t="s">
        <v>5237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5238</v>
      </c>
      <c r="Q460" s="2" t="s">
        <v>5239</v>
      </c>
      <c r="R460" s="2" t="s">
        <v>355</v>
      </c>
      <c r="S460" s="2" t="s">
        <v>3062</v>
      </c>
      <c r="T460" s="2" t="s">
        <v>205</v>
      </c>
      <c r="U460" s="2" t="s">
        <v>29</v>
      </c>
      <c r="V460" s="2" t="n">
        <v>1</v>
      </c>
    </row>
    <row r="461">
      <c r="A461" s="2" t="n">
        <v>460</v>
      </c>
      <c r="B461" s="2" t="s">
        <v>5240</v>
      </c>
      <c r="C461" s="2" t="n">
        <v>416.13757098</v>
      </c>
      <c r="D461" s="2" t="n">
        <v>1.90924416521194</v>
      </c>
      <c r="E461" s="2" t="s">
        <v>5241</v>
      </c>
      <c r="F461" s="2" t="s">
        <v>110</v>
      </c>
      <c r="G461" s="2" t="s">
        <v>5242</v>
      </c>
      <c r="H461" s="2" t="s">
        <v>5243</v>
      </c>
      <c r="I461" s="2" t="s">
        <v>5244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5245</v>
      </c>
      <c r="O461" s="2" t="s">
        <v>29</v>
      </c>
      <c r="P461" s="2" t="s">
        <v>5246</v>
      </c>
      <c r="Q461" s="2" t="s">
        <v>5247</v>
      </c>
      <c r="R461" s="2" t="s">
        <v>355</v>
      </c>
      <c r="S461" s="2" t="s">
        <v>3533</v>
      </c>
      <c r="T461" s="2" t="s">
        <v>5248</v>
      </c>
      <c r="U461" s="2" t="s">
        <v>29</v>
      </c>
      <c r="V461" s="2" t="n">
        <v>1</v>
      </c>
    </row>
    <row r="462">
      <c r="A462" s="2" t="n">
        <v>461</v>
      </c>
      <c r="B462" s="2" t="s">
        <v>5249</v>
      </c>
      <c r="C462" s="2" t="n">
        <v>418.0992141</v>
      </c>
      <c r="D462" s="2" t="n">
        <v>2.21372943106219</v>
      </c>
      <c r="E462" s="2" t="s">
        <v>5250</v>
      </c>
      <c r="F462" s="2" t="s">
        <v>42</v>
      </c>
      <c r="G462" s="2" t="s">
        <v>5251</v>
      </c>
      <c r="H462" s="2" t="s">
        <v>5252</v>
      </c>
      <c r="I462" s="2" t="s">
        <v>5253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5254</v>
      </c>
      <c r="Q462" s="2" t="s">
        <v>5255</v>
      </c>
      <c r="R462" s="2" t="s">
        <v>355</v>
      </c>
      <c r="S462" s="2" t="s">
        <v>588</v>
      </c>
      <c r="T462" s="2" t="s">
        <v>5256</v>
      </c>
      <c r="U462" s="2" t="s">
        <v>29</v>
      </c>
      <c r="V462" s="2" t="n">
        <v>1</v>
      </c>
    </row>
    <row r="463">
      <c r="A463" s="2" t="n">
        <v>462</v>
      </c>
      <c r="B463" s="2" t="s">
        <v>5257</v>
      </c>
      <c r="C463" s="2" t="n">
        <v>419.091642391</v>
      </c>
      <c r="D463" s="2" t="n">
        <v>7.44651697051927</v>
      </c>
      <c r="E463" s="2" t="s">
        <v>5258</v>
      </c>
      <c r="F463" s="2" t="s">
        <v>522</v>
      </c>
      <c r="G463" s="2" t="s">
        <v>5259</v>
      </c>
      <c r="H463" s="2" t="s">
        <v>5260</v>
      </c>
      <c r="I463" s="2" t="s">
        <v>5261</v>
      </c>
      <c r="J463" s="2" t="s">
        <v>5262</v>
      </c>
      <c r="K463" s="2" t="s">
        <v>72</v>
      </c>
      <c r="L463" s="2" t="s">
        <v>72</v>
      </c>
      <c r="M463" s="2" t="s">
        <v>5263</v>
      </c>
      <c r="N463" s="2" t="s">
        <v>5264</v>
      </c>
      <c r="O463" s="2" t="s">
        <v>5265</v>
      </c>
      <c r="P463" s="2" t="s">
        <v>5266</v>
      </c>
      <c r="Q463" s="2" t="s">
        <v>5267</v>
      </c>
      <c r="R463" s="2" t="s">
        <v>537</v>
      </c>
      <c r="S463" s="2" t="s">
        <v>5268</v>
      </c>
      <c r="T463" s="2" t="s">
        <v>5269</v>
      </c>
      <c r="U463" s="2" t="s">
        <v>29</v>
      </c>
      <c r="V463" s="2" t="n">
        <v>2</v>
      </c>
    </row>
    <row r="464">
      <c r="A464" s="2" t="n">
        <v>463</v>
      </c>
      <c r="B464" s="2" t="s">
        <v>5270</v>
      </c>
      <c r="C464" s="2" t="n">
        <v>420.0887212</v>
      </c>
      <c r="D464" s="2" t="n">
        <v>0.405842919456057</v>
      </c>
      <c r="E464" s="2" t="s">
        <v>5271</v>
      </c>
      <c r="F464" s="2" t="s">
        <v>522</v>
      </c>
      <c r="G464" s="2" t="s">
        <v>5272</v>
      </c>
      <c r="H464" s="2" t="s">
        <v>5273</v>
      </c>
      <c r="I464" s="2" t="s">
        <v>5274</v>
      </c>
      <c r="J464" s="2" t="s">
        <v>5275</v>
      </c>
      <c r="K464" s="2" t="s">
        <v>29</v>
      </c>
      <c r="L464" s="2" t="s">
        <v>5276</v>
      </c>
      <c r="M464" s="2" t="s">
        <v>5277</v>
      </c>
      <c r="N464" s="2" t="s">
        <v>5278</v>
      </c>
      <c r="O464" s="2" t="s">
        <v>5279</v>
      </c>
      <c r="P464" s="2" t="s">
        <v>5280</v>
      </c>
      <c r="Q464" s="2" t="s">
        <v>5281</v>
      </c>
      <c r="R464" s="2" t="s">
        <v>355</v>
      </c>
      <c r="S464" s="2" t="s">
        <v>356</v>
      </c>
      <c r="T464" s="2" t="s">
        <v>5282</v>
      </c>
      <c r="U464" s="2" t="s">
        <v>39</v>
      </c>
      <c r="V464" s="2" t="n">
        <v>1</v>
      </c>
    </row>
    <row r="465">
      <c r="A465" s="2" t="n">
        <v>464</v>
      </c>
      <c r="B465" s="2" t="s">
        <v>5283</v>
      </c>
      <c r="C465" s="2" t="n">
        <v>421.077085104</v>
      </c>
      <c r="D465" s="2" t="n">
        <v>2.74858775612602</v>
      </c>
      <c r="E465" s="2" t="s">
        <v>5284</v>
      </c>
      <c r="F465" s="2" t="s">
        <v>42</v>
      </c>
      <c r="G465" s="2" t="s">
        <v>5285</v>
      </c>
      <c r="H465" s="2" t="s">
        <v>5286</v>
      </c>
      <c r="I465" s="2" t="s">
        <v>5287</v>
      </c>
      <c r="J465" s="2" t="s">
        <v>5288</v>
      </c>
      <c r="K465" s="2" t="s">
        <v>29</v>
      </c>
      <c r="L465" s="2" t="s">
        <v>29</v>
      </c>
      <c r="M465" s="2" t="s">
        <v>5289</v>
      </c>
      <c r="N465" s="2" t="s">
        <v>5290</v>
      </c>
      <c r="O465" s="2" t="s">
        <v>5291</v>
      </c>
      <c r="P465" s="2" t="s">
        <v>5292</v>
      </c>
      <c r="Q465" s="2" t="s">
        <v>5293</v>
      </c>
      <c r="R465" s="2" t="s">
        <v>64</v>
      </c>
      <c r="S465" s="2" t="s">
        <v>65</v>
      </c>
      <c r="T465" s="2" t="s">
        <v>66</v>
      </c>
      <c r="U465" s="2" t="s">
        <v>29</v>
      </c>
      <c r="V465" s="2" t="n">
        <v>1</v>
      </c>
    </row>
    <row r="466">
      <c r="A466" s="2" t="n">
        <v>465</v>
      </c>
      <c r="B466" s="2" t="s">
        <v>5294</v>
      </c>
      <c r="C466" s="2" t="n">
        <v>421.236240948</v>
      </c>
      <c r="D466" s="2" t="n">
        <v>8.57605014107667</v>
      </c>
      <c r="E466" s="2" t="s">
        <v>5295</v>
      </c>
      <c r="F466" s="2" t="s">
        <v>522</v>
      </c>
      <c r="G466" s="2" t="s">
        <v>5296</v>
      </c>
      <c r="H466" s="2" t="s">
        <v>5297</v>
      </c>
      <c r="I466" s="2" t="s">
        <v>5298</v>
      </c>
      <c r="J466" s="2" t="s">
        <v>5299</v>
      </c>
      <c r="K466" s="2" t="s">
        <v>226</v>
      </c>
      <c r="L466" s="2" t="s">
        <v>226</v>
      </c>
      <c r="M466" s="2" t="s">
        <v>5300</v>
      </c>
      <c r="N466" s="2" t="s">
        <v>5301</v>
      </c>
      <c r="O466" s="2" t="s">
        <v>5302</v>
      </c>
      <c r="P466" s="2" t="s">
        <v>5303</v>
      </c>
      <c r="Q466" s="2" t="s">
        <v>5304</v>
      </c>
      <c r="R466" s="2" t="s">
        <v>5305</v>
      </c>
      <c r="S466" s="2" t="s">
        <v>5306</v>
      </c>
      <c r="T466" s="2" t="s">
        <v>5307</v>
      </c>
      <c r="U466" s="2" t="s">
        <v>29</v>
      </c>
      <c r="V466" s="2" t="n">
        <v>3</v>
      </c>
    </row>
    <row r="467">
      <c r="A467" s="2" t="n">
        <v>466</v>
      </c>
      <c r="B467" s="2" t="s">
        <v>5308</v>
      </c>
      <c r="C467" s="2" t="n">
        <v>421.992668739</v>
      </c>
      <c r="D467" s="2" t="n">
        <v>6.18062097532332</v>
      </c>
      <c r="E467" s="2" t="s">
        <v>5309</v>
      </c>
      <c r="F467" s="2" t="s">
        <v>522</v>
      </c>
      <c r="G467" s="2" t="s">
        <v>5310</v>
      </c>
      <c r="H467" s="2" t="s">
        <v>5311</v>
      </c>
      <c r="I467" s="2" t="s">
        <v>5312</v>
      </c>
      <c r="J467" s="2" t="s">
        <v>5313</v>
      </c>
      <c r="K467" s="2" t="s">
        <v>29</v>
      </c>
      <c r="L467" s="2" t="s">
        <v>5314</v>
      </c>
      <c r="M467" s="2" t="s">
        <v>5315</v>
      </c>
      <c r="N467" s="2" t="s">
        <v>5316</v>
      </c>
      <c r="O467" s="2" t="s">
        <v>5317</v>
      </c>
      <c r="P467" s="2" t="s">
        <v>5318</v>
      </c>
      <c r="Q467" s="2" t="s">
        <v>5319</v>
      </c>
      <c r="R467" s="2" t="s">
        <v>64</v>
      </c>
      <c r="S467" s="2" t="s">
        <v>1083</v>
      </c>
      <c r="T467" s="2" t="s">
        <v>5320</v>
      </c>
      <c r="U467" s="2" t="s">
        <v>39</v>
      </c>
      <c r="V467" s="2" t="n">
        <v>1</v>
      </c>
    </row>
    <row r="468">
      <c r="A468" s="2" t="n">
        <v>467</v>
      </c>
      <c r="B468" s="2" t="s">
        <v>5321</v>
      </c>
      <c r="C468" s="2" t="n">
        <v>422.085947897</v>
      </c>
      <c r="D468" s="2" t="n">
        <v>6.26071169904417</v>
      </c>
      <c r="E468" s="2" t="s">
        <v>5322</v>
      </c>
      <c r="F468" s="2" t="s">
        <v>522</v>
      </c>
      <c r="G468" s="2" t="s">
        <v>5323</v>
      </c>
      <c r="H468" s="2" t="s">
        <v>5324</v>
      </c>
      <c r="I468" s="2" t="s">
        <v>5325</v>
      </c>
      <c r="J468" s="2" t="s">
        <v>5326</v>
      </c>
      <c r="K468" s="2" t="s">
        <v>29</v>
      </c>
      <c r="L468" s="2" t="s">
        <v>29</v>
      </c>
      <c r="M468" s="2" t="s">
        <v>5327</v>
      </c>
      <c r="N468" s="2" t="s">
        <v>5328</v>
      </c>
      <c r="O468" s="2" t="s">
        <v>5329</v>
      </c>
      <c r="P468" s="2" t="s">
        <v>5330</v>
      </c>
      <c r="Q468" s="2" t="s">
        <v>5331</v>
      </c>
      <c r="R468" s="2" t="s">
        <v>64</v>
      </c>
      <c r="S468" s="2" t="s">
        <v>65</v>
      </c>
      <c r="T468" s="2" t="s">
        <v>66</v>
      </c>
      <c r="U468" s="2" t="s">
        <v>29</v>
      </c>
      <c r="V468" s="2" t="n">
        <v>1</v>
      </c>
    </row>
    <row r="469">
      <c r="A469" s="2" t="n">
        <v>468</v>
      </c>
      <c r="B469" s="2" t="s">
        <v>5332</v>
      </c>
      <c r="C469" s="2" t="n">
        <v>422.254811915</v>
      </c>
      <c r="D469" s="2" t="n">
        <v>2.91910262605679</v>
      </c>
      <c r="E469" s="2" t="s">
        <v>5333</v>
      </c>
      <c r="F469" s="2" t="s">
        <v>110</v>
      </c>
      <c r="G469" s="2" t="s">
        <v>5334</v>
      </c>
      <c r="H469" s="2" t="s">
        <v>5335</v>
      </c>
      <c r="I469" s="2" t="s">
        <v>5336</v>
      </c>
      <c r="J469" s="2" t="s">
        <v>226</v>
      </c>
      <c r="K469" s="2" t="s">
        <v>226</v>
      </c>
      <c r="L469" s="2" t="s">
        <v>226</v>
      </c>
      <c r="M469" s="2" t="s">
        <v>226</v>
      </c>
      <c r="N469" s="2" t="s">
        <v>226</v>
      </c>
      <c r="O469" s="2" t="s">
        <v>226</v>
      </c>
      <c r="P469" s="2" t="s">
        <v>5337</v>
      </c>
      <c r="Q469" s="2" t="s">
        <v>5338</v>
      </c>
      <c r="R469" s="2" t="s">
        <v>105</v>
      </c>
      <c r="S469" s="2" t="s">
        <v>106</v>
      </c>
      <c r="T469" s="2" t="s">
        <v>5339</v>
      </c>
      <c r="U469" s="2" t="s">
        <v>29</v>
      </c>
      <c r="V469" s="2" t="n">
        <v>3</v>
      </c>
    </row>
    <row r="470">
      <c r="A470" s="2" t="n">
        <v>469</v>
      </c>
      <c r="B470" s="2" t="s">
        <v>5340</v>
      </c>
      <c r="C470" s="2" t="n">
        <v>423.247375542</v>
      </c>
      <c r="D470" s="2" t="n">
        <v>1.83087898880442</v>
      </c>
      <c r="E470" s="2" t="s">
        <v>5341</v>
      </c>
      <c r="F470" s="2" t="s">
        <v>110</v>
      </c>
      <c r="G470" s="2" t="s">
        <v>5342</v>
      </c>
      <c r="H470" s="2" t="s">
        <v>5343</v>
      </c>
      <c r="I470" s="2" t="s">
        <v>5344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5345</v>
      </c>
      <c r="O470" s="2" t="s">
        <v>29</v>
      </c>
      <c r="P470" s="2" t="s">
        <v>5346</v>
      </c>
      <c r="Q470" s="2" t="s">
        <v>5347</v>
      </c>
      <c r="R470" s="2" t="s">
        <v>49</v>
      </c>
      <c r="S470" s="2" t="s">
        <v>165</v>
      </c>
      <c r="T470" s="2" t="s">
        <v>166</v>
      </c>
      <c r="U470" s="2" t="s">
        <v>29</v>
      </c>
      <c r="V470" s="2" t="n">
        <v>1</v>
      </c>
    </row>
    <row r="471">
      <c r="A471" s="2" t="n">
        <v>470</v>
      </c>
      <c r="B471" s="2" t="s">
        <v>5348</v>
      </c>
      <c r="C471" s="2" t="n">
        <v>424.080407031</v>
      </c>
      <c r="D471" s="2" t="n">
        <v>0.615720027040544</v>
      </c>
      <c r="E471" s="2" t="s">
        <v>5349</v>
      </c>
      <c r="F471" s="2" t="s">
        <v>250</v>
      </c>
      <c r="G471" s="2" t="s">
        <v>5350</v>
      </c>
      <c r="H471" s="2" t="s">
        <v>5351</v>
      </c>
      <c r="I471" s="2" t="s">
        <v>5352</v>
      </c>
      <c r="J471" s="2" t="s">
        <v>5353</v>
      </c>
      <c r="K471" s="2" t="s">
        <v>29</v>
      </c>
      <c r="L471" s="2" t="s">
        <v>29</v>
      </c>
      <c r="M471" s="2" t="s">
        <v>5354</v>
      </c>
      <c r="N471" s="2" t="s">
        <v>5355</v>
      </c>
      <c r="O471" s="2" t="s">
        <v>5356</v>
      </c>
      <c r="P471" s="2" t="s">
        <v>5357</v>
      </c>
      <c r="Q471" s="2" t="s">
        <v>5358</v>
      </c>
      <c r="R471" s="2" t="s">
        <v>355</v>
      </c>
      <c r="S471" s="2" t="s">
        <v>3869</v>
      </c>
      <c r="T471" s="2" t="s">
        <v>3870</v>
      </c>
      <c r="U471" s="2" t="s">
        <v>29</v>
      </c>
      <c r="V471" s="2" t="n">
        <v>1</v>
      </c>
    </row>
    <row r="472">
      <c r="A472" s="2" t="n">
        <v>471</v>
      </c>
      <c r="B472" s="2" t="s">
        <v>5359</v>
      </c>
      <c r="C472" s="2" t="n">
        <v>424.246963151</v>
      </c>
      <c r="D472" s="2" t="n">
        <v>7.36836495191451</v>
      </c>
      <c r="E472" s="2" t="s">
        <v>5360</v>
      </c>
      <c r="F472" s="2" t="s">
        <v>110</v>
      </c>
      <c r="G472" s="2" t="s">
        <v>5361</v>
      </c>
      <c r="H472" s="2" t="s">
        <v>5362</v>
      </c>
      <c r="I472" s="2" t="s">
        <v>5363</v>
      </c>
      <c r="J472" s="2" t="s">
        <v>5364</v>
      </c>
      <c r="K472" s="2" t="s">
        <v>5365</v>
      </c>
      <c r="L472" s="2" t="s">
        <v>29</v>
      </c>
      <c r="M472" s="2" t="s">
        <v>29</v>
      </c>
      <c r="N472" s="2" t="s">
        <v>5366</v>
      </c>
      <c r="O472" s="2" t="s">
        <v>29</v>
      </c>
      <c r="P472" s="2" t="s">
        <v>5367</v>
      </c>
      <c r="Q472" s="2" t="s">
        <v>5368</v>
      </c>
      <c r="R472" s="2" t="s">
        <v>1490</v>
      </c>
      <c r="S472" s="2" t="s">
        <v>4236</v>
      </c>
      <c r="T472" s="2" t="s">
        <v>5369</v>
      </c>
      <c r="U472" s="2" t="s">
        <v>29</v>
      </c>
      <c r="V472" s="2" t="n">
        <v>1</v>
      </c>
    </row>
    <row r="473">
      <c r="A473" s="2" t="n">
        <v>472</v>
      </c>
      <c r="B473" s="2" t="s">
        <v>5370</v>
      </c>
      <c r="C473" s="2" t="n">
        <v>424.942362402</v>
      </c>
      <c r="D473" s="2" t="n">
        <v>6.46710158858991</v>
      </c>
      <c r="E473" s="2" t="s">
        <v>5371</v>
      </c>
      <c r="F473" s="2" t="s">
        <v>1019</v>
      </c>
      <c r="G473" s="2" t="s">
        <v>5372</v>
      </c>
      <c r="H473" s="2" t="s">
        <v>5373</v>
      </c>
      <c r="I473" s="2" t="s">
        <v>5374</v>
      </c>
      <c r="J473" s="2" t="s">
        <v>5375</v>
      </c>
      <c r="K473" s="2" t="s">
        <v>29</v>
      </c>
      <c r="L473" s="2" t="s">
        <v>29</v>
      </c>
      <c r="M473" s="2" t="s">
        <v>5376</v>
      </c>
      <c r="N473" s="2" t="s">
        <v>5377</v>
      </c>
      <c r="O473" s="2" t="s">
        <v>5378</v>
      </c>
      <c r="P473" s="2" t="s">
        <v>5379</v>
      </c>
      <c r="Q473" s="2" t="s">
        <v>5380</v>
      </c>
      <c r="R473" s="2" t="s">
        <v>355</v>
      </c>
      <c r="S473" s="2" t="s">
        <v>3869</v>
      </c>
      <c r="T473" s="2" t="s">
        <v>5381</v>
      </c>
      <c r="U473" s="2" t="s">
        <v>29</v>
      </c>
      <c r="V473" s="2" t="n">
        <v>1</v>
      </c>
    </row>
    <row r="474">
      <c r="A474" s="2" t="n">
        <v>473</v>
      </c>
      <c r="B474" s="2" t="s">
        <v>5382</v>
      </c>
      <c r="C474" s="2" t="n">
        <v>425.077333111</v>
      </c>
      <c r="D474" s="2" t="n">
        <v>1.36716012607371</v>
      </c>
      <c r="E474" s="2" t="s">
        <v>5383</v>
      </c>
      <c r="F474" s="2" t="s">
        <v>360</v>
      </c>
      <c r="G474" s="2" t="s">
        <v>5384</v>
      </c>
      <c r="H474" s="2" t="s">
        <v>5385</v>
      </c>
      <c r="I474" s="2" t="s">
        <v>5386</v>
      </c>
      <c r="J474" s="2" t="s">
        <v>5387</v>
      </c>
      <c r="K474" s="2" t="s">
        <v>29</v>
      </c>
      <c r="L474" s="2" t="s">
        <v>29</v>
      </c>
      <c r="M474" s="2" t="s">
        <v>29</v>
      </c>
      <c r="N474" s="2" t="s">
        <v>5388</v>
      </c>
      <c r="O474" s="2" t="s">
        <v>5389</v>
      </c>
      <c r="P474" s="2" t="s">
        <v>5390</v>
      </c>
      <c r="Q474" s="2" t="s">
        <v>5391</v>
      </c>
      <c r="R474" s="2" t="s">
        <v>2509</v>
      </c>
      <c r="S474" s="2" t="s">
        <v>5392</v>
      </c>
      <c r="T474" s="2" t="s">
        <v>205</v>
      </c>
      <c r="U474" s="2" t="s">
        <v>29</v>
      </c>
      <c r="V474" s="2" t="n">
        <v>1</v>
      </c>
    </row>
    <row r="475">
      <c r="A475" s="2" t="n">
        <v>474</v>
      </c>
      <c r="B475" s="2" t="s">
        <v>5393</v>
      </c>
      <c r="C475" s="2" t="n">
        <v>426.022138749</v>
      </c>
      <c r="D475" s="2" t="n">
        <v>0.885204076527792</v>
      </c>
      <c r="E475" s="2" t="s">
        <v>5394</v>
      </c>
      <c r="F475" s="2" t="s">
        <v>110</v>
      </c>
      <c r="G475" s="2" t="s">
        <v>5395</v>
      </c>
      <c r="H475" s="2" t="s">
        <v>5396</v>
      </c>
      <c r="I475" s="2" t="s">
        <v>5397</v>
      </c>
      <c r="J475" s="2" t="s">
        <v>5398</v>
      </c>
      <c r="K475" s="2" t="s">
        <v>226</v>
      </c>
      <c r="L475" s="2" t="s">
        <v>5399</v>
      </c>
      <c r="M475" s="2" t="s">
        <v>5400</v>
      </c>
      <c r="N475" s="2" t="s">
        <v>5401</v>
      </c>
      <c r="O475" s="2" t="s">
        <v>5402</v>
      </c>
      <c r="P475" s="2" t="s">
        <v>5403</v>
      </c>
      <c r="Q475" s="2" t="s">
        <v>5404</v>
      </c>
      <c r="R475" s="2" t="s">
        <v>2988</v>
      </c>
      <c r="S475" s="2" t="s">
        <v>5405</v>
      </c>
      <c r="T475" s="2" t="s">
        <v>5406</v>
      </c>
      <c r="U475" s="2" t="s">
        <v>39</v>
      </c>
      <c r="V475" s="2" t="n">
        <v>3</v>
      </c>
    </row>
    <row r="476">
      <c r="A476" s="2" t="n">
        <v>475</v>
      </c>
      <c r="B476" s="2" t="s">
        <v>5407</v>
      </c>
      <c r="C476" s="2" t="n">
        <v>427.052683952</v>
      </c>
      <c r="D476" s="2" t="n">
        <v>3.58405044831459</v>
      </c>
      <c r="E476" s="2" t="s">
        <v>5408</v>
      </c>
      <c r="F476" s="2" t="s">
        <v>1019</v>
      </c>
      <c r="G476" s="2" t="s">
        <v>5409</v>
      </c>
      <c r="H476" s="2" t="s">
        <v>5410</v>
      </c>
      <c r="I476" s="2" t="s">
        <v>5411</v>
      </c>
      <c r="J476" s="2" t="s">
        <v>72</v>
      </c>
      <c r="K476" s="2" t="s">
        <v>72</v>
      </c>
      <c r="L476" s="2" t="s">
        <v>72</v>
      </c>
      <c r="M476" s="2" t="s">
        <v>5412</v>
      </c>
      <c r="N476" s="2" t="s">
        <v>5413</v>
      </c>
      <c r="O476" s="2" t="s">
        <v>5414</v>
      </c>
      <c r="P476" s="2" t="s">
        <v>5415</v>
      </c>
      <c r="Q476" s="2" t="s">
        <v>5416</v>
      </c>
      <c r="R476" s="2" t="s">
        <v>715</v>
      </c>
      <c r="S476" s="2" t="s">
        <v>5417</v>
      </c>
      <c r="T476" s="2" t="s">
        <v>5418</v>
      </c>
      <c r="U476" s="2" t="s">
        <v>29</v>
      </c>
      <c r="V476" s="2" t="n">
        <v>2</v>
      </c>
    </row>
    <row r="477">
      <c r="A477" s="2" t="n">
        <v>476</v>
      </c>
      <c r="B477" s="2" t="s">
        <v>5419</v>
      </c>
      <c r="C477" s="2" t="n">
        <v>428.084114179</v>
      </c>
      <c r="D477" s="2" t="n">
        <v>0.759816496730439</v>
      </c>
      <c r="E477" s="2" t="s">
        <v>5420</v>
      </c>
      <c r="F477" s="2" t="s">
        <v>522</v>
      </c>
      <c r="G477" s="2" t="s">
        <v>5421</v>
      </c>
      <c r="H477" s="2" t="s">
        <v>5422</v>
      </c>
      <c r="I477" s="2" t="s">
        <v>5423</v>
      </c>
      <c r="J477" s="2" t="s">
        <v>5424</v>
      </c>
      <c r="K477" s="2" t="s">
        <v>29</v>
      </c>
      <c r="L477" s="2" t="s">
        <v>5425</v>
      </c>
      <c r="M477" s="2" t="s">
        <v>5426</v>
      </c>
      <c r="N477" s="2" t="s">
        <v>5427</v>
      </c>
      <c r="O477" s="2" t="s">
        <v>5428</v>
      </c>
      <c r="P477" s="2" t="s">
        <v>5429</v>
      </c>
      <c r="Q477" s="2" t="s">
        <v>5430</v>
      </c>
      <c r="R477" s="2" t="s">
        <v>355</v>
      </c>
      <c r="S477" s="2" t="s">
        <v>3869</v>
      </c>
      <c r="T477" s="2" t="s">
        <v>3870</v>
      </c>
      <c r="U477" s="2" t="s">
        <v>39</v>
      </c>
      <c r="V477" s="2" t="n">
        <v>1</v>
      </c>
    </row>
    <row r="478">
      <c r="A478" s="2" t="n">
        <v>477</v>
      </c>
      <c r="B478" s="2" t="s">
        <v>5431</v>
      </c>
      <c r="C478" s="2" t="n">
        <v>430.03766</v>
      </c>
      <c r="D478" s="2" t="n">
        <v>3.89587739748241</v>
      </c>
      <c r="E478" s="2" t="s">
        <v>5432</v>
      </c>
      <c r="F478" s="2" t="s">
        <v>522</v>
      </c>
      <c r="G478" s="2" t="s">
        <v>5433</v>
      </c>
      <c r="H478" s="2" t="s">
        <v>5434</v>
      </c>
      <c r="I478" s="2" t="s">
        <v>5435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5436</v>
      </c>
      <c r="O478" s="2" t="s">
        <v>29</v>
      </c>
      <c r="P478" s="2" t="s">
        <v>5437</v>
      </c>
      <c r="Q478" s="2" t="s">
        <v>5438</v>
      </c>
      <c r="R478" s="2" t="s">
        <v>502</v>
      </c>
      <c r="S478" s="2" t="s">
        <v>1467</v>
      </c>
      <c r="T478" s="2" t="s">
        <v>205</v>
      </c>
      <c r="U478" s="2" t="s">
        <v>29</v>
      </c>
      <c r="V478" s="2" t="n">
        <v>1</v>
      </c>
    </row>
    <row r="479">
      <c r="A479" s="2" t="n">
        <v>478</v>
      </c>
      <c r="B479" s="2" t="s">
        <v>5439</v>
      </c>
      <c r="C479" s="2" t="n">
        <v>430.101464181</v>
      </c>
      <c r="D479" s="2" t="n">
        <v>1.22770062184606</v>
      </c>
      <c r="E479" s="2" t="s">
        <v>5440</v>
      </c>
      <c r="F479" s="2" t="s">
        <v>42</v>
      </c>
      <c r="G479" s="2" t="s">
        <v>5441</v>
      </c>
      <c r="H479" s="2" t="s">
        <v>5442</v>
      </c>
      <c r="I479" s="2" t="s">
        <v>5443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5444</v>
      </c>
      <c r="O479" s="2" t="s">
        <v>29</v>
      </c>
      <c r="P479" s="2" t="s">
        <v>5445</v>
      </c>
      <c r="Q479" s="2" t="s">
        <v>5446</v>
      </c>
      <c r="R479" s="2" t="s">
        <v>355</v>
      </c>
      <c r="S479" s="2" t="s">
        <v>1316</v>
      </c>
      <c r="T479" s="2" t="s">
        <v>1317</v>
      </c>
      <c r="U479" s="2" t="s">
        <v>29</v>
      </c>
      <c r="V479" s="2" t="n">
        <v>1</v>
      </c>
    </row>
    <row r="480">
      <c r="A480" s="2" t="n">
        <v>479</v>
      </c>
      <c r="B480" s="2" t="s">
        <v>5447</v>
      </c>
      <c r="C480" s="2" t="n">
        <v>430.158921915</v>
      </c>
      <c r="D480" s="2" t="n">
        <v>0.981742863110306</v>
      </c>
      <c r="E480" s="2" t="s">
        <v>5448</v>
      </c>
      <c r="F480" s="2" t="s">
        <v>42</v>
      </c>
      <c r="G480" s="2" t="s">
        <v>5449</v>
      </c>
      <c r="H480" s="2" t="s">
        <v>5450</v>
      </c>
      <c r="I480" s="2" t="s">
        <v>5451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5452</v>
      </c>
      <c r="Q480" s="2" t="s">
        <v>5453</v>
      </c>
      <c r="R480" s="2" t="s">
        <v>638</v>
      </c>
      <c r="S480" s="2" t="s">
        <v>3092</v>
      </c>
      <c r="T480" s="2" t="s">
        <v>3093</v>
      </c>
      <c r="U480" s="2" t="s">
        <v>29</v>
      </c>
      <c r="V480" s="2" t="n">
        <v>1</v>
      </c>
    </row>
    <row r="481">
      <c r="A481" s="2" t="n">
        <v>480</v>
      </c>
      <c r="B481" s="2" t="s">
        <v>5454</v>
      </c>
      <c r="C481" s="2" t="n">
        <v>431.144232352</v>
      </c>
      <c r="D481" s="2" t="n">
        <v>3.402633731497</v>
      </c>
      <c r="E481" s="2" t="s">
        <v>5455</v>
      </c>
      <c r="F481" s="2" t="s">
        <v>522</v>
      </c>
      <c r="G481" s="2" t="s">
        <v>5456</v>
      </c>
      <c r="H481" s="2" t="s">
        <v>5457</v>
      </c>
      <c r="I481" s="2" t="s">
        <v>5458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5459</v>
      </c>
      <c r="O481" s="2" t="s">
        <v>29</v>
      </c>
      <c r="P481" s="2" t="s">
        <v>5460</v>
      </c>
      <c r="Q481" s="2" t="s">
        <v>5461</v>
      </c>
      <c r="R481" s="2" t="s">
        <v>1490</v>
      </c>
      <c r="S481" s="2" t="s">
        <v>3546</v>
      </c>
      <c r="T481" s="2" t="s">
        <v>5462</v>
      </c>
      <c r="U481" s="2" t="s">
        <v>29</v>
      </c>
      <c r="V481" s="2" t="n">
        <v>1</v>
      </c>
    </row>
    <row r="482">
      <c r="A482" s="2" t="n">
        <v>481</v>
      </c>
      <c r="B482" s="2" t="s">
        <v>5463</v>
      </c>
      <c r="C482" s="2" t="n">
        <v>431.213175121</v>
      </c>
      <c r="D482" s="2" t="n">
        <v>0.67393648236879</v>
      </c>
      <c r="E482" s="2" t="s">
        <v>5464</v>
      </c>
      <c r="F482" s="2" t="s">
        <v>522</v>
      </c>
      <c r="G482" s="2" t="s">
        <v>5465</v>
      </c>
      <c r="H482" s="2" t="s">
        <v>5466</v>
      </c>
      <c r="I482" s="2" t="s">
        <v>5467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5468</v>
      </c>
      <c r="O482" s="2" t="s">
        <v>29</v>
      </c>
      <c r="P482" s="2" t="s">
        <v>5469</v>
      </c>
      <c r="Q482" s="2" t="s">
        <v>5470</v>
      </c>
      <c r="R482" s="2" t="s">
        <v>355</v>
      </c>
      <c r="S482" s="2" t="s">
        <v>356</v>
      </c>
      <c r="T482" s="2" t="s">
        <v>5282</v>
      </c>
      <c r="U482" s="2" t="s">
        <v>29</v>
      </c>
      <c r="V482" s="2" t="n">
        <v>1</v>
      </c>
    </row>
    <row r="483">
      <c r="A483" s="2" t="n">
        <v>482</v>
      </c>
      <c r="B483" s="2" t="s">
        <v>5471</v>
      </c>
      <c r="C483" s="2" t="n">
        <v>432.038820487</v>
      </c>
      <c r="D483" s="2" t="n">
        <v>2.61929071470697</v>
      </c>
      <c r="E483" s="2" t="s">
        <v>5472</v>
      </c>
      <c r="F483" s="2" t="s">
        <v>24</v>
      </c>
      <c r="G483" s="2" t="s">
        <v>5473</v>
      </c>
      <c r="H483" s="2" t="s">
        <v>5474</v>
      </c>
      <c r="I483" s="2" t="s">
        <v>5475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5476</v>
      </c>
      <c r="O483" s="2" t="s">
        <v>29</v>
      </c>
      <c r="P483" s="2" t="s">
        <v>5477</v>
      </c>
      <c r="Q483" s="2" t="s">
        <v>5478</v>
      </c>
      <c r="R483" s="2" t="s">
        <v>49</v>
      </c>
      <c r="S483" s="2" t="s">
        <v>165</v>
      </c>
      <c r="T483" s="2" t="s">
        <v>166</v>
      </c>
      <c r="U483" s="2" t="s">
        <v>29</v>
      </c>
      <c r="V483" s="2" t="n">
        <v>1</v>
      </c>
    </row>
    <row r="484">
      <c r="A484" s="2" t="n">
        <v>483</v>
      </c>
      <c r="B484" s="2" t="s">
        <v>5479</v>
      </c>
      <c r="C484" s="2" t="n">
        <v>432.119192564</v>
      </c>
      <c r="D484" s="2" t="n">
        <v>1.08408840026085</v>
      </c>
      <c r="E484" s="2" t="s">
        <v>5480</v>
      </c>
      <c r="F484" s="2" t="s">
        <v>250</v>
      </c>
      <c r="G484" s="2" t="s">
        <v>5481</v>
      </c>
      <c r="H484" s="2" t="s">
        <v>5482</v>
      </c>
      <c r="I484" s="2" t="s">
        <v>5483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5484</v>
      </c>
      <c r="O484" s="2" t="s">
        <v>29</v>
      </c>
      <c r="P484" s="2" t="s">
        <v>5485</v>
      </c>
      <c r="Q484" s="2" t="s">
        <v>5486</v>
      </c>
      <c r="R484" s="2" t="s">
        <v>355</v>
      </c>
      <c r="S484" s="2" t="s">
        <v>1396</v>
      </c>
      <c r="T484" s="2" t="s">
        <v>5487</v>
      </c>
      <c r="U484" s="2" t="s">
        <v>29</v>
      </c>
      <c r="V484" s="2" t="n">
        <v>1</v>
      </c>
    </row>
    <row r="485">
      <c r="A485" s="2" t="n">
        <v>484</v>
      </c>
      <c r="B485" s="2" t="s">
        <v>5488</v>
      </c>
      <c r="C485" s="2" t="n">
        <v>433.114020924</v>
      </c>
      <c r="D485" s="2" t="n">
        <v>0.869801352128343</v>
      </c>
      <c r="E485" s="2" t="s">
        <v>5489</v>
      </c>
      <c r="F485" s="2" t="s">
        <v>110</v>
      </c>
      <c r="G485" s="2" t="s">
        <v>5490</v>
      </c>
      <c r="H485" s="2" t="s">
        <v>5491</v>
      </c>
      <c r="I485" s="2" t="s">
        <v>5492</v>
      </c>
      <c r="J485" s="2" t="s">
        <v>5493</v>
      </c>
      <c r="K485" s="2" t="s">
        <v>226</v>
      </c>
      <c r="L485" s="2" t="s">
        <v>226</v>
      </c>
      <c r="M485" s="2" t="s">
        <v>226</v>
      </c>
      <c r="N485" s="2" t="s">
        <v>5494</v>
      </c>
      <c r="O485" s="2" t="s">
        <v>5495</v>
      </c>
      <c r="P485" s="2" t="s">
        <v>5496</v>
      </c>
      <c r="Q485" s="2" t="s">
        <v>5497</v>
      </c>
      <c r="R485" s="2" t="s">
        <v>5498</v>
      </c>
      <c r="S485" s="2" t="s">
        <v>5499</v>
      </c>
      <c r="T485" s="2" t="s">
        <v>5500</v>
      </c>
      <c r="U485" s="2" t="s">
        <v>29</v>
      </c>
      <c r="V485" s="2" t="n">
        <v>3</v>
      </c>
    </row>
    <row r="486">
      <c r="A486" s="2" t="n">
        <v>485</v>
      </c>
      <c r="B486" s="2" t="s">
        <v>5501</v>
      </c>
      <c r="C486" s="2" t="n">
        <v>433.235748234</v>
      </c>
      <c r="D486" s="2" t="n">
        <v>9.97982206636549</v>
      </c>
      <c r="E486" s="2" t="s">
        <v>5502</v>
      </c>
      <c r="F486" s="2" t="s">
        <v>1019</v>
      </c>
      <c r="G486" s="2" t="s">
        <v>5503</v>
      </c>
      <c r="H486" s="2" t="s">
        <v>5504</v>
      </c>
      <c r="I486" s="2" t="s">
        <v>5505</v>
      </c>
      <c r="J486" s="2" t="s">
        <v>5506</v>
      </c>
      <c r="K486" s="2" t="s">
        <v>29</v>
      </c>
      <c r="L486" s="2" t="s">
        <v>29</v>
      </c>
      <c r="M486" s="2" t="s">
        <v>5507</v>
      </c>
      <c r="N486" s="2" t="s">
        <v>5508</v>
      </c>
      <c r="O486" s="2" t="s">
        <v>29</v>
      </c>
      <c r="P486" s="2" t="s">
        <v>5509</v>
      </c>
      <c r="Q486" s="2" t="s">
        <v>5510</v>
      </c>
      <c r="R486" s="2" t="s">
        <v>355</v>
      </c>
      <c r="S486" s="2" t="s">
        <v>356</v>
      </c>
      <c r="T486" s="2" t="s">
        <v>5282</v>
      </c>
      <c r="U486" s="2" t="s">
        <v>29</v>
      </c>
      <c r="V486" s="2" t="n">
        <v>1</v>
      </c>
    </row>
    <row r="487">
      <c r="A487" s="2" t="n">
        <v>486</v>
      </c>
      <c r="B487" s="2" t="s">
        <v>5511</v>
      </c>
      <c r="C487" s="2" t="n">
        <v>435.085219355</v>
      </c>
      <c r="D487" s="2" t="n">
        <v>6.75340505286236</v>
      </c>
      <c r="E487" s="2" t="s">
        <v>5512</v>
      </c>
      <c r="F487" s="2" t="s">
        <v>110</v>
      </c>
      <c r="G487" s="2" t="s">
        <v>5513</v>
      </c>
      <c r="H487" s="2" t="s">
        <v>5514</v>
      </c>
      <c r="I487" s="2" t="s">
        <v>5515</v>
      </c>
      <c r="J487" s="2" t="s">
        <v>5516</v>
      </c>
      <c r="K487" s="2" t="s">
        <v>29</v>
      </c>
      <c r="L487" s="2" t="s">
        <v>29</v>
      </c>
      <c r="M487" s="2" t="s">
        <v>29</v>
      </c>
      <c r="N487" s="2" t="s">
        <v>5517</v>
      </c>
      <c r="O487" s="2" t="s">
        <v>29</v>
      </c>
      <c r="P487" s="2" t="s">
        <v>5518</v>
      </c>
      <c r="Q487" s="2" t="s">
        <v>5519</v>
      </c>
      <c r="R487" s="2" t="s">
        <v>2509</v>
      </c>
      <c r="S487" s="2" t="s">
        <v>5520</v>
      </c>
      <c r="T487" s="2" t="s">
        <v>5521</v>
      </c>
      <c r="U487" s="2" t="s">
        <v>29</v>
      </c>
      <c r="V487" s="2" t="n">
        <v>1</v>
      </c>
    </row>
    <row r="488">
      <c r="A488" s="2" t="n">
        <v>487</v>
      </c>
      <c r="B488" s="2" t="s">
        <v>5522</v>
      </c>
      <c r="C488" s="2" t="n">
        <v>435.240160602</v>
      </c>
      <c r="D488" s="2" t="n">
        <v>6.04601531243915</v>
      </c>
      <c r="E488" s="2" t="s">
        <v>5523</v>
      </c>
      <c r="F488" s="2" t="s">
        <v>24</v>
      </c>
      <c r="G488" s="2" t="s">
        <v>5524</v>
      </c>
      <c r="H488" s="2" t="s">
        <v>5525</v>
      </c>
      <c r="I488" s="2" t="s">
        <v>5526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5527</v>
      </c>
      <c r="O488" s="2" t="s">
        <v>29</v>
      </c>
      <c r="P488" s="2" t="s">
        <v>5528</v>
      </c>
      <c r="Q488" s="2" t="s">
        <v>5529</v>
      </c>
      <c r="R488" s="2" t="s">
        <v>355</v>
      </c>
      <c r="S488" s="2" t="s">
        <v>356</v>
      </c>
      <c r="T488" s="2" t="s">
        <v>5282</v>
      </c>
      <c r="U488" s="2" t="s">
        <v>29</v>
      </c>
      <c r="V488" s="2" t="n">
        <v>1</v>
      </c>
    </row>
    <row r="489">
      <c r="A489" s="2" t="n">
        <v>488</v>
      </c>
      <c r="B489" s="2" t="s">
        <v>5530</v>
      </c>
      <c r="C489" s="2" t="n">
        <v>436.97389352</v>
      </c>
      <c r="D489" s="2" t="n">
        <v>2.44617243607155</v>
      </c>
      <c r="E489" s="2" t="s">
        <v>5531</v>
      </c>
      <c r="F489" s="2" t="s">
        <v>250</v>
      </c>
      <c r="G489" s="2" t="s">
        <v>5532</v>
      </c>
      <c r="H489" s="2" t="s">
        <v>5533</v>
      </c>
      <c r="I489" s="2" t="s">
        <v>5534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5535</v>
      </c>
      <c r="Q489" s="2" t="s">
        <v>5536</v>
      </c>
      <c r="R489" s="2" t="s">
        <v>355</v>
      </c>
      <c r="S489" s="2" t="s">
        <v>5537</v>
      </c>
      <c r="T489" s="2" t="s">
        <v>5538</v>
      </c>
      <c r="U489" s="2" t="s">
        <v>29</v>
      </c>
      <c r="V489" s="2" t="n">
        <v>1</v>
      </c>
    </row>
    <row r="490">
      <c r="A490" s="2" t="n">
        <v>489</v>
      </c>
      <c r="B490" s="2" t="s">
        <v>5539</v>
      </c>
      <c r="C490" s="2" t="n">
        <v>438.243302991</v>
      </c>
      <c r="D490" s="2" t="n">
        <v>2.5611925807677</v>
      </c>
      <c r="E490" s="2" t="s">
        <v>5540</v>
      </c>
      <c r="F490" s="2" t="s">
        <v>42</v>
      </c>
      <c r="G490" s="2" t="s">
        <v>5541</v>
      </c>
      <c r="H490" s="2" t="s">
        <v>5542</v>
      </c>
      <c r="I490" s="2" t="s">
        <v>5543</v>
      </c>
      <c r="J490" s="2" t="s">
        <v>5544</v>
      </c>
      <c r="K490" s="2" t="s">
        <v>29</v>
      </c>
      <c r="L490" s="2" t="s">
        <v>29</v>
      </c>
      <c r="M490" s="2" t="s">
        <v>29</v>
      </c>
      <c r="N490" s="2" t="s">
        <v>5545</v>
      </c>
      <c r="O490" s="2" t="s">
        <v>29</v>
      </c>
      <c r="P490" s="2" t="s">
        <v>5546</v>
      </c>
      <c r="Q490" s="2" t="s">
        <v>5547</v>
      </c>
      <c r="R490" s="2" t="s">
        <v>2509</v>
      </c>
      <c r="S490" s="2" t="s">
        <v>4720</v>
      </c>
      <c r="T490" s="2" t="s">
        <v>5548</v>
      </c>
      <c r="U490" s="2" t="s">
        <v>29</v>
      </c>
      <c r="V490" s="2" t="n">
        <v>1</v>
      </c>
    </row>
    <row r="491">
      <c r="A491" s="2" t="n">
        <v>490</v>
      </c>
      <c r="B491" s="2" t="s">
        <v>5549</v>
      </c>
      <c r="C491" s="2" t="n">
        <v>439.0832399</v>
      </c>
      <c r="D491" s="2" t="n">
        <v>3.41105502842792</v>
      </c>
      <c r="E491" s="2" t="s">
        <v>5550</v>
      </c>
      <c r="F491" s="2" t="s">
        <v>250</v>
      </c>
      <c r="G491" s="2" t="s">
        <v>5551</v>
      </c>
      <c r="H491" s="2" t="s">
        <v>5552</v>
      </c>
      <c r="I491" s="2" t="s">
        <v>5553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5554</v>
      </c>
      <c r="O491" s="2" t="s">
        <v>29</v>
      </c>
      <c r="P491" s="2" t="s">
        <v>5555</v>
      </c>
      <c r="Q491" s="2" t="s">
        <v>5556</v>
      </c>
      <c r="R491" s="2" t="s">
        <v>502</v>
      </c>
      <c r="S491" s="2" t="s">
        <v>503</v>
      </c>
      <c r="T491" s="2" t="s">
        <v>5144</v>
      </c>
      <c r="U491" s="2" t="s">
        <v>29</v>
      </c>
      <c r="V491" s="2" t="n">
        <v>1</v>
      </c>
    </row>
    <row r="492">
      <c r="A492" s="2" t="n">
        <v>491</v>
      </c>
      <c r="B492" s="2" t="s">
        <v>5557</v>
      </c>
      <c r="C492" s="2" t="n">
        <v>442.962523686</v>
      </c>
      <c r="D492" s="2" t="n">
        <v>2.49376813639103</v>
      </c>
      <c r="E492" s="2" t="s">
        <v>5558</v>
      </c>
      <c r="F492" s="2" t="s">
        <v>360</v>
      </c>
      <c r="G492" s="2" t="s">
        <v>5559</v>
      </c>
      <c r="H492" s="2" t="s">
        <v>5560</v>
      </c>
      <c r="I492" s="2" t="s">
        <v>5561</v>
      </c>
      <c r="J492" s="2" t="s">
        <v>29</v>
      </c>
      <c r="K492" s="2" t="s">
        <v>29</v>
      </c>
      <c r="L492" s="2" t="s">
        <v>29</v>
      </c>
      <c r="M492" s="2" t="s">
        <v>5562</v>
      </c>
      <c r="N492" s="2" t="s">
        <v>5563</v>
      </c>
      <c r="O492" s="2" t="s">
        <v>29</v>
      </c>
      <c r="P492" s="2" t="s">
        <v>5564</v>
      </c>
      <c r="Q492" s="2" t="s">
        <v>5565</v>
      </c>
      <c r="R492" s="2" t="s">
        <v>355</v>
      </c>
      <c r="S492" s="2" t="s">
        <v>2424</v>
      </c>
      <c r="T492" s="2" t="s">
        <v>5566</v>
      </c>
      <c r="U492" s="2" t="s">
        <v>29</v>
      </c>
      <c r="V492" s="2" t="n">
        <v>1</v>
      </c>
    </row>
    <row r="493">
      <c r="A493" s="2" t="n">
        <v>492</v>
      </c>
      <c r="B493" s="2" t="s">
        <v>5567</v>
      </c>
      <c r="C493" s="2" t="n">
        <v>443.256976388</v>
      </c>
      <c r="D493" s="2" t="n">
        <v>7.85455497696623</v>
      </c>
      <c r="E493" s="2" t="s">
        <v>5568</v>
      </c>
      <c r="F493" s="2" t="s">
        <v>522</v>
      </c>
      <c r="G493" s="2" t="s">
        <v>5569</v>
      </c>
      <c r="H493" s="2" t="s">
        <v>5570</v>
      </c>
      <c r="I493" s="2" t="s">
        <v>5571</v>
      </c>
      <c r="J493" s="2" t="s">
        <v>5572</v>
      </c>
      <c r="K493" s="2" t="s">
        <v>5573</v>
      </c>
      <c r="L493" s="2" t="s">
        <v>5574</v>
      </c>
      <c r="M493" s="2" t="s">
        <v>5575</v>
      </c>
      <c r="N493" s="2" t="s">
        <v>5576</v>
      </c>
      <c r="O493" s="2" t="s">
        <v>5577</v>
      </c>
      <c r="P493" s="2" t="s">
        <v>5578</v>
      </c>
      <c r="Q493" s="2" t="s">
        <v>5579</v>
      </c>
      <c r="R493" s="2" t="s">
        <v>105</v>
      </c>
      <c r="S493" s="2" t="s">
        <v>5580</v>
      </c>
      <c r="T493" s="2" t="s">
        <v>5581</v>
      </c>
      <c r="U493" s="2" t="s">
        <v>39</v>
      </c>
      <c r="V493" s="2" t="n">
        <v>3</v>
      </c>
    </row>
    <row r="494">
      <c r="A494" s="2" t="n">
        <v>493</v>
      </c>
      <c r="B494" s="2" t="s">
        <v>5582</v>
      </c>
      <c r="C494" s="2" t="n">
        <v>445.223177442</v>
      </c>
      <c r="D494" s="2" t="n">
        <v>2.80728502598089</v>
      </c>
      <c r="E494" s="2" t="s">
        <v>5583</v>
      </c>
      <c r="F494" s="2" t="s">
        <v>110</v>
      </c>
      <c r="G494" s="2" t="s">
        <v>5584</v>
      </c>
      <c r="H494" s="2" t="s">
        <v>5585</v>
      </c>
      <c r="I494" s="2" t="s">
        <v>5586</v>
      </c>
      <c r="J494" s="2" t="s">
        <v>29</v>
      </c>
      <c r="K494" s="2" t="s">
        <v>29</v>
      </c>
      <c r="L494" s="2" t="s">
        <v>5587</v>
      </c>
      <c r="M494" s="2" t="s">
        <v>29</v>
      </c>
      <c r="N494" s="2" t="s">
        <v>5588</v>
      </c>
      <c r="O494" s="2" t="s">
        <v>5589</v>
      </c>
      <c r="P494" s="2" t="s">
        <v>5590</v>
      </c>
      <c r="Q494" s="2" t="s">
        <v>5591</v>
      </c>
      <c r="R494" s="2" t="s">
        <v>1490</v>
      </c>
      <c r="S494" s="2" t="s">
        <v>1491</v>
      </c>
      <c r="T494" s="2" t="s">
        <v>1492</v>
      </c>
      <c r="U494" s="2" t="s">
        <v>39</v>
      </c>
      <c r="V494" s="2" t="n">
        <v>1</v>
      </c>
    </row>
    <row r="495">
      <c r="A495" s="2" t="n">
        <v>494</v>
      </c>
      <c r="B495" s="2" t="s">
        <v>5592</v>
      </c>
      <c r="C495" s="2" t="n">
        <v>446.019463192</v>
      </c>
      <c r="D495" s="2" t="n">
        <v>8.94518447006941</v>
      </c>
      <c r="E495" s="2" t="s">
        <v>5593</v>
      </c>
      <c r="F495" s="2" t="s">
        <v>522</v>
      </c>
      <c r="G495" s="2" t="s">
        <v>5594</v>
      </c>
      <c r="H495" s="2" t="s">
        <v>5595</v>
      </c>
      <c r="I495" s="2" t="s">
        <v>5596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5597</v>
      </c>
      <c r="O495" s="2" t="s">
        <v>5598</v>
      </c>
      <c r="P495" s="2" t="s">
        <v>5599</v>
      </c>
      <c r="Q495" s="2" t="s">
        <v>5600</v>
      </c>
      <c r="R495" s="2" t="s">
        <v>355</v>
      </c>
      <c r="S495" s="2" t="s">
        <v>356</v>
      </c>
      <c r="T495" s="2" t="s">
        <v>5282</v>
      </c>
      <c r="U495" s="2" t="s">
        <v>29</v>
      </c>
      <c r="V495" s="2" t="n">
        <v>1</v>
      </c>
    </row>
    <row r="496">
      <c r="A496" s="2" t="n">
        <v>495</v>
      </c>
      <c r="B496" s="2" t="s">
        <v>5601</v>
      </c>
      <c r="C496" s="2" t="n">
        <v>446.140756537</v>
      </c>
      <c r="D496" s="2" t="n">
        <v>2.61460910609582</v>
      </c>
      <c r="E496" s="2" t="s">
        <v>5602</v>
      </c>
      <c r="F496" s="2" t="s">
        <v>110</v>
      </c>
      <c r="G496" s="2" t="s">
        <v>5603</v>
      </c>
      <c r="H496" s="2" t="s">
        <v>5604</v>
      </c>
      <c r="I496" s="2" t="s">
        <v>5605</v>
      </c>
      <c r="J496" s="2" t="s">
        <v>5606</v>
      </c>
      <c r="K496" s="2" t="s">
        <v>29</v>
      </c>
      <c r="L496" s="2" t="s">
        <v>5607</v>
      </c>
      <c r="M496" s="2" t="s">
        <v>5608</v>
      </c>
      <c r="N496" s="2" t="s">
        <v>5609</v>
      </c>
      <c r="O496" s="2" t="s">
        <v>5610</v>
      </c>
      <c r="P496" s="2" t="s">
        <v>5611</v>
      </c>
      <c r="Q496" s="2" t="s">
        <v>5612</v>
      </c>
      <c r="R496" s="2" t="s">
        <v>355</v>
      </c>
      <c r="S496" s="2" t="s">
        <v>5131</v>
      </c>
      <c r="T496" s="2" t="s">
        <v>5132</v>
      </c>
      <c r="U496" s="2" t="s">
        <v>39</v>
      </c>
      <c r="V496" s="2" t="n">
        <v>1</v>
      </c>
    </row>
    <row r="497">
      <c r="A497" s="2" t="n">
        <v>496</v>
      </c>
      <c r="B497" s="2" t="s">
        <v>5613</v>
      </c>
      <c r="C497" s="2" t="n">
        <v>447.033153</v>
      </c>
      <c r="D497" s="2" t="n">
        <v>4.96665980796739</v>
      </c>
      <c r="E497" s="2" t="s">
        <v>5614</v>
      </c>
      <c r="F497" s="2" t="s">
        <v>24</v>
      </c>
      <c r="G497" s="2" t="s">
        <v>5615</v>
      </c>
      <c r="H497" s="2" t="s">
        <v>5616</v>
      </c>
      <c r="I497" s="2" t="s">
        <v>5617</v>
      </c>
      <c r="J497" s="2" t="s">
        <v>72</v>
      </c>
      <c r="K497" s="2" t="s">
        <v>72</v>
      </c>
      <c r="L497" s="2" t="s">
        <v>72</v>
      </c>
      <c r="M497" s="2" t="s">
        <v>5618</v>
      </c>
      <c r="N497" s="2" t="s">
        <v>5619</v>
      </c>
      <c r="O497" s="2" t="s">
        <v>72</v>
      </c>
      <c r="P497" s="2" t="s">
        <v>5620</v>
      </c>
      <c r="Q497" s="2" t="s">
        <v>5621</v>
      </c>
      <c r="R497" s="2" t="s">
        <v>480</v>
      </c>
      <c r="S497" s="2" t="s">
        <v>1240</v>
      </c>
      <c r="T497" s="2" t="s">
        <v>4311</v>
      </c>
      <c r="U497" s="2" t="s">
        <v>29</v>
      </c>
      <c r="V497" s="2" t="n">
        <v>2</v>
      </c>
    </row>
    <row r="498">
      <c r="A498" s="2" t="n">
        <v>497</v>
      </c>
      <c r="B498" s="2" t="s">
        <v>5622</v>
      </c>
      <c r="C498" s="2" t="n">
        <v>447.250847979</v>
      </c>
      <c r="D498" s="2" t="n">
        <v>1.69700770296965</v>
      </c>
      <c r="E498" s="2" t="s">
        <v>5623</v>
      </c>
      <c r="F498" s="2" t="s">
        <v>42</v>
      </c>
      <c r="G498" s="2" t="s">
        <v>5624</v>
      </c>
      <c r="H498" s="2" t="s">
        <v>5625</v>
      </c>
      <c r="I498" s="2" t="s">
        <v>5626</v>
      </c>
      <c r="J498" s="2" t="s">
        <v>72</v>
      </c>
      <c r="K498" s="2" t="s">
        <v>72</v>
      </c>
      <c r="L498" s="2" t="s">
        <v>72</v>
      </c>
      <c r="M498" s="2" t="s">
        <v>72</v>
      </c>
      <c r="N498" s="2" t="s">
        <v>5627</v>
      </c>
      <c r="O498" s="2" t="s">
        <v>72</v>
      </c>
      <c r="P498" s="2" t="s">
        <v>5628</v>
      </c>
      <c r="Q498" s="2" t="s">
        <v>5629</v>
      </c>
      <c r="R498" s="2" t="s">
        <v>5630</v>
      </c>
      <c r="S498" s="2" t="s">
        <v>5631</v>
      </c>
      <c r="T498" s="2" t="s">
        <v>5632</v>
      </c>
      <c r="U498" s="2" t="s">
        <v>29</v>
      </c>
      <c r="V498" s="2" t="n">
        <v>2</v>
      </c>
    </row>
    <row r="499">
      <c r="A499" s="2" t="n">
        <v>498</v>
      </c>
      <c r="B499" s="2" t="s">
        <v>5633</v>
      </c>
      <c r="C499" s="2" t="n">
        <v>448.025458293</v>
      </c>
      <c r="D499" s="2" t="n">
        <v>5.74148516388691</v>
      </c>
      <c r="E499" s="2" t="s">
        <v>5634</v>
      </c>
      <c r="F499" s="2" t="s">
        <v>360</v>
      </c>
      <c r="G499" s="2" t="s">
        <v>5635</v>
      </c>
      <c r="H499" s="2" t="s">
        <v>5636</v>
      </c>
      <c r="I499" s="2" t="s">
        <v>5637</v>
      </c>
      <c r="J499" s="2" t="s">
        <v>5638</v>
      </c>
      <c r="K499" s="2" t="s">
        <v>29</v>
      </c>
      <c r="L499" s="2" t="s">
        <v>5639</v>
      </c>
      <c r="M499" s="2" t="s">
        <v>5640</v>
      </c>
      <c r="N499" s="2" t="s">
        <v>5641</v>
      </c>
      <c r="O499" s="2" t="s">
        <v>5642</v>
      </c>
      <c r="P499" s="2" t="s">
        <v>5643</v>
      </c>
      <c r="Q499" s="2" t="s">
        <v>5644</v>
      </c>
      <c r="R499" s="2" t="s">
        <v>355</v>
      </c>
      <c r="S499" s="2" t="s">
        <v>4796</v>
      </c>
      <c r="T499" s="2" t="s">
        <v>4797</v>
      </c>
      <c r="U499" s="2" t="s">
        <v>39</v>
      </c>
      <c r="V499" s="2" t="n">
        <v>1</v>
      </c>
    </row>
    <row r="500">
      <c r="A500" s="2" t="n">
        <v>499</v>
      </c>
      <c r="B500" s="2" t="s">
        <v>5645</v>
      </c>
      <c r="C500" s="2" t="n">
        <v>449.017891268</v>
      </c>
      <c r="D500" s="2" t="n">
        <v>8.48112259705611</v>
      </c>
      <c r="E500" s="2" t="s">
        <v>5646</v>
      </c>
      <c r="F500" s="2" t="s">
        <v>42</v>
      </c>
      <c r="G500" s="2" t="s">
        <v>5647</v>
      </c>
      <c r="H500" s="2" t="s">
        <v>5648</v>
      </c>
      <c r="I500" s="2" t="s">
        <v>5649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5650</v>
      </c>
      <c r="Q500" s="2" t="s">
        <v>5651</v>
      </c>
      <c r="R500" s="2" t="s">
        <v>36</v>
      </c>
      <c r="S500" s="2" t="s">
        <v>37</v>
      </c>
      <c r="T500" s="2" t="s">
        <v>3071</v>
      </c>
      <c r="U500" s="2" t="s">
        <v>29</v>
      </c>
      <c r="V500" s="2" t="n">
        <v>1</v>
      </c>
    </row>
    <row r="501">
      <c r="A501" s="2" t="n">
        <v>500</v>
      </c>
      <c r="B501" s="2" t="s">
        <v>5652</v>
      </c>
      <c r="C501" s="2" t="n">
        <v>449.108935546</v>
      </c>
      <c r="D501" s="2" t="n">
        <v>4.69557867861081</v>
      </c>
      <c r="E501" s="2" t="s">
        <v>5653</v>
      </c>
      <c r="F501" s="2" t="s">
        <v>110</v>
      </c>
      <c r="G501" s="2" t="s">
        <v>5654</v>
      </c>
      <c r="H501" s="2" t="s">
        <v>5655</v>
      </c>
      <c r="I501" s="2" t="s">
        <v>5656</v>
      </c>
      <c r="J501" s="2" t="s">
        <v>5657</v>
      </c>
      <c r="K501" s="2" t="s">
        <v>29</v>
      </c>
      <c r="L501" s="2" t="s">
        <v>5658</v>
      </c>
      <c r="M501" s="2" t="s">
        <v>5659</v>
      </c>
      <c r="N501" s="2" t="s">
        <v>5660</v>
      </c>
      <c r="O501" s="2" t="s">
        <v>5661</v>
      </c>
      <c r="P501" s="2" t="s">
        <v>5662</v>
      </c>
      <c r="Q501" s="2" t="s">
        <v>5663</v>
      </c>
      <c r="R501" s="2" t="s">
        <v>2509</v>
      </c>
      <c r="S501" s="2" t="s">
        <v>5520</v>
      </c>
      <c r="T501" s="2" t="s">
        <v>5664</v>
      </c>
      <c r="U501" s="2" t="s">
        <v>39</v>
      </c>
      <c r="V501" s="2" t="n">
        <v>1</v>
      </c>
    </row>
    <row r="502">
      <c r="A502" s="2" t="n">
        <v>501</v>
      </c>
      <c r="B502" s="2" t="s">
        <v>5665</v>
      </c>
      <c r="C502" s="2" t="n">
        <v>449.21808775</v>
      </c>
      <c r="D502" s="2" t="n">
        <v>1.83403548423915</v>
      </c>
      <c r="E502" s="2" t="s">
        <v>5666</v>
      </c>
      <c r="F502" s="2" t="s">
        <v>24</v>
      </c>
      <c r="G502" s="2" t="s">
        <v>5667</v>
      </c>
      <c r="H502" s="2" t="s">
        <v>5668</v>
      </c>
      <c r="I502" s="2" t="s">
        <v>5669</v>
      </c>
      <c r="J502" s="2" t="s">
        <v>5670</v>
      </c>
      <c r="K502" s="2" t="s">
        <v>226</v>
      </c>
      <c r="L502" s="2" t="s">
        <v>226</v>
      </c>
      <c r="M502" s="2" t="s">
        <v>226</v>
      </c>
      <c r="N502" s="2" t="s">
        <v>5671</v>
      </c>
      <c r="O502" s="2" t="s">
        <v>226</v>
      </c>
      <c r="P502" s="2" t="s">
        <v>5672</v>
      </c>
      <c r="Q502" s="2" t="s">
        <v>5673</v>
      </c>
      <c r="R502" s="2" t="s">
        <v>105</v>
      </c>
      <c r="S502" s="2" t="s">
        <v>5674</v>
      </c>
      <c r="T502" s="2" t="s">
        <v>5675</v>
      </c>
      <c r="U502" s="2" t="s">
        <v>29</v>
      </c>
      <c r="V502" s="2" t="n">
        <v>3</v>
      </c>
    </row>
    <row r="503">
      <c r="A503" s="2" t="n">
        <v>502</v>
      </c>
      <c r="B503" s="2" t="s">
        <v>5676</v>
      </c>
      <c r="C503" s="2" t="n">
        <v>450.008205773</v>
      </c>
      <c r="D503" s="2" t="n">
        <v>9.5592272484476</v>
      </c>
      <c r="E503" s="2" t="s">
        <v>5677</v>
      </c>
      <c r="F503" s="2" t="s">
        <v>42</v>
      </c>
      <c r="G503" s="2" t="s">
        <v>5678</v>
      </c>
      <c r="H503" s="2" t="s">
        <v>5679</v>
      </c>
      <c r="I503" s="2" t="s">
        <v>5680</v>
      </c>
      <c r="J503" s="2" t="s">
        <v>5681</v>
      </c>
      <c r="K503" s="2" t="s">
        <v>29</v>
      </c>
      <c r="L503" s="2" t="s">
        <v>5682</v>
      </c>
      <c r="M503" s="2" t="s">
        <v>5683</v>
      </c>
      <c r="N503" s="2" t="s">
        <v>5684</v>
      </c>
      <c r="O503" s="2" t="s">
        <v>5685</v>
      </c>
      <c r="P503" s="2" t="s">
        <v>5686</v>
      </c>
      <c r="Q503" s="2" t="s">
        <v>5687</v>
      </c>
      <c r="R503" s="2" t="s">
        <v>49</v>
      </c>
      <c r="S503" s="2" t="s">
        <v>165</v>
      </c>
      <c r="T503" s="2" t="s">
        <v>166</v>
      </c>
      <c r="U503" s="2" t="s">
        <v>39</v>
      </c>
      <c r="V503" s="2" t="n">
        <v>1</v>
      </c>
    </row>
    <row r="504">
      <c r="A504" s="2" t="n">
        <v>503</v>
      </c>
      <c r="B504" s="2" t="s">
        <v>5688</v>
      </c>
      <c r="C504" s="2" t="n">
        <v>451.112240657</v>
      </c>
      <c r="D504" s="2" t="n">
        <v>2.53116984799009</v>
      </c>
      <c r="E504" s="2" t="s">
        <v>5689</v>
      </c>
      <c r="F504" s="2" t="s">
        <v>24</v>
      </c>
      <c r="G504" s="2" t="s">
        <v>5690</v>
      </c>
      <c r="H504" s="2" t="s">
        <v>5691</v>
      </c>
      <c r="I504" s="2" t="s">
        <v>5692</v>
      </c>
      <c r="J504" s="2" t="s">
        <v>5693</v>
      </c>
      <c r="K504" s="2" t="s">
        <v>29</v>
      </c>
      <c r="L504" s="2" t="s">
        <v>29</v>
      </c>
      <c r="M504" s="2" t="s">
        <v>29</v>
      </c>
      <c r="N504" s="2" t="s">
        <v>5694</v>
      </c>
      <c r="O504" s="2" t="s">
        <v>29</v>
      </c>
      <c r="P504" s="2" t="s">
        <v>5695</v>
      </c>
      <c r="Q504" s="2" t="s">
        <v>5696</v>
      </c>
      <c r="R504" s="2" t="s">
        <v>355</v>
      </c>
      <c r="S504" s="2" t="s">
        <v>3869</v>
      </c>
      <c r="T504" s="2" t="s">
        <v>5697</v>
      </c>
      <c r="U504" s="2" t="s">
        <v>29</v>
      </c>
      <c r="V504" s="2" t="n">
        <v>1</v>
      </c>
    </row>
    <row r="505">
      <c r="A505" s="2" t="n">
        <v>504</v>
      </c>
      <c r="B505" s="2" t="s">
        <v>5698</v>
      </c>
      <c r="C505" s="2" t="n">
        <v>452.010009856</v>
      </c>
      <c r="D505" s="2" t="n">
        <v>5.91060320106832</v>
      </c>
      <c r="E505" s="2" t="s">
        <v>5699</v>
      </c>
      <c r="F505" s="2" t="s">
        <v>360</v>
      </c>
      <c r="G505" s="2" t="s">
        <v>5700</v>
      </c>
      <c r="H505" s="2" t="s">
        <v>5701</v>
      </c>
      <c r="I505" s="2" t="s">
        <v>5702</v>
      </c>
      <c r="J505" s="2" t="s">
        <v>5703</v>
      </c>
      <c r="K505" s="2" t="s">
        <v>29</v>
      </c>
      <c r="L505" s="2" t="s">
        <v>5704</v>
      </c>
      <c r="M505" s="2" t="s">
        <v>5705</v>
      </c>
      <c r="N505" s="2" t="s">
        <v>5706</v>
      </c>
      <c r="O505" s="2" t="s">
        <v>5707</v>
      </c>
      <c r="P505" s="2" t="s">
        <v>5708</v>
      </c>
      <c r="Q505" s="2" t="s">
        <v>5709</v>
      </c>
      <c r="R505" s="2" t="s">
        <v>502</v>
      </c>
      <c r="S505" s="2" t="s">
        <v>503</v>
      </c>
      <c r="T505" s="2" t="s">
        <v>5710</v>
      </c>
      <c r="U505" s="2" t="s">
        <v>39</v>
      </c>
      <c r="V505" s="2" t="n">
        <v>1</v>
      </c>
    </row>
    <row r="506">
      <c r="A506" s="2" t="n">
        <v>505</v>
      </c>
      <c r="B506" s="2" t="s">
        <v>5711</v>
      </c>
      <c r="C506" s="2" t="n">
        <v>452.278263279</v>
      </c>
      <c r="D506" s="2" t="n">
        <v>8.35032391967268</v>
      </c>
      <c r="E506" s="2" t="s">
        <v>5712</v>
      </c>
      <c r="F506" s="2" t="s">
        <v>110</v>
      </c>
      <c r="G506" s="2" t="s">
        <v>5713</v>
      </c>
      <c r="H506" s="2" t="s">
        <v>5714</v>
      </c>
      <c r="I506" s="2" t="s">
        <v>5715</v>
      </c>
      <c r="J506" s="2" t="s">
        <v>5716</v>
      </c>
      <c r="K506" s="2" t="s">
        <v>5717</v>
      </c>
      <c r="L506" s="2" t="s">
        <v>226</v>
      </c>
      <c r="M506" s="2" t="s">
        <v>5718</v>
      </c>
      <c r="N506" s="2" t="s">
        <v>5719</v>
      </c>
      <c r="O506" s="2" t="s">
        <v>5720</v>
      </c>
      <c r="P506" s="2" t="s">
        <v>5721</v>
      </c>
      <c r="Q506" s="2" t="s">
        <v>5722</v>
      </c>
      <c r="R506" s="2" t="s">
        <v>105</v>
      </c>
      <c r="S506" s="2" t="s">
        <v>5723</v>
      </c>
      <c r="T506" s="2" t="s">
        <v>5724</v>
      </c>
      <c r="U506" s="2" t="s">
        <v>29</v>
      </c>
      <c r="V506" s="2" t="n">
        <v>3</v>
      </c>
    </row>
    <row r="507">
      <c r="A507" s="2" t="n">
        <v>506</v>
      </c>
      <c r="B507" s="2" t="s">
        <v>5725</v>
      </c>
      <c r="C507" s="2" t="n">
        <v>453.0188745</v>
      </c>
      <c r="D507" s="2" t="n">
        <v>7.01283579435652</v>
      </c>
      <c r="E507" s="2" t="s">
        <v>5726</v>
      </c>
      <c r="F507" s="2" t="s">
        <v>360</v>
      </c>
      <c r="G507" s="2" t="s">
        <v>5727</v>
      </c>
      <c r="H507" s="2" t="s">
        <v>5728</v>
      </c>
      <c r="I507" s="2" t="s">
        <v>5729</v>
      </c>
      <c r="J507" s="2" t="s">
        <v>5730</v>
      </c>
      <c r="K507" s="2" t="s">
        <v>29</v>
      </c>
      <c r="L507" s="2" t="s">
        <v>29</v>
      </c>
      <c r="M507" s="2" t="s">
        <v>29</v>
      </c>
      <c r="N507" s="2" t="s">
        <v>5731</v>
      </c>
      <c r="O507" s="2" t="s">
        <v>29</v>
      </c>
      <c r="P507" s="2" t="s">
        <v>5732</v>
      </c>
      <c r="Q507" s="2" t="s">
        <v>5733</v>
      </c>
      <c r="R507" s="2" t="s">
        <v>36</v>
      </c>
      <c r="S507" s="2" t="s">
        <v>37</v>
      </c>
      <c r="T507" s="2" t="s">
        <v>679</v>
      </c>
      <c r="U507" s="2" t="s">
        <v>29</v>
      </c>
      <c r="V507" s="2" t="n">
        <v>1</v>
      </c>
    </row>
    <row r="508">
      <c r="A508" s="2" t="n">
        <v>507</v>
      </c>
      <c r="B508" s="2" t="s">
        <v>5734</v>
      </c>
      <c r="C508" s="2" t="n">
        <v>453.076191797</v>
      </c>
      <c r="D508" s="2" t="n">
        <v>4.01834920600278</v>
      </c>
      <c r="E508" s="2" t="s">
        <v>5735</v>
      </c>
      <c r="F508" s="2" t="s">
        <v>24</v>
      </c>
      <c r="G508" s="2" t="s">
        <v>5736</v>
      </c>
      <c r="H508" s="2" t="s">
        <v>5737</v>
      </c>
      <c r="I508" s="2" t="s">
        <v>5738</v>
      </c>
      <c r="J508" s="2" t="s">
        <v>5739</v>
      </c>
      <c r="K508" s="2" t="s">
        <v>29</v>
      </c>
      <c r="L508" s="2" t="s">
        <v>29</v>
      </c>
      <c r="M508" s="2" t="s">
        <v>29</v>
      </c>
      <c r="N508" s="2" t="s">
        <v>5740</v>
      </c>
      <c r="O508" s="2" t="s">
        <v>29</v>
      </c>
      <c r="P508" s="2" t="s">
        <v>5741</v>
      </c>
      <c r="Q508" s="2" t="s">
        <v>5742</v>
      </c>
      <c r="R508" s="2" t="s">
        <v>502</v>
      </c>
      <c r="S508" s="2" t="s">
        <v>503</v>
      </c>
      <c r="T508" s="2" t="s">
        <v>1964</v>
      </c>
      <c r="U508" s="2" t="s">
        <v>29</v>
      </c>
      <c r="V508" s="2" t="n">
        <v>1</v>
      </c>
    </row>
    <row r="509">
      <c r="A509" s="2" t="n">
        <v>508</v>
      </c>
      <c r="B509" s="2" t="s">
        <v>5743</v>
      </c>
      <c r="C509" s="2" t="n">
        <v>454.077313998</v>
      </c>
      <c r="D509" s="2" t="n">
        <v>3.04715333082606</v>
      </c>
      <c r="E509" s="2" t="s">
        <v>5744</v>
      </c>
      <c r="F509" s="2" t="s">
        <v>24</v>
      </c>
      <c r="G509" s="2" t="s">
        <v>5745</v>
      </c>
      <c r="H509" s="2" t="s">
        <v>5746</v>
      </c>
      <c r="I509" s="2" t="s">
        <v>5747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5748</v>
      </c>
      <c r="O509" s="2" t="s">
        <v>29</v>
      </c>
      <c r="P509" s="2" t="s">
        <v>5749</v>
      </c>
      <c r="Q509" s="2" t="s">
        <v>5750</v>
      </c>
      <c r="R509" s="2" t="s">
        <v>49</v>
      </c>
      <c r="S509" s="2" t="s">
        <v>165</v>
      </c>
      <c r="T509" s="2" t="s">
        <v>5751</v>
      </c>
      <c r="U509" s="2" t="s">
        <v>29</v>
      </c>
      <c r="V509" s="2" t="n">
        <v>1</v>
      </c>
    </row>
    <row r="510">
      <c r="A510" s="2" t="n">
        <v>509</v>
      </c>
      <c r="B510" s="2" t="s">
        <v>5752</v>
      </c>
      <c r="C510" s="2" t="n">
        <v>455.00221629</v>
      </c>
      <c r="D510" s="2" t="n">
        <v>5.80302673544456</v>
      </c>
      <c r="E510" s="2" t="s">
        <v>5753</v>
      </c>
      <c r="F510" s="2" t="s">
        <v>250</v>
      </c>
      <c r="G510" s="2" t="s">
        <v>5754</v>
      </c>
      <c r="H510" s="2" t="s">
        <v>5755</v>
      </c>
      <c r="I510" s="2" t="s">
        <v>5756</v>
      </c>
      <c r="J510" s="2" t="s">
        <v>5757</v>
      </c>
      <c r="K510" s="2" t="s">
        <v>29</v>
      </c>
      <c r="L510" s="2" t="s">
        <v>29</v>
      </c>
      <c r="M510" s="2" t="s">
        <v>29</v>
      </c>
      <c r="N510" s="2" t="s">
        <v>5758</v>
      </c>
      <c r="O510" s="2" t="s">
        <v>5759</v>
      </c>
      <c r="P510" s="2" t="s">
        <v>5760</v>
      </c>
      <c r="Q510" s="2" t="s">
        <v>5761</v>
      </c>
      <c r="R510" s="2" t="s">
        <v>2509</v>
      </c>
      <c r="S510" s="2" t="s">
        <v>4720</v>
      </c>
      <c r="T510" s="2" t="s">
        <v>4721</v>
      </c>
      <c r="U510" s="2" t="s">
        <v>29</v>
      </c>
      <c r="V510" s="2" t="n">
        <v>1</v>
      </c>
    </row>
    <row r="511">
      <c r="A511" s="2" t="n">
        <v>510</v>
      </c>
      <c r="B511" s="2" t="s">
        <v>5762</v>
      </c>
      <c r="C511" s="2" t="n">
        <v>455.090304994</v>
      </c>
      <c r="D511" s="2" t="n">
        <v>0.315595594395825</v>
      </c>
      <c r="E511" s="2" t="s">
        <v>5763</v>
      </c>
      <c r="F511" s="2" t="s">
        <v>522</v>
      </c>
      <c r="G511" s="2" t="s">
        <v>5764</v>
      </c>
      <c r="H511" s="2" t="s">
        <v>5765</v>
      </c>
      <c r="I511" s="2" t="s">
        <v>5766</v>
      </c>
      <c r="J511" s="2" t="s">
        <v>5767</v>
      </c>
      <c r="K511" s="2" t="s">
        <v>29</v>
      </c>
      <c r="L511" s="2" t="s">
        <v>29</v>
      </c>
      <c r="M511" s="2" t="s">
        <v>29</v>
      </c>
      <c r="N511" s="2" t="s">
        <v>5768</v>
      </c>
      <c r="O511" s="2" t="s">
        <v>5769</v>
      </c>
      <c r="P511" s="2" t="s">
        <v>5770</v>
      </c>
      <c r="Q511" s="2" t="s">
        <v>5771</v>
      </c>
      <c r="R511" s="2" t="s">
        <v>355</v>
      </c>
      <c r="S511" s="2" t="s">
        <v>5537</v>
      </c>
      <c r="T511" s="2" t="s">
        <v>5538</v>
      </c>
      <c r="U511" s="2" t="s">
        <v>29</v>
      </c>
      <c r="V511" s="2" t="n">
        <v>1</v>
      </c>
    </row>
    <row r="512">
      <c r="A512" s="2" t="n">
        <v>511</v>
      </c>
      <c r="B512" s="2" t="s">
        <v>5772</v>
      </c>
      <c r="C512" s="2" t="n">
        <v>457.0574761</v>
      </c>
      <c r="D512" s="2" t="n">
        <v>2.93781217451086</v>
      </c>
      <c r="E512" s="2" t="s">
        <v>5773</v>
      </c>
      <c r="F512" s="2" t="s">
        <v>24</v>
      </c>
      <c r="G512" s="2" t="s">
        <v>5774</v>
      </c>
      <c r="H512" s="2" t="s">
        <v>5775</v>
      </c>
      <c r="I512" s="2" t="s">
        <v>5776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5777</v>
      </c>
      <c r="O512" s="2" t="s">
        <v>29</v>
      </c>
      <c r="P512" s="2" t="s">
        <v>5778</v>
      </c>
      <c r="Q512" s="2" t="s">
        <v>5779</v>
      </c>
      <c r="R512" s="2" t="s">
        <v>502</v>
      </c>
      <c r="S512" s="2" t="s">
        <v>503</v>
      </c>
      <c r="T512" s="2" t="s">
        <v>2313</v>
      </c>
      <c r="U512" s="2" t="s">
        <v>29</v>
      </c>
      <c r="V512" s="2" t="n">
        <v>1</v>
      </c>
    </row>
    <row r="513">
      <c r="A513" s="2" t="n">
        <v>512</v>
      </c>
      <c r="B513" s="2" t="s">
        <v>5780</v>
      </c>
      <c r="C513" s="2" t="n">
        <v>458.133849982</v>
      </c>
      <c r="D513" s="2" t="n">
        <v>1.13866693888988</v>
      </c>
      <c r="E513" s="2" t="s">
        <v>5781</v>
      </c>
      <c r="F513" s="2" t="s">
        <v>42</v>
      </c>
      <c r="G513" s="2" t="s">
        <v>5782</v>
      </c>
      <c r="H513" s="2" t="s">
        <v>5783</v>
      </c>
      <c r="I513" s="2" t="s">
        <v>5784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5785</v>
      </c>
      <c r="O513" s="2" t="s">
        <v>29</v>
      </c>
      <c r="P513" s="2" t="s">
        <v>5786</v>
      </c>
      <c r="Q513" s="2" t="s">
        <v>5787</v>
      </c>
      <c r="R513" s="2" t="s">
        <v>355</v>
      </c>
      <c r="S513" s="2" t="s">
        <v>5788</v>
      </c>
      <c r="T513" s="2" t="s">
        <v>205</v>
      </c>
      <c r="U513" s="2" t="s">
        <v>29</v>
      </c>
      <c r="V513" s="2" t="n">
        <v>1</v>
      </c>
    </row>
    <row r="514">
      <c r="A514" s="2" t="n">
        <v>513</v>
      </c>
      <c r="B514" s="2" t="s">
        <v>5789</v>
      </c>
      <c r="C514" s="2" t="n">
        <v>458.183378313</v>
      </c>
      <c r="D514" s="2" t="n">
        <v>6.16217897005514</v>
      </c>
      <c r="E514" s="2" t="s">
        <v>5790</v>
      </c>
      <c r="F514" s="2" t="s">
        <v>110</v>
      </c>
      <c r="G514" s="2" t="s">
        <v>5791</v>
      </c>
      <c r="H514" s="2" t="s">
        <v>5792</v>
      </c>
      <c r="I514" s="2" t="s">
        <v>5793</v>
      </c>
      <c r="J514" s="2" t="s">
        <v>29</v>
      </c>
      <c r="K514" s="2" t="s">
        <v>29</v>
      </c>
      <c r="L514" s="2" t="s">
        <v>29</v>
      </c>
      <c r="M514" s="2" t="s">
        <v>5794</v>
      </c>
      <c r="N514" s="2" t="s">
        <v>5795</v>
      </c>
      <c r="O514" s="2" t="s">
        <v>29</v>
      </c>
      <c r="P514" s="2" t="s">
        <v>5796</v>
      </c>
      <c r="Q514" s="2" t="s">
        <v>5797</v>
      </c>
      <c r="R514" s="2" t="s">
        <v>355</v>
      </c>
      <c r="S514" s="2" t="s">
        <v>1580</v>
      </c>
      <c r="T514" s="2" t="s">
        <v>4820</v>
      </c>
      <c r="U514" s="2" t="s">
        <v>29</v>
      </c>
      <c r="V514" s="2" t="n">
        <v>1</v>
      </c>
    </row>
    <row r="515">
      <c r="A515" s="2" t="n">
        <v>514</v>
      </c>
      <c r="B515" s="2" t="s">
        <v>5798</v>
      </c>
      <c r="C515" s="2" t="n">
        <v>459.123146295</v>
      </c>
      <c r="D515" s="2" t="n">
        <v>4.75813481037519</v>
      </c>
      <c r="E515" s="2" t="s">
        <v>5799</v>
      </c>
      <c r="F515" s="2" t="s">
        <v>110</v>
      </c>
      <c r="G515" s="2" t="s">
        <v>5800</v>
      </c>
      <c r="H515" s="2" t="s">
        <v>5801</v>
      </c>
      <c r="I515" s="2" t="s">
        <v>5802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5803</v>
      </c>
      <c r="O515" s="2" t="s">
        <v>29</v>
      </c>
      <c r="P515" s="2" t="s">
        <v>5804</v>
      </c>
      <c r="Q515" s="2" t="s">
        <v>5805</v>
      </c>
      <c r="R515" s="2" t="s">
        <v>355</v>
      </c>
      <c r="S515" s="2" t="s">
        <v>5806</v>
      </c>
      <c r="T515" s="2" t="s">
        <v>5807</v>
      </c>
      <c r="U515" s="2" t="s">
        <v>29</v>
      </c>
      <c r="V515" s="2" t="n">
        <v>1</v>
      </c>
    </row>
    <row r="516">
      <c r="A516" s="2" t="n">
        <v>515</v>
      </c>
      <c r="B516" s="2" t="s">
        <v>5808</v>
      </c>
      <c r="C516" s="2" t="n">
        <v>461.051189362</v>
      </c>
      <c r="D516" s="2" t="n">
        <v>1.71137710274015</v>
      </c>
      <c r="E516" s="2" t="s">
        <v>5809</v>
      </c>
      <c r="F516" s="2" t="s">
        <v>250</v>
      </c>
      <c r="G516" s="2" t="s">
        <v>5810</v>
      </c>
      <c r="H516" s="2" t="s">
        <v>5811</v>
      </c>
      <c r="I516" s="2" t="s">
        <v>5812</v>
      </c>
      <c r="J516" s="2" t="s">
        <v>5813</v>
      </c>
      <c r="K516" s="2" t="s">
        <v>29</v>
      </c>
      <c r="L516" s="2" t="s">
        <v>5814</v>
      </c>
      <c r="M516" s="2" t="s">
        <v>5815</v>
      </c>
      <c r="N516" s="2" t="s">
        <v>5816</v>
      </c>
      <c r="O516" s="2" t="s">
        <v>5817</v>
      </c>
      <c r="P516" s="2" t="s">
        <v>5818</v>
      </c>
      <c r="Q516" s="2" t="s">
        <v>5819</v>
      </c>
      <c r="R516" s="2" t="s">
        <v>36</v>
      </c>
      <c r="S516" s="2" t="s">
        <v>37</v>
      </c>
      <c r="T516" s="2" t="s">
        <v>3071</v>
      </c>
      <c r="U516" s="2" t="s">
        <v>39</v>
      </c>
      <c r="V516" s="2" t="n">
        <v>1</v>
      </c>
    </row>
    <row r="517">
      <c r="A517" s="2" t="n">
        <v>516</v>
      </c>
      <c r="B517" s="2" t="s">
        <v>5820</v>
      </c>
      <c r="C517" s="2" t="n">
        <v>461.137255186</v>
      </c>
      <c r="D517" s="2" t="n">
        <v>1.14995521331847</v>
      </c>
      <c r="E517" s="2" t="s">
        <v>5821</v>
      </c>
      <c r="F517" s="2" t="s">
        <v>522</v>
      </c>
      <c r="G517" s="2" t="s">
        <v>5822</v>
      </c>
      <c r="H517" s="2" t="s">
        <v>5823</v>
      </c>
      <c r="I517" s="2" t="s">
        <v>5824</v>
      </c>
      <c r="J517" s="2" t="s">
        <v>5825</v>
      </c>
      <c r="K517" s="2" t="s">
        <v>226</v>
      </c>
      <c r="L517" s="2" t="s">
        <v>226</v>
      </c>
      <c r="M517" s="2" t="s">
        <v>5826</v>
      </c>
      <c r="N517" s="2" t="s">
        <v>5827</v>
      </c>
      <c r="O517" s="2" t="s">
        <v>5828</v>
      </c>
      <c r="P517" s="2" t="s">
        <v>5829</v>
      </c>
      <c r="Q517" s="2" t="s">
        <v>5830</v>
      </c>
      <c r="R517" s="2" t="s">
        <v>5831</v>
      </c>
      <c r="S517" s="2" t="s">
        <v>5832</v>
      </c>
      <c r="T517" s="2" t="s">
        <v>5833</v>
      </c>
      <c r="U517" s="2" t="s">
        <v>29</v>
      </c>
      <c r="V517" s="2" t="n">
        <v>3</v>
      </c>
    </row>
    <row r="518">
      <c r="A518" s="2" t="n">
        <v>517</v>
      </c>
      <c r="B518" s="2" t="s">
        <v>5834</v>
      </c>
      <c r="C518" s="2" t="n">
        <v>462.118585416</v>
      </c>
      <c r="D518" s="2" t="n">
        <v>4.45990418937587</v>
      </c>
      <c r="E518" s="2" t="s">
        <v>5835</v>
      </c>
      <c r="F518" s="2" t="s">
        <v>522</v>
      </c>
      <c r="G518" s="2" t="s">
        <v>5836</v>
      </c>
      <c r="H518" s="2" t="s">
        <v>5837</v>
      </c>
      <c r="I518" s="2" t="s">
        <v>5838</v>
      </c>
      <c r="J518" s="2" t="s">
        <v>72</v>
      </c>
      <c r="K518" s="2" t="s">
        <v>72</v>
      </c>
      <c r="L518" s="2" t="s">
        <v>72</v>
      </c>
      <c r="M518" s="2" t="s">
        <v>5839</v>
      </c>
      <c r="N518" s="2" t="s">
        <v>5840</v>
      </c>
      <c r="O518" s="2" t="s">
        <v>5841</v>
      </c>
      <c r="P518" s="2" t="s">
        <v>5842</v>
      </c>
      <c r="Q518" s="2" t="s">
        <v>5843</v>
      </c>
      <c r="R518" s="2" t="s">
        <v>715</v>
      </c>
      <c r="S518" s="2" t="s">
        <v>716</v>
      </c>
      <c r="T518" s="2" t="s">
        <v>717</v>
      </c>
      <c r="U518" s="2" t="s">
        <v>29</v>
      </c>
      <c r="V518" s="2" t="n">
        <v>2</v>
      </c>
    </row>
    <row r="519">
      <c r="A519" s="2" t="n">
        <v>518</v>
      </c>
      <c r="B519" s="2" t="s">
        <v>5844</v>
      </c>
      <c r="C519" s="2" t="n">
        <v>463.041198128</v>
      </c>
      <c r="D519" s="2" t="n">
        <v>5.49025921149457</v>
      </c>
      <c r="E519" s="2" t="s">
        <v>5845</v>
      </c>
      <c r="F519" s="2" t="s">
        <v>24</v>
      </c>
      <c r="G519" s="2" t="s">
        <v>5846</v>
      </c>
      <c r="H519" s="2" t="s">
        <v>5847</v>
      </c>
      <c r="I519" s="2" t="s">
        <v>5848</v>
      </c>
      <c r="J519" s="2" t="s">
        <v>29</v>
      </c>
      <c r="K519" s="2" t="s">
        <v>29</v>
      </c>
      <c r="L519" s="2" t="s">
        <v>5849</v>
      </c>
      <c r="M519" s="2" t="s">
        <v>5850</v>
      </c>
      <c r="N519" s="2" t="s">
        <v>5851</v>
      </c>
      <c r="O519" s="2" t="s">
        <v>5852</v>
      </c>
      <c r="P519" s="2" t="s">
        <v>5853</v>
      </c>
      <c r="Q519" s="2" t="s">
        <v>5854</v>
      </c>
      <c r="R519" s="2" t="s">
        <v>64</v>
      </c>
      <c r="S519" s="2" t="s">
        <v>65</v>
      </c>
      <c r="T519" s="2" t="s">
        <v>66</v>
      </c>
      <c r="U519" s="2" t="s">
        <v>39</v>
      </c>
      <c r="V519" s="2" t="n">
        <v>1</v>
      </c>
    </row>
    <row r="520">
      <c r="A520" s="2" t="n">
        <v>519</v>
      </c>
      <c r="B520" s="2" t="s">
        <v>5855</v>
      </c>
      <c r="C520" s="2" t="n">
        <v>465.103850148</v>
      </c>
      <c r="D520" s="2" t="n">
        <v>3.25522629625865</v>
      </c>
      <c r="E520" s="2" t="s">
        <v>5856</v>
      </c>
      <c r="F520" s="2" t="s">
        <v>110</v>
      </c>
      <c r="G520" s="2" t="s">
        <v>5857</v>
      </c>
      <c r="H520" s="2" t="s">
        <v>5858</v>
      </c>
      <c r="I520" s="2" t="s">
        <v>5859</v>
      </c>
      <c r="J520" s="2" t="s">
        <v>5860</v>
      </c>
      <c r="K520" s="2" t="s">
        <v>72</v>
      </c>
      <c r="L520" s="2" t="s">
        <v>72</v>
      </c>
      <c r="M520" s="2" t="s">
        <v>72</v>
      </c>
      <c r="N520" s="2" t="s">
        <v>5861</v>
      </c>
      <c r="O520" s="2" t="s">
        <v>5862</v>
      </c>
      <c r="P520" s="2" t="s">
        <v>5863</v>
      </c>
      <c r="Q520" s="2" t="s">
        <v>5864</v>
      </c>
      <c r="R520" s="2" t="s">
        <v>5865</v>
      </c>
      <c r="S520" s="2" t="s">
        <v>5866</v>
      </c>
      <c r="T520" s="2" t="s">
        <v>5867</v>
      </c>
      <c r="U520" s="2" t="s">
        <v>29</v>
      </c>
      <c r="V520" s="2" t="n">
        <v>2</v>
      </c>
    </row>
    <row r="521">
      <c r="A521" s="2" t="n">
        <v>520</v>
      </c>
      <c r="B521" s="2" t="s">
        <v>5868</v>
      </c>
      <c r="C521" s="2" t="n">
        <v>465.216174208</v>
      </c>
      <c r="D521" s="2" t="n">
        <v>1.33833938735966</v>
      </c>
      <c r="E521" s="2" t="s">
        <v>5869</v>
      </c>
      <c r="F521" s="2" t="s">
        <v>522</v>
      </c>
      <c r="G521" s="2" t="s">
        <v>5870</v>
      </c>
      <c r="H521" s="2" t="s">
        <v>5871</v>
      </c>
      <c r="I521" s="2" t="s">
        <v>5872</v>
      </c>
      <c r="J521" s="2" t="s">
        <v>5873</v>
      </c>
      <c r="K521" s="2" t="s">
        <v>29</v>
      </c>
      <c r="L521" s="2" t="s">
        <v>5874</v>
      </c>
      <c r="M521" s="2" t="s">
        <v>5875</v>
      </c>
      <c r="N521" s="2" t="s">
        <v>5876</v>
      </c>
      <c r="O521" s="2" t="s">
        <v>5877</v>
      </c>
      <c r="P521" s="2" t="s">
        <v>5878</v>
      </c>
      <c r="Q521" s="2" t="s">
        <v>5879</v>
      </c>
      <c r="R521" s="2" t="s">
        <v>49</v>
      </c>
      <c r="S521" s="2" t="s">
        <v>165</v>
      </c>
      <c r="T521" s="2" t="s">
        <v>166</v>
      </c>
      <c r="U521" s="2" t="s">
        <v>39</v>
      </c>
      <c r="V521" s="2" t="n">
        <v>1</v>
      </c>
    </row>
    <row r="522">
      <c r="A522" s="2" t="n">
        <v>521</v>
      </c>
      <c r="B522" s="2" t="s">
        <v>5880</v>
      </c>
      <c r="C522" s="2" t="n">
        <v>465.300483518</v>
      </c>
      <c r="D522" s="2" t="n">
        <v>0.587941204017418</v>
      </c>
      <c r="E522" s="2" t="s">
        <v>5881</v>
      </c>
      <c r="F522" s="2" t="s">
        <v>42</v>
      </c>
      <c r="G522" s="2" t="s">
        <v>5882</v>
      </c>
      <c r="H522" s="2" t="s">
        <v>5883</v>
      </c>
      <c r="I522" s="2" t="s">
        <v>5884</v>
      </c>
      <c r="J522" s="2" t="s">
        <v>5885</v>
      </c>
      <c r="K522" s="2" t="s">
        <v>226</v>
      </c>
      <c r="L522" s="2" t="s">
        <v>226</v>
      </c>
      <c r="M522" s="2" t="s">
        <v>226</v>
      </c>
      <c r="N522" s="2" t="s">
        <v>5886</v>
      </c>
      <c r="O522" s="2" t="s">
        <v>5887</v>
      </c>
      <c r="P522" s="2" t="s">
        <v>5888</v>
      </c>
      <c r="Q522" s="2" t="s">
        <v>5889</v>
      </c>
      <c r="R522" s="2" t="s">
        <v>105</v>
      </c>
      <c r="S522" s="2" t="s">
        <v>1614</v>
      </c>
      <c r="T522" s="2" t="s">
        <v>5890</v>
      </c>
      <c r="U522" s="2" t="s">
        <v>29</v>
      </c>
      <c r="V522" s="2" t="n">
        <v>3</v>
      </c>
    </row>
    <row r="523">
      <c r="A523" s="2" t="n">
        <v>522</v>
      </c>
      <c r="B523" s="2" t="s">
        <v>5891</v>
      </c>
      <c r="C523" s="2" t="n">
        <v>466.008705</v>
      </c>
      <c r="D523" s="2" t="n">
        <v>7.04296041274806</v>
      </c>
      <c r="E523" s="2" t="s">
        <v>5892</v>
      </c>
      <c r="F523" s="2" t="s">
        <v>250</v>
      </c>
      <c r="G523" s="2" t="s">
        <v>5893</v>
      </c>
      <c r="H523" s="2" t="s">
        <v>5894</v>
      </c>
      <c r="I523" s="2" t="s">
        <v>5895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5896</v>
      </c>
      <c r="O523" s="2" t="s">
        <v>29</v>
      </c>
      <c r="P523" s="2" t="s">
        <v>5897</v>
      </c>
      <c r="Q523" s="2" t="s">
        <v>5898</v>
      </c>
      <c r="R523" s="2" t="s">
        <v>4189</v>
      </c>
      <c r="S523" s="2" t="s">
        <v>5899</v>
      </c>
      <c r="T523" s="2" t="s">
        <v>5900</v>
      </c>
      <c r="U523" s="2" t="s">
        <v>29</v>
      </c>
      <c r="V523" s="2" t="n">
        <v>1</v>
      </c>
    </row>
    <row r="524">
      <c r="A524" s="2" t="n">
        <v>523</v>
      </c>
      <c r="B524" s="2" t="s">
        <v>5901</v>
      </c>
      <c r="C524" s="2" t="n">
        <v>466.099683363</v>
      </c>
      <c r="D524" s="2" t="n">
        <v>8.76396627890539</v>
      </c>
      <c r="E524" s="2" t="s">
        <v>5902</v>
      </c>
      <c r="F524" s="2" t="s">
        <v>360</v>
      </c>
      <c r="G524" s="2" t="s">
        <v>5903</v>
      </c>
      <c r="H524" s="2" t="s">
        <v>5904</v>
      </c>
      <c r="I524" s="2" t="s">
        <v>5905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5906</v>
      </c>
      <c r="O524" s="2" t="s">
        <v>29</v>
      </c>
      <c r="P524" s="2" t="s">
        <v>5907</v>
      </c>
      <c r="Q524" s="2" t="s">
        <v>5908</v>
      </c>
      <c r="R524" s="2" t="s">
        <v>64</v>
      </c>
      <c r="S524" s="2" t="s">
        <v>65</v>
      </c>
      <c r="T524" s="2" t="s">
        <v>66</v>
      </c>
      <c r="U524" s="2" t="s">
        <v>29</v>
      </c>
      <c r="V524" s="2" t="n">
        <v>1</v>
      </c>
    </row>
    <row r="525">
      <c r="A525" s="2" t="n">
        <v>524</v>
      </c>
      <c r="B525" s="2" t="s">
        <v>5909</v>
      </c>
      <c r="C525" s="2" t="n">
        <v>468.0038567</v>
      </c>
      <c r="D525" s="2" t="n">
        <v>4.95087428829997</v>
      </c>
      <c r="E525" s="2" t="s">
        <v>5910</v>
      </c>
      <c r="F525" s="2" t="s">
        <v>24</v>
      </c>
      <c r="G525" s="2" t="s">
        <v>5911</v>
      </c>
      <c r="H525" s="2" t="s">
        <v>5912</v>
      </c>
      <c r="I525" s="2" t="s">
        <v>5913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5914</v>
      </c>
      <c r="O525" s="2" t="s">
        <v>29</v>
      </c>
      <c r="P525" s="2" t="s">
        <v>5915</v>
      </c>
      <c r="Q525" s="2" t="s">
        <v>5916</v>
      </c>
      <c r="R525" s="2" t="s">
        <v>502</v>
      </c>
      <c r="S525" s="2" t="s">
        <v>503</v>
      </c>
      <c r="T525" s="2" t="s">
        <v>5917</v>
      </c>
      <c r="U525" s="2" t="s">
        <v>29</v>
      </c>
      <c r="V525" s="2" t="n">
        <v>1</v>
      </c>
    </row>
    <row r="526">
      <c r="A526" s="2" t="n">
        <v>525</v>
      </c>
      <c r="B526" s="2" t="s">
        <v>5918</v>
      </c>
      <c r="C526" s="2" t="n">
        <v>468.070297572</v>
      </c>
      <c r="D526" s="2" t="n">
        <v>3.74653167224942</v>
      </c>
      <c r="E526" s="2" t="s">
        <v>5919</v>
      </c>
      <c r="F526" s="2" t="s">
        <v>110</v>
      </c>
      <c r="G526" s="2" t="s">
        <v>5920</v>
      </c>
      <c r="H526" s="2" t="s">
        <v>5921</v>
      </c>
      <c r="I526" s="2" t="s">
        <v>5922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5923</v>
      </c>
      <c r="O526" s="2" t="s">
        <v>29</v>
      </c>
      <c r="P526" s="2" t="s">
        <v>5924</v>
      </c>
      <c r="Q526" s="2" t="s">
        <v>5925</v>
      </c>
      <c r="R526" s="2" t="s">
        <v>64</v>
      </c>
      <c r="S526" s="2" t="s">
        <v>65</v>
      </c>
      <c r="T526" s="2" t="s">
        <v>66</v>
      </c>
      <c r="U526" s="2" t="s">
        <v>29</v>
      </c>
      <c r="V526" s="2" t="n">
        <v>1</v>
      </c>
    </row>
    <row r="527">
      <c r="A527" s="2" t="n">
        <v>526</v>
      </c>
      <c r="B527" s="2" t="s">
        <v>5926</v>
      </c>
      <c r="C527" s="2" t="n">
        <v>470.063910606</v>
      </c>
      <c r="D527" s="2" t="n">
        <v>5.923975637986</v>
      </c>
      <c r="E527" s="2" t="s">
        <v>5927</v>
      </c>
      <c r="F527" s="2" t="s">
        <v>24</v>
      </c>
      <c r="G527" s="2" t="s">
        <v>5928</v>
      </c>
      <c r="H527" s="2" t="s">
        <v>5929</v>
      </c>
      <c r="I527" s="2" t="s">
        <v>5930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5931</v>
      </c>
      <c r="O527" s="2" t="s">
        <v>29</v>
      </c>
      <c r="P527" s="2" t="s">
        <v>5932</v>
      </c>
      <c r="Q527" s="2" t="s">
        <v>5933</v>
      </c>
      <c r="R527" s="2" t="s">
        <v>355</v>
      </c>
      <c r="S527" s="2" t="s">
        <v>356</v>
      </c>
      <c r="T527" s="2" t="s">
        <v>5282</v>
      </c>
      <c r="U527" s="2" t="s">
        <v>29</v>
      </c>
      <c r="V527" s="2" t="n">
        <v>1</v>
      </c>
    </row>
    <row r="528">
      <c r="A528" s="2" t="n">
        <v>527</v>
      </c>
      <c r="B528" s="2" t="s">
        <v>5934</v>
      </c>
      <c r="C528" s="2" t="n">
        <v>472.077986543</v>
      </c>
      <c r="D528" s="2" t="n">
        <v>6.74615171549927</v>
      </c>
      <c r="E528" s="2" t="s">
        <v>5935</v>
      </c>
      <c r="F528" s="2" t="s">
        <v>110</v>
      </c>
      <c r="G528" s="2" t="s">
        <v>5936</v>
      </c>
      <c r="H528" s="2" t="s">
        <v>5937</v>
      </c>
      <c r="I528" s="2" t="s">
        <v>5938</v>
      </c>
      <c r="J528" s="2" t="s">
        <v>5939</v>
      </c>
      <c r="K528" s="2" t="s">
        <v>29</v>
      </c>
      <c r="L528" s="2" t="s">
        <v>5940</v>
      </c>
      <c r="M528" s="2" t="s">
        <v>5941</v>
      </c>
      <c r="N528" s="2" t="s">
        <v>5942</v>
      </c>
      <c r="O528" s="2" t="s">
        <v>5943</v>
      </c>
      <c r="P528" s="2" t="s">
        <v>5944</v>
      </c>
      <c r="Q528" s="2" t="s">
        <v>5945</v>
      </c>
      <c r="R528" s="2" t="s">
        <v>49</v>
      </c>
      <c r="S528" s="2" t="s">
        <v>165</v>
      </c>
      <c r="T528" s="2" t="s">
        <v>166</v>
      </c>
      <c r="U528" s="2" t="s">
        <v>39</v>
      </c>
      <c r="V528" s="2" t="n">
        <v>1</v>
      </c>
    </row>
    <row r="529">
      <c r="A529" s="2" t="n">
        <v>528</v>
      </c>
      <c r="B529" s="2" t="s">
        <v>5946</v>
      </c>
      <c r="C529" s="2" t="n">
        <v>472.200858495</v>
      </c>
      <c r="D529" s="2" t="n">
        <v>6.63776404365475</v>
      </c>
      <c r="E529" s="2" t="s">
        <v>5947</v>
      </c>
      <c r="F529" s="2" t="s">
        <v>522</v>
      </c>
      <c r="G529" s="2" t="s">
        <v>5948</v>
      </c>
      <c r="H529" s="2" t="s">
        <v>5949</v>
      </c>
      <c r="I529" s="2" t="s">
        <v>5950</v>
      </c>
      <c r="J529" s="2" t="s">
        <v>5951</v>
      </c>
      <c r="K529" s="2" t="s">
        <v>29</v>
      </c>
      <c r="L529" s="2" t="s">
        <v>29</v>
      </c>
      <c r="M529" s="2" t="s">
        <v>5952</v>
      </c>
      <c r="N529" s="2" t="s">
        <v>5953</v>
      </c>
      <c r="O529" s="2" t="s">
        <v>5954</v>
      </c>
      <c r="P529" s="2" t="s">
        <v>5955</v>
      </c>
      <c r="Q529" s="2" t="s">
        <v>5956</v>
      </c>
      <c r="R529" s="2" t="s">
        <v>2509</v>
      </c>
      <c r="S529" s="2" t="s">
        <v>4528</v>
      </c>
      <c r="T529" s="2" t="s">
        <v>4529</v>
      </c>
      <c r="U529" s="2" t="s">
        <v>29</v>
      </c>
      <c r="V529" s="2" t="n">
        <v>1</v>
      </c>
    </row>
    <row r="530">
      <c r="A530" s="2" t="n">
        <v>529</v>
      </c>
      <c r="B530" s="2" t="s">
        <v>5957</v>
      </c>
      <c r="C530" s="2" t="n">
        <v>473.158384558</v>
      </c>
      <c r="D530" s="2" t="n">
        <v>3.95619417555501</v>
      </c>
      <c r="E530" s="2" t="s">
        <v>5958</v>
      </c>
      <c r="F530" s="2" t="s">
        <v>522</v>
      </c>
      <c r="G530" s="2" t="s">
        <v>5959</v>
      </c>
      <c r="H530" s="2" t="s">
        <v>5960</v>
      </c>
      <c r="I530" s="2" t="s">
        <v>5961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5962</v>
      </c>
      <c r="O530" s="2" t="s">
        <v>5963</v>
      </c>
      <c r="P530" s="2" t="s">
        <v>5964</v>
      </c>
      <c r="Q530" s="2" t="s">
        <v>5965</v>
      </c>
      <c r="R530" s="2" t="s">
        <v>1490</v>
      </c>
      <c r="S530" s="2" t="s">
        <v>4971</v>
      </c>
      <c r="T530" s="2" t="s">
        <v>5966</v>
      </c>
      <c r="U530" s="2" t="s">
        <v>29</v>
      </c>
      <c r="V530" s="2" t="n">
        <v>1</v>
      </c>
    </row>
    <row r="531">
      <c r="A531" s="2" t="n">
        <v>530</v>
      </c>
      <c r="B531" s="2" t="s">
        <v>5967</v>
      </c>
      <c r="C531" s="2" t="n">
        <v>473.282735657</v>
      </c>
      <c r="D531" s="2" t="n">
        <v>0.41128306302107</v>
      </c>
      <c r="E531" s="2" t="s">
        <v>5968</v>
      </c>
      <c r="F531" s="2" t="s">
        <v>250</v>
      </c>
      <c r="G531" s="2" t="s">
        <v>5969</v>
      </c>
      <c r="H531" s="2" t="s">
        <v>5970</v>
      </c>
      <c r="I531" s="2" t="s">
        <v>5971</v>
      </c>
      <c r="J531" s="2" t="s">
        <v>5972</v>
      </c>
      <c r="K531" s="2" t="s">
        <v>29</v>
      </c>
      <c r="L531" s="2" t="s">
        <v>5973</v>
      </c>
      <c r="M531" s="2" t="s">
        <v>5974</v>
      </c>
      <c r="N531" s="2" t="s">
        <v>5975</v>
      </c>
      <c r="O531" s="2" t="s">
        <v>5976</v>
      </c>
      <c r="P531" s="2" t="s">
        <v>5977</v>
      </c>
      <c r="Q531" s="2" t="s">
        <v>5978</v>
      </c>
      <c r="R531" s="2" t="s">
        <v>1490</v>
      </c>
      <c r="S531" s="2" t="s">
        <v>4971</v>
      </c>
      <c r="T531" s="2" t="s">
        <v>5979</v>
      </c>
      <c r="U531" s="2" t="s">
        <v>39</v>
      </c>
      <c r="V531" s="2" t="n">
        <v>1</v>
      </c>
    </row>
    <row r="532">
      <c r="A532" s="2" t="n">
        <v>531</v>
      </c>
      <c r="B532" s="2" t="s">
        <v>5980</v>
      </c>
      <c r="C532" s="2" t="n">
        <v>474.143737537</v>
      </c>
      <c r="D532" s="2" t="n">
        <v>6.46486205262664</v>
      </c>
      <c r="E532" s="2" t="s">
        <v>5981</v>
      </c>
      <c r="F532" s="2" t="s">
        <v>522</v>
      </c>
      <c r="G532" s="2" t="s">
        <v>5982</v>
      </c>
      <c r="H532" s="2" t="s">
        <v>5983</v>
      </c>
      <c r="I532" s="2" t="s">
        <v>5984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5985</v>
      </c>
      <c r="O532" s="2" t="s">
        <v>29</v>
      </c>
      <c r="P532" s="2" t="s">
        <v>5986</v>
      </c>
      <c r="Q532" s="2" t="s">
        <v>5987</v>
      </c>
      <c r="R532" s="2" t="s">
        <v>502</v>
      </c>
      <c r="S532" s="2" t="s">
        <v>503</v>
      </c>
      <c r="T532" s="2" t="s">
        <v>3450</v>
      </c>
      <c r="U532" s="2" t="s">
        <v>29</v>
      </c>
      <c r="V532" s="2" t="n">
        <v>1</v>
      </c>
    </row>
    <row r="533">
      <c r="A533" s="2" t="n">
        <v>532</v>
      </c>
      <c r="B533" s="2" t="s">
        <v>5988</v>
      </c>
      <c r="C533" s="2" t="n">
        <v>476.041200058</v>
      </c>
      <c r="D533" s="2" t="n">
        <v>8.20971074605622</v>
      </c>
      <c r="E533" s="2" t="s">
        <v>5989</v>
      </c>
      <c r="F533" s="2" t="s">
        <v>250</v>
      </c>
      <c r="G533" s="2" t="s">
        <v>5990</v>
      </c>
      <c r="H533" s="2" t="s">
        <v>5991</v>
      </c>
      <c r="I533" s="2" t="s">
        <v>5992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5993</v>
      </c>
      <c r="O533" s="2" t="s">
        <v>29</v>
      </c>
      <c r="P533" s="2" t="s">
        <v>5994</v>
      </c>
      <c r="Q533" s="2" t="s">
        <v>5995</v>
      </c>
      <c r="R533" s="2" t="s">
        <v>502</v>
      </c>
      <c r="S533" s="2" t="s">
        <v>503</v>
      </c>
      <c r="T533" s="2" t="s">
        <v>1964</v>
      </c>
      <c r="U533" s="2" t="s">
        <v>29</v>
      </c>
      <c r="V533" s="2" t="n">
        <v>1</v>
      </c>
    </row>
    <row r="534">
      <c r="A534" s="2" t="n">
        <v>533</v>
      </c>
      <c r="B534" s="2" t="s">
        <v>5996</v>
      </c>
      <c r="C534" s="2" t="n">
        <v>476.132898089</v>
      </c>
      <c r="D534" s="2" t="n">
        <v>4.34826195938918</v>
      </c>
      <c r="E534" s="2" t="s">
        <v>5997</v>
      </c>
      <c r="F534" s="2" t="s">
        <v>522</v>
      </c>
      <c r="G534" s="2" t="s">
        <v>5998</v>
      </c>
      <c r="H534" s="2" t="s">
        <v>5999</v>
      </c>
      <c r="I534" s="2" t="s">
        <v>6000</v>
      </c>
      <c r="J534" s="2" t="s">
        <v>6001</v>
      </c>
      <c r="K534" s="2" t="s">
        <v>29</v>
      </c>
      <c r="L534" s="2" t="s">
        <v>29</v>
      </c>
      <c r="M534" s="2" t="s">
        <v>29</v>
      </c>
      <c r="N534" s="2" t="s">
        <v>6002</v>
      </c>
      <c r="O534" s="2" t="s">
        <v>6003</v>
      </c>
      <c r="P534" s="2" t="s">
        <v>6004</v>
      </c>
      <c r="Q534" s="2" t="s">
        <v>6005</v>
      </c>
      <c r="R534" s="2" t="s">
        <v>64</v>
      </c>
      <c r="S534" s="2" t="s">
        <v>65</v>
      </c>
      <c r="T534" s="2" t="s">
        <v>66</v>
      </c>
      <c r="U534" s="2" t="s">
        <v>29</v>
      </c>
      <c r="V534" s="2" t="n">
        <v>1</v>
      </c>
    </row>
    <row r="535">
      <c r="A535" s="2" t="n">
        <v>534</v>
      </c>
      <c r="B535" s="2" t="s">
        <v>6006</v>
      </c>
      <c r="C535" s="2" t="n">
        <v>476.278263279</v>
      </c>
      <c r="D535" s="2" t="n">
        <v>5.28929297053689</v>
      </c>
      <c r="E535" s="2" t="s">
        <v>6007</v>
      </c>
      <c r="F535" s="2" t="s">
        <v>110</v>
      </c>
      <c r="G535" s="2" t="s">
        <v>6008</v>
      </c>
      <c r="H535" s="2" t="s">
        <v>6009</v>
      </c>
      <c r="I535" s="2" t="s">
        <v>6010</v>
      </c>
      <c r="J535" s="2" t="s">
        <v>6011</v>
      </c>
      <c r="K535" s="2" t="s">
        <v>6012</v>
      </c>
      <c r="L535" s="2" t="s">
        <v>29</v>
      </c>
      <c r="M535" s="2" t="s">
        <v>6013</v>
      </c>
      <c r="N535" s="2" t="s">
        <v>6014</v>
      </c>
      <c r="O535" s="2" t="s">
        <v>29</v>
      </c>
      <c r="P535" s="2" t="s">
        <v>6015</v>
      </c>
      <c r="Q535" s="2" t="s">
        <v>6016</v>
      </c>
      <c r="R535" s="2" t="s">
        <v>1490</v>
      </c>
      <c r="S535" s="2" t="s">
        <v>4236</v>
      </c>
      <c r="T535" s="2" t="s">
        <v>5369</v>
      </c>
      <c r="U535" s="2" t="s">
        <v>29</v>
      </c>
      <c r="V535" s="2" t="n">
        <v>1</v>
      </c>
    </row>
    <row r="536">
      <c r="A536" s="2" t="n">
        <v>535</v>
      </c>
      <c r="B536" s="2" t="s">
        <v>6017</v>
      </c>
      <c r="C536" s="2" t="n">
        <v>477.030528842</v>
      </c>
      <c r="D536" s="2" t="n">
        <v>2.19506778210629</v>
      </c>
      <c r="E536" s="2" t="s">
        <v>6018</v>
      </c>
      <c r="F536" s="2" t="s">
        <v>42</v>
      </c>
      <c r="G536" s="2" t="s">
        <v>6019</v>
      </c>
      <c r="H536" s="2" t="s">
        <v>6020</v>
      </c>
      <c r="I536" s="2" t="s">
        <v>6021</v>
      </c>
      <c r="J536" s="2" t="s">
        <v>6022</v>
      </c>
      <c r="K536" s="2" t="s">
        <v>29</v>
      </c>
      <c r="L536" s="2" t="s">
        <v>29</v>
      </c>
      <c r="M536" s="2" t="s">
        <v>29</v>
      </c>
      <c r="N536" s="2" t="s">
        <v>6023</v>
      </c>
      <c r="O536" s="2" t="s">
        <v>29</v>
      </c>
      <c r="P536" s="2" t="s">
        <v>6024</v>
      </c>
      <c r="Q536" s="2" t="s">
        <v>6025</v>
      </c>
      <c r="R536" s="2" t="s">
        <v>49</v>
      </c>
      <c r="S536" s="2" t="s">
        <v>165</v>
      </c>
      <c r="T536" s="2" t="s">
        <v>2874</v>
      </c>
      <c r="U536" s="2" t="s">
        <v>29</v>
      </c>
      <c r="V536" s="2" t="n">
        <v>1</v>
      </c>
    </row>
    <row r="537">
      <c r="A537" s="2" t="n">
        <v>536</v>
      </c>
      <c r="B537" s="2" t="s">
        <v>6026</v>
      </c>
      <c r="C537" s="2" t="n">
        <v>477.267831903</v>
      </c>
      <c r="D537" s="2" t="n">
        <v>4.00537842523985</v>
      </c>
      <c r="E537" s="2" t="s">
        <v>6027</v>
      </c>
      <c r="F537" s="2" t="s">
        <v>24</v>
      </c>
      <c r="G537" s="2" t="s">
        <v>6028</v>
      </c>
      <c r="H537" s="2" t="s">
        <v>6029</v>
      </c>
      <c r="I537" s="2" t="s">
        <v>6030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6031</v>
      </c>
      <c r="O537" s="2" t="s">
        <v>29</v>
      </c>
      <c r="P537" s="2" t="s">
        <v>6032</v>
      </c>
      <c r="Q537" s="2" t="s">
        <v>6033</v>
      </c>
      <c r="R537" s="2" t="s">
        <v>64</v>
      </c>
      <c r="S537" s="2" t="s">
        <v>65</v>
      </c>
      <c r="T537" s="2" t="s">
        <v>66</v>
      </c>
      <c r="U537" s="2" t="s">
        <v>29</v>
      </c>
      <c r="V537" s="2" t="n">
        <v>1</v>
      </c>
    </row>
    <row r="538">
      <c r="A538" s="2" t="n">
        <v>537</v>
      </c>
      <c r="B538" s="2" t="s">
        <v>6034</v>
      </c>
      <c r="C538" s="2" t="n">
        <v>479.117246026</v>
      </c>
      <c r="D538" s="2" t="n">
        <v>0.76756313839744</v>
      </c>
      <c r="E538" s="2" t="s">
        <v>6035</v>
      </c>
      <c r="F538" s="2" t="s">
        <v>250</v>
      </c>
      <c r="G538" s="2" t="s">
        <v>6036</v>
      </c>
      <c r="H538" s="2" t="s">
        <v>6037</v>
      </c>
      <c r="I538" s="2" t="s">
        <v>6038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6039</v>
      </c>
      <c r="O538" s="2" t="s">
        <v>29</v>
      </c>
      <c r="P538" s="2" t="s">
        <v>6040</v>
      </c>
      <c r="Q538" s="2" t="s">
        <v>6041</v>
      </c>
      <c r="R538" s="2" t="s">
        <v>64</v>
      </c>
      <c r="S538" s="2" t="s">
        <v>65</v>
      </c>
      <c r="T538" s="2" t="s">
        <v>66</v>
      </c>
      <c r="U538" s="2" t="s">
        <v>29</v>
      </c>
      <c r="V538" s="2" t="n">
        <v>1</v>
      </c>
    </row>
    <row r="539">
      <c r="A539" s="2" t="n">
        <v>538</v>
      </c>
      <c r="B539" s="2" t="s">
        <v>6042</v>
      </c>
      <c r="C539" s="2" t="n">
        <v>480.03214179</v>
      </c>
      <c r="D539" s="2" t="n">
        <v>4.99176123568827</v>
      </c>
      <c r="E539" s="2" t="s">
        <v>6043</v>
      </c>
      <c r="F539" s="2" t="s">
        <v>110</v>
      </c>
      <c r="G539" s="2" t="s">
        <v>6044</v>
      </c>
      <c r="H539" s="2" t="s">
        <v>6045</v>
      </c>
      <c r="I539" s="2" t="s">
        <v>6046</v>
      </c>
      <c r="J539" s="2" t="s">
        <v>6047</v>
      </c>
      <c r="K539" s="2" t="s">
        <v>29</v>
      </c>
      <c r="L539" s="2" t="s">
        <v>6048</v>
      </c>
      <c r="M539" s="2" t="s">
        <v>29</v>
      </c>
      <c r="N539" s="2" t="s">
        <v>6049</v>
      </c>
      <c r="O539" s="2" t="s">
        <v>6050</v>
      </c>
      <c r="P539" s="2" t="s">
        <v>6051</v>
      </c>
      <c r="Q539" s="2" t="s">
        <v>6052</v>
      </c>
      <c r="R539" s="2" t="s">
        <v>502</v>
      </c>
      <c r="S539" s="2" t="s">
        <v>503</v>
      </c>
      <c r="T539" s="2" t="s">
        <v>6053</v>
      </c>
      <c r="U539" s="2" t="s">
        <v>39</v>
      </c>
      <c r="V539" s="2" t="n">
        <v>1</v>
      </c>
    </row>
    <row r="540">
      <c r="A540" s="2" t="n">
        <v>539</v>
      </c>
      <c r="B540" s="2" t="s">
        <v>6054</v>
      </c>
      <c r="C540" s="2" t="n">
        <v>480.307910117</v>
      </c>
      <c r="D540" s="2" t="n">
        <v>1.44156940493869</v>
      </c>
      <c r="E540" s="2" t="s">
        <v>6055</v>
      </c>
      <c r="F540" s="2" t="s">
        <v>110</v>
      </c>
      <c r="G540" s="2" t="s">
        <v>6056</v>
      </c>
      <c r="H540" s="2" t="s">
        <v>6057</v>
      </c>
      <c r="I540" s="2" t="s">
        <v>6058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6059</v>
      </c>
      <c r="O540" s="2" t="s">
        <v>29</v>
      </c>
      <c r="P540" s="2" t="s">
        <v>6060</v>
      </c>
      <c r="Q540" s="2" t="s">
        <v>6061</v>
      </c>
      <c r="R540" s="2" t="s">
        <v>2590</v>
      </c>
      <c r="S540" s="2" t="s">
        <v>2591</v>
      </c>
      <c r="T540" s="2" t="s">
        <v>205</v>
      </c>
      <c r="U540" s="2" t="s">
        <v>29</v>
      </c>
      <c r="V540" s="2" t="n">
        <v>1</v>
      </c>
    </row>
    <row r="541">
      <c r="A541" s="2" t="n">
        <v>540</v>
      </c>
      <c r="B541" s="2" t="s">
        <v>6062</v>
      </c>
      <c r="C541" s="2" t="n">
        <v>482.0681895</v>
      </c>
      <c r="D541" s="2" t="n">
        <v>5.38060251954588</v>
      </c>
      <c r="E541" s="2" t="s">
        <v>6063</v>
      </c>
      <c r="F541" s="2" t="s">
        <v>110</v>
      </c>
      <c r="G541" s="2" t="s">
        <v>6064</v>
      </c>
      <c r="H541" s="2" t="s">
        <v>6065</v>
      </c>
      <c r="I541" s="2" t="s">
        <v>6066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6067</v>
      </c>
      <c r="O541" s="2" t="s">
        <v>29</v>
      </c>
      <c r="P541" s="2" t="s">
        <v>6068</v>
      </c>
      <c r="Q541" s="2" t="s">
        <v>6069</v>
      </c>
      <c r="R541" s="2" t="s">
        <v>49</v>
      </c>
      <c r="S541" s="2" t="s">
        <v>165</v>
      </c>
      <c r="T541" s="2" t="s">
        <v>166</v>
      </c>
      <c r="U541" s="2" t="s">
        <v>29</v>
      </c>
      <c r="V541" s="2" t="n">
        <v>1</v>
      </c>
    </row>
    <row r="542">
      <c r="A542" s="2" t="n">
        <v>541</v>
      </c>
      <c r="B542" s="2" t="s">
        <v>6070</v>
      </c>
      <c r="C542" s="2" t="n">
        <v>483.272839242</v>
      </c>
      <c r="D542" s="2" t="n">
        <v>1.14053276640339</v>
      </c>
      <c r="E542" s="2" t="s">
        <v>6071</v>
      </c>
      <c r="F542" s="2" t="s">
        <v>24</v>
      </c>
      <c r="G542" s="2" t="s">
        <v>6072</v>
      </c>
      <c r="H542" s="2" t="s">
        <v>6073</v>
      </c>
      <c r="I542" s="2" t="s">
        <v>6074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6075</v>
      </c>
      <c r="O542" s="2" t="s">
        <v>29</v>
      </c>
      <c r="P542" s="2" t="s">
        <v>6076</v>
      </c>
      <c r="Q542" s="2" t="s">
        <v>6077</v>
      </c>
      <c r="R542" s="2" t="s">
        <v>1490</v>
      </c>
      <c r="S542" s="2" t="s">
        <v>4236</v>
      </c>
      <c r="T542" s="2" t="s">
        <v>5175</v>
      </c>
      <c r="U542" s="2" t="s">
        <v>29</v>
      </c>
      <c r="V542" s="2" t="n">
        <v>1</v>
      </c>
    </row>
    <row r="543">
      <c r="A543" s="2" t="n">
        <v>542</v>
      </c>
      <c r="B543" s="2" t="s">
        <v>6078</v>
      </c>
      <c r="C543" s="2" t="n">
        <v>484.0767646</v>
      </c>
      <c r="D543" s="2" t="n">
        <v>3.30623213476312</v>
      </c>
      <c r="E543" s="2" t="s">
        <v>6079</v>
      </c>
      <c r="F543" s="2" t="s">
        <v>42</v>
      </c>
      <c r="G543" s="2" t="s">
        <v>6080</v>
      </c>
      <c r="H543" s="2" t="s">
        <v>6081</v>
      </c>
      <c r="I543" s="2" t="s">
        <v>6082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6083</v>
      </c>
      <c r="O543" s="2" t="s">
        <v>29</v>
      </c>
      <c r="P543" s="2" t="s">
        <v>6084</v>
      </c>
      <c r="Q543" s="2" t="s">
        <v>6085</v>
      </c>
      <c r="R543" s="2" t="s">
        <v>355</v>
      </c>
      <c r="S543" s="2" t="s">
        <v>2424</v>
      </c>
      <c r="T543" s="2" t="s">
        <v>4246</v>
      </c>
      <c r="U543" s="2" t="s">
        <v>29</v>
      </c>
      <c r="V543" s="2" t="n">
        <v>1</v>
      </c>
    </row>
    <row r="544">
      <c r="A544" s="2" t="n">
        <v>543</v>
      </c>
      <c r="B544" s="2" t="s">
        <v>6086</v>
      </c>
      <c r="C544" s="2" t="n">
        <v>485.229321138</v>
      </c>
      <c r="D544" s="2" t="n">
        <v>2.0024034420159</v>
      </c>
      <c r="E544" s="2" t="s">
        <v>6087</v>
      </c>
      <c r="F544" s="2" t="s">
        <v>24</v>
      </c>
      <c r="G544" s="2" t="s">
        <v>6088</v>
      </c>
      <c r="H544" s="2" t="s">
        <v>6089</v>
      </c>
      <c r="I544" s="2" t="s">
        <v>6090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6091</v>
      </c>
      <c r="O544" s="2" t="s">
        <v>29</v>
      </c>
      <c r="P544" s="2" t="s">
        <v>6092</v>
      </c>
      <c r="Q544" s="2" t="s">
        <v>6093</v>
      </c>
      <c r="R544" s="2" t="s">
        <v>2509</v>
      </c>
      <c r="S544" s="2" t="s">
        <v>6094</v>
      </c>
      <c r="T544" s="2" t="s">
        <v>205</v>
      </c>
      <c r="U544" s="2" t="s">
        <v>29</v>
      </c>
      <c r="V544" s="2" t="n">
        <v>1</v>
      </c>
    </row>
    <row r="545">
      <c r="A545" s="2" t="n">
        <v>544</v>
      </c>
      <c r="B545" s="2" t="s">
        <v>6095</v>
      </c>
      <c r="C545" s="2" t="n">
        <v>486.067010677</v>
      </c>
      <c r="D545" s="2" t="n">
        <v>4.16022244574094</v>
      </c>
      <c r="E545" s="2" t="s">
        <v>6096</v>
      </c>
      <c r="F545" s="2" t="s">
        <v>42</v>
      </c>
      <c r="G545" s="2" t="s">
        <v>6097</v>
      </c>
      <c r="H545" s="2" t="s">
        <v>6098</v>
      </c>
      <c r="I545" s="2" t="s">
        <v>6099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6100</v>
      </c>
      <c r="O545" s="2" t="s">
        <v>29</v>
      </c>
      <c r="P545" s="2" t="s">
        <v>6101</v>
      </c>
      <c r="Q545" s="2" t="s">
        <v>6102</v>
      </c>
      <c r="R545" s="2" t="s">
        <v>502</v>
      </c>
      <c r="S545" s="2" t="s">
        <v>503</v>
      </c>
      <c r="T545" s="2" t="s">
        <v>6053</v>
      </c>
      <c r="U545" s="2" t="s">
        <v>29</v>
      </c>
      <c r="V545" s="2" t="n">
        <v>1</v>
      </c>
    </row>
    <row r="546">
      <c r="A546" s="2" t="n">
        <v>545</v>
      </c>
      <c r="B546" s="2" t="s">
        <v>6103</v>
      </c>
      <c r="C546" s="2" t="n">
        <v>487.18209618</v>
      </c>
      <c r="D546" s="2" t="n">
        <v>5.58180471744184</v>
      </c>
      <c r="E546" s="2" t="s">
        <v>6104</v>
      </c>
      <c r="F546" s="2" t="s">
        <v>24</v>
      </c>
      <c r="G546" s="2" t="s">
        <v>6105</v>
      </c>
      <c r="H546" s="2" t="s">
        <v>6106</v>
      </c>
      <c r="I546" s="2" t="s">
        <v>6107</v>
      </c>
      <c r="J546" s="2" t="s">
        <v>29</v>
      </c>
      <c r="K546" s="2" t="s">
        <v>29</v>
      </c>
      <c r="L546" s="2" t="s">
        <v>6108</v>
      </c>
      <c r="M546" s="2" t="s">
        <v>29</v>
      </c>
      <c r="N546" s="2" t="s">
        <v>6109</v>
      </c>
      <c r="O546" s="2" t="s">
        <v>29</v>
      </c>
      <c r="P546" s="2" t="s">
        <v>6110</v>
      </c>
      <c r="Q546" s="2" t="s">
        <v>6111</v>
      </c>
      <c r="R546" s="2" t="s">
        <v>64</v>
      </c>
      <c r="S546" s="2" t="s">
        <v>65</v>
      </c>
      <c r="T546" s="2" t="s">
        <v>66</v>
      </c>
      <c r="U546" s="2" t="s">
        <v>39</v>
      </c>
      <c r="V546" s="2" t="n">
        <v>1</v>
      </c>
    </row>
    <row r="547">
      <c r="A547" s="2" t="n">
        <v>546</v>
      </c>
      <c r="B547" s="2" t="s">
        <v>6112</v>
      </c>
      <c r="C547" s="2" t="n">
        <v>488.166417583</v>
      </c>
      <c r="D547" s="2" t="n">
        <v>1.04182505773728</v>
      </c>
      <c r="E547" s="2" t="s">
        <v>6113</v>
      </c>
      <c r="F547" s="2" t="s">
        <v>24</v>
      </c>
      <c r="G547" s="2" t="s">
        <v>6114</v>
      </c>
      <c r="H547" s="2" t="s">
        <v>6115</v>
      </c>
      <c r="I547" s="2" t="s">
        <v>6116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6117</v>
      </c>
      <c r="O547" s="2" t="s">
        <v>29</v>
      </c>
      <c r="P547" s="2" t="s">
        <v>6118</v>
      </c>
      <c r="Q547" s="2" t="s">
        <v>6119</v>
      </c>
      <c r="R547" s="2" t="s">
        <v>2590</v>
      </c>
      <c r="S547" s="2" t="s">
        <v>6120</v>
      </c>
      <c r="T547" s="2" t="s">
        <v>6121</v>
      </c>
      <c r="U547" s="2" t="s">
        <v>29</v>
      </c>
      <c r="V547" s="2" t="n">
        <v>1</v>
      </c>
    </row>
    <row r="548">
      <c r="A548" s="2" t="n">
        <v>547</v>
      </c>
      <c r="B548" s="2" t="s">
        <v>6122</v>
      </c>
      <c r="C548" s="2" t="n">
        <v>489.169831158</v>
      </c>
      <c r="D548" s="2" t="n">
        <v>5.42620264247642</v>
      </c>
      <c r="E548" s="2" t="s">
        <v>6123</v>
      </c>
      <c r="F548" s="2" t="s">
        <v>250</v>
      </c>
      <c r="G548" s="2" t="s">
        <v>6124</v>
      </c>
      <c r="H548" s="2" t="s">
        <v>6125</v>
      </c>
      <c r="I548" s="2" t="s">
        <v>6126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6127</v>
      </c>
      <c r="O548" s="2" t="s">
        <v>29</v>
      </c>
      <c r="P548" s="2" t="s">
        <v>6128</v>
      </c>
      <c r="Q548" s="2" t="s">
        <v>6129</v>
      </c>
      <c r="R548" s="2" t="s">
        <v>355</v>
      </c>
      <c r="S548" s="2" t="s">
        <v>2424</v>
      </c>
      <c r="T548" s="2" t="s">
        <v>6130</v>
      </c>
      <c r="U548" s="2" t="s">
        <v>29</v>
      </c>
      <c r="V548" s="2" t="n">
        <v>1</v>
      </c>
    </row>
    <row r="549">
      <c r="A549" s="2" t="n">
        <v>548</v>
      </c>
      <c r="B549" s="2" t="s">
        <v>6131</v>
      </c>
      <c r="C549" s="2" t="n">
        <v>490.016624442</v>
      </c>
      <c r="D549" s="2" t="n">
        <v>0.944174275869575</v>
      </c>
      <c r="E549" s="2" t="s">
        <v>6132</v>
      </c>
      <c r="F549" s="2" t="s">
        <v>250</v>
      </c>
      <c r="G549" s="2" t="s">
        <v>6133</v>
      </c>
      <c r="H549" s="2" t="s">
        <v>6134</v>
      </c>
      <c r="I549" s="2" t="s">
        <v>6135</v>
      </c>
      <c r="J549" s="2" t="s">
        <v>29</v>
      </c>
      <c r="K549" s="2" t="s">
        <v>29</v>
      </c>
      <c r="L549" s="2" t="s">
        <v>29</v>
      </c>
      <c r="M549" s="2" t="s">
        <v>6136</v>
      </c>
      <c r="N549" s="2" t="s">
        <v>6137</v>
      </c>
      <c r="O549" s="2" t="s">
        <v>29</v>
      </c>
      <c r="P549" s="2" t="s">
        <v>6138</v>
      </c>
      <c r="Q549" s="2" t="s">
        <v>6139</v>
      </c>
      <c r="R549" s="2" t="s">
        <v>502</v>
      </c>
      <c r="S549" s="2" t="s">
        <v>503</v>
      </c>
      <c r="T549" s="2" t="s">
        <v>5144</v>
      </c>
      <c r="U549" s="2" t="s">
        <v>29</v>
      </c>
      <c r="V549" s="2" t="n">
        <v>1</v>
      </c>
    </row>
    <row r="550">
      <c r="A550" s="2" t="n">
        <v>549</v>
      </c>
      <c r="B550" s="2" t="s">
        <v>6140</v>
      </c>
      <c r="C550" s="2" t="n">
        <v>490.112101073</v>
      </c>
      <c r="D550" s="2" t="n">
        <v>1.51920992818972</v>
      </c>
      <c r="E550" s="2" t="s">
        <v>6141</v>
      </c>
      <c r="F550" s="2" t="s">
        <v>250</v>
      </c>
      <c r="G550" s="2" t="s">
        <v>6142</v>
      </c>
      <c r="H550" s="2" t="s">
        <v>6143</v>
      </c>
      <c r="I550" s="2" t="s">
        <v>6144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6145</v>
      </c>
      <c r="O550" s="2" t="s">
        <v>6146</v>
      </c>
      <c r="P550" s="2" t="s">
        <v>6147</v>
      </c>
      <c r="Q550" s="2" t="s">
        <v>6148</v>
      </c>
      <c r="R550" s="2" t="s">
        <v>64</v>
      </c>
      <c r="S550" s="2" t="s">
        <v>65</v>
      </c>
      <c r="T550" s="2" t="s">
        <v>66</v>
      </c>
      <c r="U550" s="2" t="s">
        <v>29</v>
      </c>
      <c r="V550" s="2" t="n">
        <v>1</v>
      </c>
    </row>
    <row r="551">
      <c r="A551" s="2" t="n">
        <v>550</v>
      </c>
      <c r="B551" s="2" t="s">
        <v>6149</v>
      </c>
      <c r="C551" s="2" t="n">
        <v>492.033085769</v>
      </c>
      <c r="D551" s="2" t="n">
        <v>8.43148982320339</v>
      </c>
      <c r="E551" s="2" t="s">
        <v>6150</v>
      </c>
      <c r="F551" s="2" t="s">
        <v>42</v>
      </c>
      <c r="G551" s="2" t="s">
        <v>6151</v>
      </c>
      <c r="H551" s="2" t="s">
        <v>6152</v>
      </c>
      <c r="I551" s="2" t="s">
        <v>6153</v>
      </c>
      <c r="J551" s="2" t="s">
        <v>6154</v>
      </c>
      <c r="K551" s="2" t="s">
        <v>29</v>
      </c>
      <c r="L551" s="2" t="s">
        <v>29</v>
      </c>
      <c r="M551" s="2" t="s">
        <v>6155</v>
      </c>
      <c r="N551" s="2" t="s">
        <v>6156</v>
      </c>
      <c r="O551" s="2" t="s">
        <v>6157</v>
      </c>
      <c r="P551" s="2" t="s">
        <v>6158</v>
      </c>
      <c r="Q551" s="2" t="s">
        <v>6159</v>
      </c>
      <c r="R551" s="2" t="s">
        <v>355</v>
      </c>
      <c r="S551" s="2" t="s">
        <v>4796</v>
      </c>
      <c r="T551" s="2" t="s">
        <v>4797</v>
      </c>
      <c r="U551" s="2" t="s">
        <v>29</v>
      </c>
      <c r="V551" s="2" t="n">
        <v>1</v>
      </c>
    </row>
    <row r="552">
      <c r="A552" s="2" t="n">
        <v>551</v>
      </c>
      <c r="B552" s="2" t="s">
        <v>6160</v>
      </c>
      <c r="C552" s="2" t="n">
        <v>492.136543418</v>
      </c>
      <c r="D552" s="2" t="n">
        <v>1.19112021627835</v>
      </c>
      <c r="E552" s="2" t="s">
        <v>6161</v>
      </c>
      <c r="F552" s="2" t="s">
        <v>110</v>
      </c>
      <c r="G552" s="2" t="s">
        <v>6162</v>
      </c>
      <c r="H552" s="2" t="s">
        <v>6163</v>
      </c>
      <c r="I552" s="2" t="s">
        <v>6164</v>
      </c>
      <c r="J552" s="2" t="s">
        <v>6165</v>
      </c>
      <c r="K552" s="2" t="s">
        <v>29</v>
      </c>
      <c r="L552" s="2" t="s">
        <v>6166</v>
      </c>
      <c r="M552" s="2" t="s">
        <v>6167</v>
      </c>
      <c r="N552" s="2" t="s">
        <v>6168</v>
      </c>
      <c r="O552" s="2" t="s">
        <v>6169</v>
      </c>
      <c r="P552" s="2" t="s">
        <v>6170</v>
      </c>
      <c r="Q552" s="2" t="s">
        <v>6171</v>
      </c>
      <c r="R552" s="2" t="s">
        <v>502</v>
      </c>
      <c r="S552" s="2" t="s">
        <v>503</v>
      </c>
      <c r="T552" s="2" t="s">
        <v>1964</v>
      </c>
      <c r="U552" s="2" t="s">
        <v>39</v>
      </c>
      <c r="V552" s="2" t="n">
        <v>1</v>
      </c>
    </row>
    <row r="553">
      <c r="A553" s="2" t="n">
        <v>552</v>
      </c>
      <c r="B553" s="2" t="s">
        <v>6172</v>
      </c>
      <c r="C553" s="2" t="n">
        <v>494.037933823</v>
      </c>
      <c r="D553" s="2" t="n">
        <v>4.56461444406083</v>
      </c>
      <c r="E553" s="2" t="s">
        <v>6173</v>
      </c>
      <c r="F553" s="2" t="s">
        <v>360</v>
      </c>
      <c r="G553" s="2" t="s">
        <v>6174</v>
      </c>
      <c r="H553" s="2" t="s">
        <v>6175</v>
      </c>
      <c r="I553" s="2" t="s">
        <v>6176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6177</v>
      </c>
      <c r="O553" s="2" t="s">
        <v>29</v>
      </c>
      <c r="P553" s="2" t="s">
        <v>6178</v>
      </c>
      <c r="Q553" s="2" t="s">
        <v>6179</v>
      </c>
      <c r="R553" s="2" t="s">
        <v>502</v>
      </c>
      <c r="S553" s="2" t="s">
        <v>503</v>
      </c>
      <c r="T553" s="2" t="s">
        <v>2174</v>
      </c>
      <c r="U553" s="2" t="s">
        <v>29</v>
      </c>
      <c r="V553" s="2" t="n">
        <v>1</v>
      </c>
    </row>
    <row r="554">
      <c r="A554" s="2" t="n">
        <v>553</v>
      </c>
      <c r="B554" s="2" t="s">
        <v>6180</v>
      </c>
      <c r="C554" s="2" t="n">
        <v>495.202442</v>
      </c>
      <c r="D554" s="2" t="n">
        <v>9.53176593114356</v>
      </c>
      <c r="E554" s="2" t="s">
        <v>6181</v>
      </c>
      <c r="F554" s="2" t="s">
        <v>110</v>
      </c>
      <c r="G554" s="2" t="s">
        <v>6182</v>
      </c>
      <c r="H554" s="2" t="s">
        <v>6183</v>
      </c>
      <c r="I554" s="2" t="s">
        <v>6184</v>
      </c>
      <c r="J554" s="2" t="s">
        <v>6185</v>
      </c>
      <c r="K554" s="2" t="s">
        <v>29</v>
      </c>
      <c r="L554" s="2" t="s">
        <v>29</v>
      </c>
      <c r="M554" s="2" t="s">
        <v>29</v>
      </c>
      <c r="N554" s="2" t="s">
        <v>6186</v>
      </c>
      <c r="O554" s="2" t="s">
        <v>6187</v>
      </c>
      <c r="P554" s="2" t="s">
        <v>6188</v>
      </c>
      <c r="Q554" s="2" t="s">
        <v>6189</v>
      </c>
      <c r="R554" s="2" t="s">
        <v>355</v>
      </c>
      <c r="S554" s="2" t="s">
        <v>6190</v>
      </c>
      <c r="T554" s="2" t="s">
        <v>205</v>
      </c>
      <c r="U554" s="2" t="s">
        <v>29</v>
      </c>
      <c r="V554" s="2" t="n">
        <v>1</v>
      </c>
    </row>
    <row r="555">
      <c r="A555" s="2" t="n">
        <v>554</v>
      </c>
      <c r="B555" s="2" t="s">
        <v>6191</v>
      </c>
      <c r="C555" s="2" t="n">
        <v>497.101758452</v>
      </c>
      <c r="D555" s="2" t="n">
        <v>1.79396050658294</v>
      </c>
      <c r="E555" s="2" t="s">
        <v>6192</v>
      </c>
      <c r="F555" s="2" t="s">
        <v>110</v>
      </c>
      <c r="G555" s="2" t="s">
        <v>6193</v>
      </c>
      <c r="H555" s="2" t="s">
        <v>6194</v>
      </c>
      <c r="I555" s="2" t="s">
        <v>6195</v>
      </c>
      <c r="J555" s="2" t="s">
        <v>6196</v>
      </c>
      <c r="K555" s="2" t="s">
        <v>29</v>
      </c>
      <c r="L555" s="2" t="s">
        <v>29</v>
      </c>
      <c r="M555" s="2" t="s">
        <v>6197</v>
      </c>
      <c r="N555" s="2" t="s">
        <v>6198</v>
      </c>
      <c r="O555" s="2" t="s">
        <v>6199</v>
      </c>
      <c r="P555" s="2" t="s">
        <v>6200</v>
      </c>
      <c r="Q555" s="2" t="s">
        <v>6201</v>
      </c>
      <c r="R555" s="2" t="s">
        <v>49</v>
      </c>
      <c r="S555" s="2" t="s">
        <v>165</v>
      </c>
      <c r="T555" s="2" t="s">
        <v>166</v>
      </c>
      <c r="U555" s="2" t="s">
        <v>29</v>
      </c>
      <c r="V555" s="2" t="n">
        <v>1</v>
      </c>
    </row>
    <row r="556">
      <c r="A556" s="2" t="n">
        <v>555</v>
      </c>
      <c r="B556" s="2" t="s">
        <v>6202</v>
      </c>
      <c r="C556" s="2" t="n">
        <v>499.10126361</v>
      </c>
      <c r="D556" s="2" t="n">
        <v>1.56308154389715</v>
      </c>
      <c r="E556" s="2" t="s">
        <v>6203</v>
      </c>
      <c r="F556" s="2" t="s">
        <v>522</v>
      </c>
      <c r="G556" s="2" t="s">
        <v>6204</v>
      </c>
      <c r="H556" s="2" t="s">
        <v>6205</v>
      </c>
      <c r="I556" s="2" t="s">
        <v>6206</v>
      </c>
      <c r="J556" s="2" t="s">
        <v>6207</v>
      </c>
      <c r="K556" s="2" t="s">
        <v>6208</v>
      </c>
      <c r="L556" s="2" t="s">
        <v>226</v>
      </c>
      <c r="M556" s="2" t="s">
        <v>226</v>
      </c>
      <c r="N556" s="2" t="s">
        <v>6209</v>
      </c>
      <c r="O556" s="2" t="s">
        <v>6210</v>
      </c>
      <c r="P556" s="2" t="s">
        <v>6211</v>
      </c>
      <c r="Q556" s="2" t="s">
        <v>6212</v>
      </c>
      <c r="R556" s="2" t="s">
        <v>6213</v>
      </c>
      <c r="S556" s="2" t="s">
        <v>6214</v>
      </c>
      <c r="T556" s="2" t="s">
        <v>6215</v>
      </c>
      <c r="U556" s="2" t="s">
        <v>29</v>
      </c>
      <c r="V556" s="2" t="n">
        <v>3</v>
      </c>
    </row>
    <row r="557">
      <c r="A557" s="2" t="n">
        <v>556</v>
      </c>
      <c r="B557" s="2" t="s">
        <v>6216</v>
      </c>
      <c r="C557" s="2" t="n">
        <v>500.067276136</v>
      </c>
      <c r="D557" s="2" t="n">
        <v>9.9312707924771</v>
      </c>
      <c r="E557" s="2" t="s">
        <v>6217</v>
      </c>
      <c r="F557" s="2" t="s">
        <v>250</v>
      </c>
      <c r="G557" s="2" t="s">
        <v>6218</v>
      </c>
      <c r="H557" s="2" t="s">
        <v>6219</v>
      </c>
      <c r="I557" s="2" t="s">
        <v>6220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6221</v>
      </c>
      <c r="Q557" s="2" t="s">
        <v>6222</v>
      </c>
      <c r="R557" s="2" t="s">
        <v>49</v>
      </c>
      <c r="S557" s="2" t="s">
        <v>165</v>
      </c>
      <c r="T557" s="2" t="s">
        <v>6223</v>
      </c>
      <c r="U557" s="2" t="s">
        <v>29</v>
      </c>
      <c r="V557" s="2" t="n">
        <v>1</v>
      </c>
    </row>
    <row r="558">
      <c r="A558" s="2" t="n">
        <v>557</v>
      </c>
      <c r="B558" s="2" t="s">
        <v>6224</v>
      </c>
      <c r="C558" s="2" t="n">
        <v>502.155051112</v>
      </c>
      <c r="D558" s="2" t="n">
        <v>2.15267008857515</v>
      </c>
      <c r="E558" s="2" t="s">
        <v>6225</v>
      </c>
      <c r="F558" s="2" t="s">
        <v>522</v>
      </c>
      <c r="G558" s="2" t="s">
        <v>6226</v>
      </c>
      <c r="H558" s="2" t="s">
        <v>6227</v>
      </c>
      <c r="I558" s="2" t="s">
        <v>6228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6229</v>
      </c>
      <c r="O558" s="2" t="s">
        <v>29</v>
      </c>
      <c r="P558" s="2" t="s">
        <v>6230</v>
      </c>
      <c r="Q558" s="2" t="s">
        <v>6231</v>
      </c>
      <c r="R558" s="2" t="s">
        <v>64</v>
      </c>
      <c r="S558" s="2" t="s">
        <v>65</v>
      </c>
      <c r="T558" s="2" t="s">
        <v>91</v>
      </c>
      <c r="U558" s="2" t="s">
        <v>29</v>
      </c>
      <c r="V558" s="2" t="n">
        <v>1</v>
      </c>
    </row>
    <row r="559">
      <c r="A559" s="2" t="n">
        <v>558</v>
      </c>
      <c r="B559" s="2" t="s">
        <v>6232</v>
      </c>
      <c r="C559" s="2" t="n">
        <v>503.170286638</v>
      </c>
      <c r="D559" s="2" t="n">
        <v>0.641497974160446</v>
      </c>
      <c r="E559" s="2" t="s">
        <v>6233</v>
      </c>
      <c r="F559" s="2" t="s">
        <v>522</v>
      </c>
      <c r="G559" s="2" t="s">
        <v>6234</v>
      </c>
      <c r="H559" s="2" t="s">
        <v>6235</v>
      </c>
      <c r="I559" s="2" t="s">
        <v>6236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6237</v>
      </c>
      <c r="O559" s="2" t="s">
        <v>29</v>
      </c>
      <c r="P559" s="2" t="s">
        <v>6238</v>
      </c>
      <c r="Q559" s="2" t="s">
        <v>6239</v>
      </c>
      <c r="R559" s="2" t="s">
        <v>502</v>
      </c>
      <c r="S559" s="2" t="s">
        <v>503</v>
      </c>
      <c r="T559" s="2" t="s">
        <v>2174</v>
      </c>
      <c r="U559" s="2" t="s">
        <v>29</v>
      </c>
      <c r="V559" s="2" t="n">
        <v>1</v>
      </c>
    </row>
    <row r="560">
      <c r="A560" s="2" t="n">
        <v>559</v>
      </c>
      <c r="B560" s="2" t="s">
        <v>6240</v>
      </c>
      <c r="C560" s="2" t="n">
        <v>504.1374829</v>
      </c>
      <c r="D560" s="2" t="n">
        <v>1.19320177973888</v>
      </c>
      <c r="E560" s="2" t="s">
        <v>6241</v>
      </c>
      <c r="F560" s="2" t="s">
        <v>522</v>
      </c>
      <c r="G560" s="2" t="s">
        <v>6242</v>
      </c>
      <c r="H560" s="2" t="s">
        <v>6243</v>
      </c>
      <c r="I560" s="2" t="s">
        <v>6244</v>
      </c>
      <c r="J560" s="2" t="s">
        <v>29</v>
      </c>
      <c r="K560" s="2" t="s">
        <v>29</v>
      </c>
      <c r="L560" s="2" t="s">
        <v>29</v>
      </c>
      <c r="M560" s="2" t="s">
        <v>6245</v>
      </c>
      <c r="N560" s="2" t="s">
        <v>6246</v>
      </c>
      <c r="O560" s="2" t="s">
        <v>29</v>
      </c>
      <c r="P560" s="2" t="s">
        <v>6247</v>
      </c>
      <c r="Q560" s="2" t="s">
        <v>6248</v>
      </c>
      <c r="R560" s="2" t="s">
        <v>355</v>
      </c>
      <c r="S560" s="2" t="s">
        <v>3533</v>
      </c>
      <c r="T560" s="2" t="s">
        <v>3534</v>
      </c>
      <c r="U560" s="2" t="s">
        <v>29</v>
      </c>
      <c r="V560" s="2" t="n">
        <v>1</v>
      </c>
    </row>
    <row r="561">
      <c r="A561" s="2" t="n">
        <v>560</v>
      </c>
      <c r="B561" s="2" t="s">
        <v>6249</v>
      </c>
      <c r="C561" s="2" t="n">
        <v>504.309563407</v>
      </c>
      <c r="D561" s="2" t="n">
        <v>1.17794955284225</v>
      </c>
      <c r="E561" s="2" t="s">
        <v>6250</v>
      </c>
      <c r="F561" s="2" t="s">
        <v>110</v>
      </c>
      <c r="G561" s="2" t="s">
        <v>6251</v>
      </c>
      <c r="H561" s="2" t="s">
        <v>6252</v>
      </c>
      <c r="I561" s="2" t="s">
        <v>6253</v>
      </c>
      <c r="J561" s="2" t="s">
        <v>6254</v>
      </c>
      <c r="K561" s="2" t="s">
        <v>6255</v>
      </c>
      <c r="L561" s="2" t="s">
        <v>72</v>
      </c>
      <c r="M561" s="2" t="s">
        <v>6256</v>
      </c>
      <c r="N561" s="2" t="s">
        <v>6257</v>
      </c>
      <c r="O561" s="2" t="s">
        <v>72</v>
      </c>
      <c r="P561" s="2" t="s">
        <v>6258</v>
      </c>
      <c r="Q561" s="2" t="s">
        <v>6259</v>
      </c>
      <c r="R561" s="2" t="s">
        <v>575</v>
      </c>
      <c r="S561" s="2" t="s">
        <v>6260</v>
      </c>
      <c r="T561" s="2" t="s">
        <v>6261</v>
      </c>
      <c r="U561" s="2" t="s">
        <v>29</v>
      </c>
      <c r="V561" s="2" t="n">
        <v>2</v>
      </c>
    </row>
    <row r="562">
      <c r="A562" s="2" t="n">
        <v>561</v>
      </c>
      <c r="B562" s="2" t="s">
        <v>6262</v>
      </c>
      <c r="C562" s="2" t="n">
        <v>505.135632476</v>
      </c>
      <c r="D562" s="2" t="n">
        <v>2.56509594786799</v>
      </c>
      <c r="E562" s="2" t="s">
        <v>6263</v>
      </c>
      <c r="F562" s="2" t="s">
        <v>522</v>
      </c>
      <c r="G562" s="2" t="s">
        <v>6264</v>
      </c>
      <c r="H562" s="2" t="s">
        <v>6265</v>
      </c>
      <c r="I562" s="2" t="s">
        <v>6266</v>
      </c>
      <c r="J562" s="2" t="s">
        <v>6267</v>
      </c>
      <c r="K562" s="2" t="s">
        <v>29</v>
      </c>
      <c r="L562" s="2" t="s">
        <v>29</v>
      </c>
      <c r="M562" s="2" t="s">
        <v>29</v>
      </c>
      <c r="N562" s="2" t="s">
        <v>6268</v>
      </c>
      <c r="O562" s="2" t="s">
        <v>6269</v>
      </c>
      <c r="P562" s="2" t="s">
        <v>6270</v>
      </c>
      <c r="Q562" s="2" t="s">
        <v>6271</v>
      </c>
      <c r="R562" s="2" t="s">
        <v>355</v>
      </c>
      <c r="S562" s="2" t="s">
        <v>1477</v>
      </c>
      <c r="T562" s="2" t="s">
        <v>1478</v>
      </c>
      <c r="U562" s="2" t="s">
        <v>29</v>
      </c>
      <c r="V562" s="2" t="n">
        <v>1</v>
      </c>
    </row>
    <row r="563">
      <c r="A563" s="2" t="n">
        <v>562</v>
      </c>
      <c r="B563" s="2" t="s">
        <v>6272</v>
      </c>
      <c r="C563" s="2" t="n">
        <v>505.264523388</v>
      </c>
      <c r="D563" s="2" t="n">
        <v>6.01980367309291</v>
      </c>
      <c r="E563" s="2" t="s">
        <v>6273</v>
      </c>
      <c r="F563" s="2" t="s">
        <v>110</v>
      </c>
      <c r="G563" s="2" t="s">
        <v>6274</v>
      </c>
      <c r="H563" s="2" t="s">
        <v>6275</v>
      </c>
      <c r="I563" s="2" t="s">
        <v>6276</v>
      </c>
      <c r="J563" s="2" t="s">
        <v>6277</v>
      </c>
      <c r="K563" s="2" t="s">
        <v>29</v>
      </c>
      <c r="L563" s="2" t="s">
        <v>29</v>
      </c>
      <c r="M563" s="2" t="s">
        <v>29</v>
      </c>
      <c r="N563" s="2" t="s">
        <v>6278</v>
      </c>
      <c r="O563" s="2" t="s">
        <v>29</v>
      </c>
      <c r="P563" s="2" t="s">
        <v>6279</v>
      </c>
      <c r="Q563" s="2" t="s">
        <v>6280</v>
      </c>
      <c r="R563" s="2" t="s">
        <v>355</v>
      </c>
      <c r="S563" s="2" t="s">
        <v>1396</v>
      </c>
      <c r="T563" s="2" t="s">
        <v>205</v>
      </c>
      <c r="U563" s="2" t="s">
        <v>29</v>
      </c>
      <c r="V563" s="2" t="n">
        <v>1</v>
      </c>
    </row>
    <row r="564">
      <c r="A564" s="2" t="n">
        <v>563</v>
      </c>
      <c r="B564" s="2" t="s">
        <v>6281</v>
      </c>
      <c r="C564" s="2" t="n">
        <v>507.276550416</v>
      </c>
      <c r="D564" s="2" t="n">
        <v>5.42777158104112</v>
      </c>
      <c r="E564" s="2" t="s">
        <v>6282</v>
      </c>
      <c r="F564" s="2" t="s">
        <v>1019</v>
      </c>
      <c r="G564" s="2" t="s">
        <v>6283</v>
      </c>
      <c r="H564" s="2" t="s">
        <v>6284</v>
      </c>
      <c r="I564" s="2" t="s">
        <v>6285</v>
      </c>
      <c r="J564" s="2" t="s">
        <v>6286</v>
      </c>
      <c r="K564" s="2" t="s">
        <v>226</v>
      </c>
      <c r="L564" s="2" t="s">
        <v>226</v>
      </c>
      <c r="M564" s="2" t="s">
        <v>226</v>
      </c>
      <c r="N564" s="2" t="s">
        <v>6287</v>
      </c>
      <c r="O564" s="2" t="s">
        <v>6288</v>
      </c>
      <c r="P564" s="2" t="s">
        <v>6289</v>
      </c>
      <c r="Q564" s="2" t="s">
        <v>6290</v>
      </c>
      <c r="R564" s="2" t="s">
        <v>6291</v>
      </c>
      <c r="S564" s="2" t="s">
        <v>6292</v>
      </c>
      <c r="T564" s="2" t="s">
        <v>6293</v>
      </c>
      <c r="U564" s="2" t="s">
        <v>29</v>
      </c>
      <c r="V564" s="2" t="n">
        <v>3</v>
      </c>
    </row>
    <row r="565">
      <c r="A565" s="2" t="n">
        <v>564</v>
      </c>
      <c r="B565" s="2" t="s">
        <v>6294</v>
      </c>
      <c r="C565" s="2" t="n">
        <v>508.0175459</v>
      </c>
      <c r="D565" s="2" t="n">
        <v>5.0917422936876</v>
      </c>
      <c r="E565" s="2" t="s">
        <v>6295</v>
      </c>
      <c r="F565" s="2" t="s">
        <v>250</v>
      </c>
      <c r="G565" s="2" t="s">
        <v>6296</v>
      </c>
      <c r="H565" s="2" t="s">
        <v>6297</v>
      </c>
      <c r="I565" s="2" t="s">
        <v>6298</v>
      </c>
      <c r="J565" s="2" t="s">
        <v>6299</v>
      </c>
      <c r="K565" s="2" t="s">
        <v>29</v>
      </c>
      <c r="L565" s="2" t="s">
        <v>29</v>
      </c>
      <c r="M565" s="2" t="s">
        <v>29</v>
      </c>
      <c r="N565" s="2" t="s">
        <v>6300</v>
      </c>
      <c r="O565" s="2" t="s">
        <v>29</v>
      </c>
      <c r="P565" s="2" t="s">
        <v>6301</v>
      </c>
      <c r="Q565" s="2" t="s">
        <v>6302</v>
      </c>
      <c r="R565" s="2" t="s">
        <v>502</v>
      </c>
      <c r="S565" s="2" t="s">
        <v>503</v>
      </c>
      <c r="T565" s="2" t="s">
        <v>1964</v>
      </c>
      <c r="U565" s="2" t="s">
        <v>29</v>
      </c>
      <c r="V565" s="2" t="n">
        <v>1</v>
      </c>
    </row>
    <row r="566">
      <c r="A566" s="2" t="n">
        <v>565</v>
      </c>
      <c r="B566" s="2" t="s">
        <v>6303</v>
      </c>
      <c r="C566" s="2" t="n">
        <v>508.136556772</v>
      </c>
      <c r="D566" s="2" t="n">
        <v>8.52379557337595</v>
      </c>
      <c r="E566" s="2" t="s">
        <v>6304</v>
      </c>
      <c r="F566" s="2" t="s">
        <v>42</v>
      </c>
      <c r="G566" s="2" t="s">
        <v>6305</v>
      </c>
      <c r="H566" s="2" t="s">
        <v>6306</v>
      </c>
      <c r="I566" s="2" t="s">
        <v>6307</v>
      </c>
      <c r="J566" s="2" t="s">
        <v>6308</v>
      </c>
      <c r="K566" s="2" t="s">
        <v>72</v>
      </c>
      <c r="L566" s="2" t="s">
        <v>72</v>
      </c>
      <c r="M566" s="2" t="s">
        <v>6309</v>
      </c>
      <c r="N566" s="2" t="s">
        <v>6310</v>
      </c>
      <c r="O566" s="2" t="s">
        <v>6311</v>
      </c>
      <c r="P566" s="2" t="s">
        <v>6312</v>
      </c>
      <c r="Q566" s="2" t="s">
        <v>6313</v>
      </c>
      <c r="R566" s="2" t="s">
        <v>480</v>
      </c>
      <c r="S566" s="2" t="s">
        <v>6314</v>
      </c>
      <c r="T566" s="2" t="s">
        <v>247</v>
      </c>
      <c r="U566" s="2" t="s">
        <v>29</v>
      </c>
      <c r="V566" s="2" t="n">
        <v>2</v>
      </c>
    </row>
    <row r="567">
      <c r="A567" s="2" t="n">
        <v>566</v>
      </c>
      <c r="B567" s="2" t="s">
        <v>6315</v>
      </c>
      <c r="C567" s="2" t="n">
        <v>510.129757249</v>
      </c>
      <c r="D567" s="2" t="n">
        <v>2.57615044217917</v>
      </c>
      <c r="E567" s="2" t="s">
        <v>6316</v>
      </c>
      <c r="F567" s="2" t="s">
        <v>250</v>
      </c>
      <c r="G567" s="2" t="s">
        <v>6317</v>
      </c>
      <c r="H567" s="2" t="s">
        <v>6318</v>
      </c>
      <c r="I567" s="2" t="s">
        <v>6319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6320</v>
      </c>
      <c r="O567" s="2" t="s">
        <v>29</v>
      </c>
      <c r="P567" s="2" t="s">
        <v>6321</v>
      </c>
      <c r="Q567" s="2" t="s">
        <v>6322</v>
      </c>
      <c r="R567" s="2" t="s">
        <v>355</v>
      </c>
      <c r="S567" s="2" t="s">
        <v>1316</v>
      </c>
      <c r="T567" s="2" t="s">
        <v>6323</v>
      </c>
      <c r="U567" s="2" t="s">
        <v>29</v>
      </c>
      <c r="V567" s="2" t="n">
        <v>1</v>
      </c>
    </row>
    <row r="568">
      <c r="A568" s="2" t="n">
        <v>567</v>
      </c>
      <c r="B568" s="2" t="s">
        <v>6324</v>
      </c>
      <c r="C568" s="2" t="n">
        <v>512.0929408</v>
      </c>
      <c r="D568" s="2" t="n">
        <v>1.70429027369966</v>
      </c>
      <c r="E568" s="2" t="s">
        <v>6325</v>
      </c>
      <c r="F568" s="2" t="s">
        <v>360</v>
      </c>
      <c r="G568" s="2" t="s">
        <v>6326</v>
      </c>
      <c r="H568" s="2" t="s">
        <v>6327</v>
      </c>
      <c r="I568" s="2" t="s">
        <v>6328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6329</v>
      </c>
      <c r="O568" s="2" t="s">
        <v>29</v>
      </c>
      <c r="P568" s="2" t="s">
        <v>6330</v>
      </c>
      <c r="Q568" s="2" t="s">
        <v>6331</v>
      </c>
      <c r="R568" s="2" t="s">
        <v>355</v>
      </c>
      <c r="S568" s="2" t="s">
        <v>6332</v>
      </c>
      <c r="T568" s="2" t="s">
        <v>205</v>
      </c>
      <c r="U568" s="2" t="s">
        <v>29</v>
      </c>
      <c r="V568" s="2" t="n">
        <v>1</v>
      </c>
    </row>
    <row r="569">
      <c r="A569" s="2" t="n">
        <v>568</v>
      </c>
      <c r="B569" s="2" t="s">
        <v>6333</v>
      </c>
      <c r="C569" s="2" t="n">
        <v>513.003643012</v>
      </c>
      <c r="D569" s="2" t="n">
        <v>4.63367730199037</v>
      </c>
      <c r="E569" s="2" t="s">
        <v>6334</v>
      </c>
      <c r="F569" s="2" t="s">
        <v>110</v>
      </c>
      <c r="G569" s="2" t="s">
        <v>6335</v>
      </c>
      <c r="H569" s="2" t="s">
        <v>6336</v>
      </c>
      <c r="I569" s="2" t="s">
        <v>6337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6338</v>
      </c>
      <c r="O569" s="2" t="s">
        <v>29</v>
      </c>
      <c r="P569" s="2" t="s">
        <v>6339</v>
      </c>
      <c r="Q569" s="2" t="s">
        <v>6340</v>
      </c>
      <c r="R569" s="2" t="s">
        <v>355</v>
      </c>
      <c r="S569" s="2" t="s">
        <v>4124</v>
      </c>
      <c r="T569" s="2" t="s">
        <v>205</v>
      </c>
      <c r="U569" s="2" t="s">
        <v>29</v>
      </c>
      <c r="V569" s="2" t="n">
        <v>1</v>
      </c>
    </row>
    <row r="570">
      <c r="A570" s="2" t="n">
        <v>569</v>
      </c>
      <c r="B570" s="2" t="s">
        <v>6341</v>
      </c>
      <c r="C570" s="2" t="n">
        <v>513.249392192</v>
      </c>
      <c r="D570" s="2" t="n">
        <v>2.63292609114704</v>
      </c>
      <c r="E570" s="2" t="s">
        <v>6342</v>
      </c>
      <c r="F570" s="2" t="s">
        <v>110</v>
      </c>
      <c r="G570" s="2" t="s">
        <v>6343</v>
      </c>
      <c r="H570" s="2" t="s">
        <v>6344</v>
      </c>
      <c r="I570" s="2" t="s">
        <v>6345</v>
      </c>
      <c r="J570" s="2" t="s">
        <v>72</v>
      </c>
      <c r="K570" s="2" t="s">
        <v>72</v>
      </c>
      <c r="L570" s="2" t="s">
        <v>72</v>
      </c>
      <c r="M570" s="2" t="s">
        <v>72</v>
      </c>
      <c r="N570" s="2" t="s">
        <v>6346</v>
      </c>
      <c r="O570" s="2" t="s">
        <v>6347</v>
      </c>
      <c r="P570" s="2" t="s">
        <v>6348</v>
      </c>
      <c r="Q570" s="2" t="s">
        <v>6349</v>
      </c>
      <c r="R570" s="2" t="s">
        <v>575</v>
      </c>
      <c r="S570" s="2" t="s">
        <v>6350</v>
      </c>
      <c r="T570" s="2" t="s">
        <v>6351</v>
      </c>
      <c r="U570" s="2" t="s">
        <v>29</v>
      </c>
      <c r="V570" s="2" t="n">
        <v>2</v>
      </c>
    </row>
    <row r="571">
      <c r="A571" s="2" t="n">
        <v>570</v>
      </c>
      <c r="B571" s="2" t="s">
        <v>6352</v>
      </c>
      <c r="C571" s="2" t="n">
        <v>514.09574197</v>
      </c>
      <c r="D571" s="2" t="n">
        <v>1.28430156014142</v>
      </c>
      <c r="E571" s="2" t="s">
        <v>6353</v>
      </c>
      <c r="F571" s="2" t="s">
        <v>522</v>
      </c>
      <c r="G571" s="2" t="s">
        <v>6354</v>
      </c>
      <c r="H571" s="2" t="s">
        <v>6355</v>
      </c>
      <c r="I571" s="2" t="s">
        <v>6356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6357</v>
      </c>
      <c r="O571" s="2" t="s">
        <v>29</v>
      </c>
      <c r="P571" s="2" t="s">
        <v>6358</v>
      </c>
      <c r="Q571" s="2" t="s">
        <v>6359</v>
      </c>
      <c r="R571" s="2" t="s">
        <v>355</v>
      </c>
      <c r="S571" s="2" t="s">
        <v>3687</v>
      </c>
      <c r="T571" s="2" t="s">
        <v>3688</v>
      </c>
      <c r="U571" s="2" t="s">
        <v>29</v>
      </c>
      <c r="V571" s="2" t="n">
        <v>1</v>
      </c>
    </row>
    <row r="572">
      <c r="A572" s="2" t="n">
        <v>571</v>
      </c>
      <c r="B572" s="2" t="s">
        <v>6360</v>
      </c>
      <c r="C572" s="2" t="n">
        <v>514.255870239</v>
      </c>
      <c r="D572" s="2" t="n">
        <v>7.89068147350415</v>
      </c>
      <c r="E572" s="2" t="s">
        <v>6361</v>
      </c>
      <c r="F572" s="2" t="s">
        <v>24</v>
      </c>
      <c r="G572" s="2" t="s">
        <v>6362</v>
      </c>
      <c r="H572" s="2" t="s">
        <v>6363</v>
      </c>
      <c r="I572" s="2" t="s">
        <v>6364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6365</v>
      </c>
      <c r="O572" s="2" t="s">
        <v>29</v>
      </c>
      <c r="P572" s="2" t="s">
        <v>6366</v>
      </c>
      <c r="Q572" s="2" t="s">
        <v>6367</v>
      </c>
      <c r="R572" s="2" t="s">
        <v>355</v>
      </c>
      <c r="S572" s="2" t="s">
        <v>2424</v>
      </c>
      <c r="T572" s="2" t="s">
        <v>6368</v>
      </c>
      <c r="U572" s="2" t="s">
        <v>29</v>
      </c>
      <c r="V572" s="2" t="n">
        <v>1</v>
      </c>
    </row>
    <row r="573">
      <c r="A573" s="2" t="n">
        <v>572</v>
      </c>
      <c r="B573" s="2" t="s">
        <v>6369</v>
      </c>
      <c r="C573" s="2" t="n">
        <v>515.252701484</v>
      </c>
      <c r="D573" s="2" t="n">
        <v>0.0931044127596433</v>
      </c>
      <c r="E573" s="2" t="s">
        <v>6370</v>
      </c>
      <c r="F573" s="2" t="s">
        <v>110</v>
      </c>
      <c r="G573" s="2" t="s">
        <v>6371</v>
      </c>
      <c r="H573" s="2" t="s">
        <v>6372</v>
      </c>
      <c r="I573" s="2" t="s">
        <v>6373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6374</v>
      </c>
      <c r="O573" s="2" t="s">
        <v>29</v>
      </c>
      <c r="P573" s="2" t="s">
        <v>6375</v>
      </c>
      <c r="Q573" s="2" t="s">
        <v>6376</v>
      </c>
      <c r="R573" s="2" t="s">
        <v>502</v>
      </c>
      <c r="S573" s="2" t="s">
        <v>503</v>
      </c>
      <c r="T573" s="2" t="s">
        <v>1421</v>
      </c>
      <c r="U573" s="2" t="s">
        <v>29</v>
      </c>
      <c r="V573" s="2" t="n">
        <v>1</v>
      </c>
    </row>
    <row r="574">
      <c r="A574" s="2" t="n">
        <v>573</v>
      </c>
      <c r="B574" s="2" t="s">
        <v>6377</v>
      </c>
      <c r="C574" s="2" t="n">
        <v>516.20594387</v>
      </c>
      <c r="D574" s="2" t="n">
        <v>8.72120012544067</v>
      </c>
      <c r="E574" s="2" t="s">
        <v>6378</v>
      </c>
      <c r="F574" s="2" t="s">
        <v>522</v>
      </c>
      <c r="G574" s="2" t="s">
        <v>6379</v>
      </c>
      <c r="H574" s="2" t="s">
        <v>6380</v>
      </c>
      <c r="I574" s="2" t="s">
        <v>6381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6382</v>
      </c>
      <c r="Q574" s="2" t="s">
        <v>6383</v>
      </c>
      <c r="R574" s="2" t="s">
        <v>502</v>
      </c>
      <c r="S574" s="2" t="s">
        <v>503</v>
      </c>
      <c r="T574" s="2" t="s">
        <v>5166</v>
      </c>
      <c r="U574" s="2" t="s">
        <v>29</v>
      </c>
      <c r="V574" s="2" t="n">
        <v>1</v>
      </c>
    </row>
    <row r="575">
      <c r="A575" s="2" t="n">
        <v>574</v>
      </c>
      <c r="B575" s="2" t="s">
        <v>6384</v>
      </c>
      <c r="C575" s="2" t="n">
        <v>518.1635285</v>
      </c>
      <c r="D575" s="2" t="n">
        <v>0.278770994705309</v>
      </c>
      <c r="E575" s="2" t="s">
        <v>6385</v>
      </c>
      <c r="F575" s="2" t="s">
        <v>42</v>
      </c>
      <c r="G575" s="2" t="s">
        <v>6386</v>
      </c>
      <c r="H575" s="2" t="s">
        <v>6387</v>
      </c>
      <c r="I575" s="2" t="s">
        <v>6388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6389</v>
      </c>
      <c r="O575" s="2" t="s">
        <v>29</v>
      </c>
      <c r="P575" s="2" t="s">
        <v>6390</v>
      </c>
      <c r="Q575" s="2" t="s">
        <v>6391</v>
      </c>
      <c r="R575" s="2" t="s">
        <v>502</v>
      </c>
      <c r="S575" s="2" t="s">
        <v>503</v>
      </c>
      <c r="T575" s="2" t="s">
        <v>2651</v>
      </c>
      <c r="U575" s="2" t="s">
        <v>29</v>
      </c>
      <c r="V575" s="2" t="n">
        <v>1</v>
      </c>
    </row>
    <row r="576">
      <c r="A576" s="2" t="n">
        <v>575</v>
      </c>
      <c r="B576" s="2" t="s">
        <v>6392</v>
      </c>
      <c r="C576" s="2" t="n">
        <v>519.157990628</v>
      </c>
      <c r="D576" s="2" t="n">
        <v>0.588036248598907</v>
      </c>
      <c r="E576" s="2" t="s">
        <v>6393</v>
      </c>
      <c r="F576" s="2" t="s">
        <v>522</v>
      </c>
      <c r="G576" s="2" t="s">
        <v>6394</v>
      </c>
      <c r="H576" s="2" t="s">
        <v>6395</v>
      </c>
      <c r="I576" s="2" t="s">
        <v>6396</v>
      </c>
      <c r="J576" s="2" t="s">
        <v>6397</v>
      </c>
      <c r="K576" s="2" t="s">
        <v>29</v>
      </c>
      <c r="L576" s="2" t="s">
        <v>29</v>
      </c>
      <c r="M576" s="2" t="s">
        <v>29</v>
      </c>
      <c r="N576" s="2" t="s">
        <v>6398</v>
      </c>
      <c r="O576" s="2" t="s">
        <v>6399</v>
      </c>
      <c r="P576" s="2" t="s">
        <v>6400</v>
      </c>
      <c r="Q576" s="2" t="s">
        <v>6401</v>
      </c>
      <c r="R576" s="2" t="s">
        <v>2509</v>
      </c>
      <c r="S576" s="2" t="s">
        <v>2840</v>
      </c>
      <c r="T576" s="2" t="s">
        <v>205</v>
      </c>
      <c r="U576" s="2" t="s">
        <v>29</v>
      </c>
      <c r="V576" s="2" t="n">
        <v>1</v>
      </c>
    </row>
    <row r="577">
      <c r="A577" s="2" t="n">
        <v>576</v>
      </c>
      <c r="B577" s="2" t="s">
        <v>6402</v>
      </c>
      <c r="C577" s="2" t="n">
        <v>520.055038604</v>
      </c>
      <c r="D577" s="2" t="n">
        <v>0.482021910997616</v>
      </c>
      <c r="E577" s="2" t="s">
        <v>6403</v>
      </c>
      <c r="F577" s="2" t="s">
        <v>250</v>
      </c>
      <c r="G577" s="2" t="s">
        <v>6404</v>
      </c>
      <c r="H577" s="2" t="s">
        <v>6405</v>
      </c>
      <c r="I577" s="2" t="s">
        <v>6406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6407</v>
      </c>
      <c r="O577" s="2" t="s">
        <v>29</v>
      </c>
      <c r="P577" s="2" t="s">
        <v>6408</v>
      </c>
      <c r="Q577" s="2" t="s">
        <v>6409</v>
      </c>
      <c r="R577" s="2" t="s">
        <v>355</v>
      </c>
      <c r="S577" s="2" t="s">
        <v>6410</v>
      </c>
      <c r="T577" s="2" t="s">
        <v>6411</v>
      </c>
      <c r="U577" s="2" t="s">
        <v>29</v>
      </c>
      <c r="V577" s="2" t="n">
        <v>1</v>
      </c>
    </row>
    <row r="578">
      <c r="A578" s="2" t="n">
        <v>577</v>
      </c>
      <c r="B578" s="2" t="s">
        <v>6412</v>
      </c>
      <c r="C578" s="2" t="n">
        <v>520.129628655</v>
      </c>
      <c r="D578" s="2" t="n">
        <v>4.05244517717468</v>
      </c>
      <c r="E578" s="2" t="s">
        <v>6413</v>
      </c>
      <c r="F578" s="2" t="s">
        <v>110</v>
      </c>
      <c r="G578" s="2" t="s">
        <v>6414</v>
      </c>
      <c r="H578" s="2" t="s">
        <v>6415</v>
      </c>
      <c r="I578" s="2" t="s">
        <v>6416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6417</v>
      </c>
      <c r="O578" s="2" t="s">
        <v>29</v>
      </c>
      <c r="P578" s="2" t="s">
        <v>6418</v>
      </c>
      <c r="Q578" s="2" t="s">
        <v>6419</v>
      </c>
      <c r="R578" s="2" t="s">
        <v>49</v>
      </c>
      <c r="S578" s="2" t="s">
        <v>165</v>
      </c>
      <c r="T578" s="2" t="s">
        <v>166</v>
      </c>
      <c r="U578" s="2" t="s">
        <v>29</v>
      </c>
      <c r="V578" s="2" t="n">
        <v>1</v>
      </c>
    </row>
    <row r="579">
      <c r="A579" s="2" t="n">
        <v>578</v>
      </c>
      <c r="B579" s="2" t="s">
        <v>6420</v>
      </c>
      <c r="C579" s="2" t="n">
        <v>520.26186616</v>
      </c>
      <c r="D579" s="2" t="n">
        <v>0.157296418586088</v>
      </c>
      <c r="E579" s="2" t="s">
        <v>6421</v>
      </c>
      <c r="F579" s="2" t="s">
        <v>42</v>
      </c>
      <c r="G579" s="2" t="s">
        <v>6422</v>
      </c>
      <c r="H579" s="2" t="s">
        <v>6423</v>
      </c>
      <c r="I579" s="2" t="s">
        <v>6424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6425</v>
      </c>
      <c r="O579" s="2" t="s">
        <v>29</v>
      </c>
      <c r="P579" s="2" t="s">
        <v>6426</v>
      </c>
      <c r="Q579" s="2" t="s">
        <v>6427</v>
      </c>
      <c r="R579" s="2" t="s">
        <v>64</v>
      </c>
      <c r="S579" s="2" t="s">
        <v>65</v>
      </c>
      <c r="T579" s="2" t="s">
        <v>66</v>
      </c>
      <c r="U579" s="2" t="s">
        <v>29</v>
      </c>
      <c r="V579" s="2" t="n">
        <v>1</v>
      </c>
    </row>
    <row r="580">
      <c r="A580" s="2" t="n">
        <v>579</v>
      </c>
      <c r="B580" s="2" t="s">
        <v>6428</v>
      </c>
      <c r="C580" s="2" t="n">
        <v>521.0968423</v>
      </c>
      <c r="D580" s="2" t="n">
        <v>0.519163928884031</v>
      </c>
      <c r="E580" s="2" t="s">
        <v>6429</v>
      </c>
      <c r="F580" s="2" t="s">
        <v>24</v>
      </c>
      <c r="G580" s="2" t="s">
        <v>6430</v>
      </c>
      <c r="H580" s="2" t="s">
        <v>6431</v>
      </c>
      <c r="I580" s="2" t="s">
        <v>6432</v>
      </c>
      <c r="J580" s="2" t="s">
        <v>72</v>
      </c>
      <c r="K580" s="2" t="s">
        <v>72</v>
      </c>
      <c r="L580" s="2" t="s">
        <v>72</v>
      </c>
      <c r="M580" s="2" t="s">
        <v>72</v>
      </c>
      <c r="N580" s="2" t="s">
        <v>6433</v>
      </c>
      <c r="O580" s="2" t="s">
        <v>72</v>
      </c>
      <c r="P580" s="2" t="s">
        <v>6434</v>
      </c>
      <c r="Q580" s="2" t="s">
        <v>6435</v>
      </c>
      <c r="R580" s="2" t="s">
        <v>6436</v>
      </c>
      <c r="S580" s="2" t="s">
        <v>6437</v>
      </c>
      <c r="T580" s="2" t="s">
        <v>6438</v>
      </c>
      <c r="U580" s="2" t="s">
        <v>29</v>
      </c>
      <c r="V580" s="2" t="n">
        <v>2</v>
      </c>
    </row>
    <row r="581">
      <c r="A581" s="2" t="n">
        <v>580</v>
      </c>
      <c r="B581" s="2" t="s">
        <v>6439</v>
      </c>
      <c r="C581" s="2" t="n">
        <v>521.16590009</v>
      </c>
      <c r="D581" s="2" t="n">
        <v>2.51824020496481</v>
      </c>
      <c r="E581" s="2" t="s">
        <v>6440</v>
      </c>
      <c r="F581" s="2" t="s">
        <v>42</v>
      </c>
      <c r="G581" s="2" t="s">
        <v>6441</v>
      </c>
      <c r="H581" s="2" t="s">
        <v>6442</v>
      </c>
      <c r="I581" s="2" t="s">
        <v>6443</v>
      </c>
      <c r="J581" s="2" t="s">
        <v>6444</v>
      </c>
      <c r="K581" s="2" t="s">
        <v>29</v>
      </c>
      <c r="L581" s="2" t="s">
        <v>6445</v>
      </c>
      <c r="M581" s="2" t="s">
        <v>6446</v>
      </c>
      <c r="N581" s="2" t="s">
        <v>6447</v>
      </c>
      <c r="O581" s="2" t="s">
        <v>6448</v>
      </c>
      <c r="P581" s="2" t="s">
        <v>6449</v>
      </c>
      <c r="Q581" s="2" t="s">
        <v>6450</v>
      </c>
      <c r="R581" s="2" t="s">
        <v>1490</v>
      </c>
      <c r="S581" s="2" t="s">
        <v>4971</v>
      </c>
      <c r="T581" s="2" t="s">
        <v>5010</v>
      </c>
      <c r="U581" s="2" t="s">
        <v>39</v>
      </c>
      <c r="V581" s="2" t="n">
        <v>1</v>
      </c>
    </row>
    <row r="582">
      <c r="A582" s="2" t="n">
        <v>581</v>
      </c>
      <c r="B582" s="2" t="s">
        <v>6451</v>
      </c>
      <c r="C582" s="2" t="n">
        <v>522.042718752</v>
      </c>
      <c r="D582" s="2" t="n">
        <v>2.50787612245489</v>
      </c>
      <c r="E582" s="2" t="s">
        <v>6452</v>
      </c>
      <c r="F582" s="2" t="s">
        <v>42</v>
      </c>
      <c r="G582" s="2" t="s">
        <v>6453</v>
      </c>
      <c r="H582" s="2" t="s">
        <v>6454</v>
      </c>
      <c r="I582" s="2" t="s">
        <v>6455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6456</v>
      </c>
      <c r="O582" s="2" t="s">
        <v>29</v>
      </c>
      <c r="P582" s="2" t="s">
        <v>6457</v>
      </c>
      <c r="Q582" s="2" t="s">
        <v>6458</v>
      </c>
      <c r="R582" s="2" t="s">
        <v>64</v>
      </c>
      <c r="S582" s="2" t="s">
        <v>65</v>
      </c>
      <c r="T582" s="2" t="s">
        <v>66</v>
      </c>
      <c r="U582" s="2" t="s">
        <v>29</v>
      </c>
      <c r="V582" s="2" t="n">
        <v>1</v>
      </c>
    </row>
    <row r="583">
      <c r="A583" s="2" t="n">
        <v>582</v>
      </c>
      <c r="B583" s="2" t="s">
        <v>6459</v>
      </c>
      <c r="C583" s="2" t="n">
        <v>522.166838937</v>
      </c>
      <c r="D583" s="2" t="n">
        <v>0.161702095808078</v>
      </c>
      <c r="E583" s="2" t="s">
        <v>6460</v>
      </c>
      <c r="F583" s="2" t="s">
        <v>24</v>
      </c>
      <c r="G583" s="2" t="s">
        <v>6461</v>
      </c>
      <c r="H583" s="2" t="s">
        <v>6462</v>
      </c>
      <c r="I583" s="2" t="s">
        <v>6463</v>
      </c>
      <c r="J583" s="2" t="s">
        <v>6464</v>
      </c>
      <c r="K583" s="2" t="s">
        <v>29</v>
      </c>
      <c r="L583" s="2" t="s">
        <v>29</v>
      </c>
      <c r="M583" s="2" t="s">
        <v>6465</v>
      </c>
      <c r="N583" s="2" t="s">
        <v>6466</v>
      </c>
      <c r="O583" s="2" t="s">
        <v>6467</v>
      </c>
      <c r="P583" s="2" t="s">
        <v>6468</v>
      </c>
      <c r="Q583" s="2" t="s">
        <v>6469</v>
      </c>
      <c r="R583" s="2" t="s">
        <v>502</v>
      </c>
      <c r="S583" s="2" t="s">
        <v>503</v>
      </c>
      <c r="T583" s="2" t="s">
        <v>5166</v>
      </c>
      <c r="U583" s="2" t="s">
        <v>29</v>
      </c>
      <c r="V583" s="2" t="n">
        <v>1</v>
      </c>
    </row>
    <row r="584">
      <c r="A584" s="2" t="n">
        <v>583</v>
      </c>
      <c r="B584" s="2" t="s">
        <v>6470</v>
      </c>
      <c r="C584" s="2" t="n">
        <v>523.039632664</v>
      </c>
      <c r="D584" s="2" t="n">
        <v>6.12710192791338</v>
      </c>
      <c r="E584" s="2" t="s">
        <v>6471</v>
      </c>
      <c r="F584" s="2" t="s">
        <v>1019</v>
      </c>
      <c r="G584" s="2" t="s">
        <v>6472</v>
      </c>
      <c r="H584" s="2" t="s">
        <v>6473</v>
      </c>
      <c r="I584" s="2" t="s">
        <v>6474</v>
      </c>
      <c r="J584" s="2" t="s">
        <v>6475</v>
      </c>
      <c r="K584" s="2" t="s">
        <v>29</v>
      </c>
      <c r="L584" s="2" t="s">
        <v>29</v>
      </c>
      <c r="M584" s="2" t="s">
        <v>6476</v>
      </c>
      <c r="N584" s="2" t="s">
        <v>6477</v>
      </c>
      <c r="O584" s="2" t="s">
        <v>6478</v>
      </c>
      <c r="P584" s="2" t="s">
        <v>6479</v>
      </c>
      <c r="Q584" s="2" t="s">
        <v>6480</v>
      </c>
      <c r="R584" s="2" t="s">
        <v>355</v>
      </c>
      <c r="S584" s="2" t="s">
        <v>2424</v>
      </c>
      <c r="T584" s="2" t="s">
        <v>2425</v>
      </c>
      <c r="U584" s="2" t="s">
        <v>29</v>
      </c>
      <c r="V584" s="2" t="n">
        <v>1</v>
      </c>
    </row>
    <row r="585">
      <c r="A585" s="2" t="n">
        <v>584</v>
      </c>
      <c r="B585" s="2" t="s">
        <v>6481</v>
      </c>
      <c r="C585" s="2" t="n">
        <v>524.03438241</v>
      </c>
      <c r="D585" s="2" t="n">
        <v>4.10888191140686</v>
      </c>
      <c r="E585" s="2" t="s">
        <v>6482</v>
      </c>
      <c r="F585" s="2" t="s">
        <v>24</v>
      </c>
      <c r="G585" s="2" t="s">
        <v>6483</v>
      </c>
      <c r="H585" s="2" t="s">
        <v>6484</v>
      </c>
      <c r="I585" s="2" t="s">
        <v>6485</v>
      </c>
      <c r="J585" s="2" t="s">
        <v>6486</v>
      </c>
      <c r="K585" s="2" t="s">
        <v>72</v>
      </c>
      <c r="L585" s="2" t="s">
        <v>6487</v>
      </c>
      <c r="M585" s="2" t="s">
        <v>6488</v>
      </c>
      <c r="N585" s="2" t="s">
        <v>6489</v>
      </c>
      <c r="O585" s="2" t="s">
        <v>72</v>
      </c>
      <c r="P585" s="2" t="s">
        <v>6490</v>
      </c>
      <c r="Q585" s="2" t="s">
        <v>6491</v>
      </c>
      <c r="R585" s="2" t="s">
        <v>715</v>
      </c>
      <c r="S585" s="2" t="s">
        <v>716</v>
      </c>
      <c r="T585" s="2" t="s">
        <v>717</v>
      </c>
      <c r="U585" s="2" t="s">
        <v>39</v>
      </c>
      <c r="V585" s="2" t="n">
        <v>2</v>
      </c>
    </row>
    <row r="586">
      <c r="A586" s="2" t="n">
        <v>585</v>
      </c>
      <c r="B586" s="2" t="s">
        <v>6492</v>
      </c>
      <c r="C586" s="2" t="n">
        <v>526.114568883</v>
      </c>
      <c r="D586" s="2" t="n">
        <v>9.29854620092583</v>
      </c>
      <c r="E586" s="2" t="s">
        <v>6493</v>
      </c>
      <c r="F586" s="2" t="s">
        <v>24</v>
      </c>
      <c r="G586" s="2" t="s">
        <v>6494</v>
      </c>
      <c r="H586" s="2" t="s">
        <v>6495</v>
      </c>
      <c r="I586" s="2" t="s">
        <v>6496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6497</v>
      </c>
      <c r="O586" s="2" t="s">
        <v>29</v>
      </c>
      <c r="P586" s="2" t="s">
        <v>6498</v>
      </c>
      <c r="Q586" s="2" t="s">
        <v>6499</v>
      </c>
      <c r="R586" s="2" t="s">
        <v>49</v>
      </c>
      <c r="S586" s="2" t="s">
        <v>165</v>
      </c>
      <c r="T586" s="2" t="s">
        <v>166</v>
      </c>
      <c r="U586" s="2" t="s">
        <v>29</v>
      </c>
      <c r="V586" s="2" t="n">
        <v>1</v>
      </c>
    </row>
    <row r="587">
      <c r="A587" s="2" t="n">
        <v>586</v>
      </c>
      <c r="B587" s="2" t="s">
        <v>6500</v>
      </c>
      <c r="C587" s="2" t="n">
        <v>529.090637366</v>
      </c>
      <c r="D587" s="2" t="n">
        <v>3.0363518318498</v>
      </c>
      <c r="E587" s="2" t="s">
        <v>6501</v>
      </c>
      <c r="F587" s="2" t="s">
        <v>250</v>
      </c>
      <c r="G587" s="2" t="s">
        <v>6502</v>
      </c>
      <c r="H587" s="2" t="s">
        <v>6503</v>
      </c>
      <c r="I587" s="2" t="s">
        <v>6504</v>
      </c>
      <c r="J587" s="2" t="s">
        <v>6505</v>
      </c>
      <c r="K587" s="2" t="s">
        <v>29</v>
      </c>
      <c r="L587" s="2" t="s">
        <v>29</v>
      </c>
      <c r="M587" s="2" t="s">
        <v>29</v>
      </c>
      <c r="N587" s="2" t="s">
        <v>6506</v>
      </c>
      <c r="O587" s="2" t="s">
        <v>6507</v>
      </c>
      <c r="P587" s="2" t="s">
        <v>6508</v>
      </c>
      <c r="Q587" s="2" t="s">
        <v>6509</v>
      </c>
      <c r="R587" s="2" t="s">
        <v>355</v>
      </c>
      <c r="S587" s="2" t="s">
        <v>6510</v>
      </c>
      <c r="T587" s="2" t="s">
        <v>6511</v>
      </c>
      <c r="U587" s="2" t="s">
        <v>29</v>
      </c>
      <c r="V587" s="2" t="n">
        <v>1</v>
      </c>
    </row>
    <row r="588">
      <c r="A588" s="2" t="n">
        <v>587</v>
      </c>
      <c r="B588" s="2" t="s">
        <v>6512</v>
      </c>
      <c r="C588" s="2" t="n">
        <v>529.301821692</v>
      </c>
      <c r="D588" s="2" t="n">
        <v>6.29617256768162</v>
      </c>
      <c r="E588" s="2" t="s">
        <v>6513</v>
      </c>
      <c r="F588" s="2" t="s">
        <v>110</v>
      </c>
      <c r="G588" s="2" t="s">
        <v>6514</v>
      </c>
      <c r="H588" s="2" t="s">
        <v>6515</v>
      </c>
      <c r="I588" s="2" t="s">
        <v>6516</v>
      </c>
      <c r="J588" s="2" t="s">
        <v>6517</v>
      </c>
      <c r="K588" s="2" t="s">
        <v>29</v>
      </c>
      <c r="L588" s="2" t="s">
        <v>29</v>
      </c>
      <c r="M588" s="2" t="s">
        <v>6518</v>
      </c>
      <c r="N588" s="2" t="s">
        <v>6519</v>
      </c>
      <c r="O588" s="2" t="s">
        <v>6520</v>
      </c>
      <c r="P588" s="2" t="s">
        <v>6521</v>
      </c>
      <c r="Q588" s="2" t="s">
        <v>6522</v>
      </c>
      <c r="R588" s="2" t="s">
        <v>1490</v>
      </c>
      <c r="S588" s="2" t="s">
        <v>1491</v>
      </c>
      <c r="T588" s="2" t="s">
        <v>6523</v>
      </c>
      <c r="U588" s="2" t="s">
        <v>29</v>
      </c>
      <c r="V588" s="2" t="n">
        <v>1</v>
      </c>
    </row>
    <row r="589">
      <c r="A589" s="2" t="n">
        <v>588</v>
      </c>
      <c r="B589" s="2" t="s">
        <v>6524</v>
      </c>
      <c r="C589" s="2" t="n">
        <v>530.078677877</v>
      </c>
      <c r="D589" s="2" t="n">
        <v>5.88641783166254</v>
      </c>
      <c r="E589" s="2" t="s">
        <v>6525</v>
      </c>
      <c r="F589" s="2" t="s">
        <v>42</v>
      </c>
      <c r="G589" s="2" t="s">
        <v>6526</v>
      </c>
      <c r="H589" s="2" t="s">
        <v>6527</v>
      </c>
      <c r="I589" s="2" t="s">
        <v>6528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6529</v>
      </c>
      <c r="O589" s="2" t="s">
        <v>29</v>
      </c>
      <c r="P589" s="2" t="s">
        <v>6530</v>
      </c>
      <c r="Q589" s="2" t="s">
        <v>6531</v>
      </c>
      <c r="R589" s="2" t="s">
        <v>49</v>
      </c>
      <c r="S589" s="2" t="s">
        <v>6532</v>
      </c>
      <c r="T589" s="2" t="s">
        <v>6533</v>
      </c>
      <c r="U589" s="2" t="s">
        <v>29</v>
      </c>
      <c r="V589" s="2" t="n">
        <v>1</v>
      </c>
    </row>
    <row r="590">
      <c r="A590" s="2" t="n">
        <v>589</v>
      </c>
      <c r="B590" s="2" t="s">
        <v>6534</v>
      </c>
      <c r="C590" s="2" t="n">
        <v>530.2175666</v>
      </c>
      <c r="D590" s="2" t="n">
        <v>4.88981648526962</v>
      </c>
      <c r="E590" s="2" t="s">
        <v>6535</v>
      </c>
      <c r="F590" s="2" t="s">
        <v>24</v>
      </c>
      <c r="G590" s="2" t="s">
        <v>6536</v>
      </c>
      <c r="H590" s="2" t="s">
        <v>6537</v>
      </c>
      <c r="I590" s="2" t="s">
        <v>6538</v>
      </c>
      <c r="J590" s="2" t="s">
        <v>6539</v>
      </c>
      <c r="K590" s="2" t="s">
        <v>226</v>
      </c>
      <c r="L590" s="2" t="s">
        <v>226</v>
      </c>
      <c r="M590" s="2" t="s">
        <v>226</v>
      </c>
      <c r="N590" s="2" t="s">
        <v>6540</v>
      </c>
      <c r="O590" s="2" t="s">
        <v>6541</v>
      </c>
      <c r="P590" s="2" t="s">
        <v>6542</v>
      </c>
      <c r="Q590" s="2" t="s">
        <v>6543</v>
      </c>
      <c r="R590" s="2" t="s">
        <v>230</v>
      </c>
      <c r="S590" s="2" t="s">
        <v>6544</v>
      </c>
      <c r="T590" s="2" t="s">
        <v>6545</v>
      </c>
      <c r="U590" s="2" t="s">
        <v>29</v>
      </c>
      <c r="V590" s="2" t="n">
        <v>3</v>
      </c>
    </row>
    <row r="591">
      <c r="A591" s="2" t="n">
        <v>590</v>
      </c>
      <c r="B591" s="2" t="s">
        <v>6546</v>
      </c>
      <c r="C591" s="2" t="n">
        <v>531.077609254</v>
      </c>
      <c r="D591" s="2" t="n">
        <v>6.17967708716841</v>
      </c>
      <c r="E591" s="2" t="s">
        <v>6547</v>
      </c>
      <c r="F591" s="2" t="s">
        <v>522</v>
      </c>
      <c r="G591" s="2" t="s">
        <v>6548</v>
      </c>
      <c r="H591" s="2" t="s">
        <v>6549</v>
      </c>
      <c r="I591" s="2" t="s">
        <v>6550</v>
      </c>
      <c r="J591" s="2" t="s">
        <v>6551</v>
      </c>
      <c r="K591" s="2" t="s">
        <v>29</v>
      </c>
      <c r="L591" s="2" t="s">
        <v>29</v>
      </c>
      <c r="M591" s="2" t="s">
        <v>29</v>
      </c>
      <c r="N591" s="2" t="s">
        <v>6552</v>
      </c>
      <c r="O591" s="2" t="s">
        <v>29</v>
      </c>
      <c r="P591" s="2" t="s">
        <v>6553</v>
      </c>
      <c r="Q591" s="2" t="s">
        <v>6554</v>
      </c>
      <c r="R591" s="2" t="s">
        <v>355</v>
      </c>
      <c r="S591" s="2" t="s">
        <v>5537</v>
      </c>
      <c r="T591" s="2" t="s">
        <v>5538</v>
      </c>
      <c r="U591" s="2" t="s">
        <v>29</v>
      </c>
      <c r="V591" s="2" t="n">
        <v>1</v>
      </c>
    </row>
    <row r="592">
      <c r="A592" s="2" t="n">
        <v>591</v>
      </c>
      <c r="B592" s="2" t="s">
        <v>6555</v>
      </c>
      <c r="C592" s="2" t="n">
        <v>531.130641</v>
      </c>
      <c r="D592" s="2" t="n">
        <v>5.27989796987207</v>
      </c>
      <c r="E592" s="2" t="s">
        <v>6556</v>
      </c>
      <c r="F592" s="2" t="s">
        <v>24</v>
      </c>
      <c r="G592" s="2" t="s">
        <v>6557</v>
      </c>
      <c r="H592" s="2" t="s">
        <v>6558</v>
      </c>
      <c r="I592" s="2" t="s">
        <v>6559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6560</v>
      </c>
      <c r="O592" s="2" t="s">
        <v>29</v>
      </c>
      <c r="P592" s="2" t="s">
        <v>6561</v>
      </c>
      <c r="Q592" s="2" t="s">
        <v>6562</v>
      </c>
      <c r="R592" s="2" t="s">
        <v>355</v>
      </c>
      <c r="S592" s="2" t="s">
        <v>1316</v>
      </c>
      <c r="T592" s="2" t="s">
        <v>4897</v>
      </c>
      <c r="U592" s="2" t="s">
        <v>29</v>
      </c>
      <c r="V592" s="2" t="n">
        <v>1</v>
      </c>
    </row>
    <row r="593">
      <c r="A593" s="2" t="n">
        <v>592</v>
      </c>
      <c r="B593" s="2" t="s">
        <v>6563</v>
      </c>
      <c r="C593" s="2" t="n">
        <v>531.23011019</v>
      </c>
      <c r="D593" s="2" t="n">
        <v>1.28751072928486</v>
      </c>
      <c r="E593" s="2" t="s">
        <v>6564</v>
      </c>
      <c r="F593" s="2" t="s">
        <v>522</v>
      </c>
      <c r="G593" s="2" t="s">
        <v>6565</v>
      </c>
      <c r="H593" s="2" t="s">
        <v>6566</v>
      </c>
      <c r="I593" s="2" t="s">
        <v>6567</v>
      </c>
      <c r="J593" s="2" t="s">
        <v>6568</v>
      </c>
      <c r="K593" s="2" t="s">
        <v>6569</v>
      </c>
      <c r="L593" s="2" t="s">
        <v>6570</v>
      </c>
      <c r="M593" s="2" t="s">
        <v>6571</v>
      </c>
      <c r="N593" s="2" t="s">
        <v>6572</v>
      </c>
      <c r="O593" s="2" t="s">
        <v>6573</v>
      </c>
      <c r="P593" s="2" t="s">
        <v>6574</v>
      </c>
      <c r="Q593" s="2" t="s">
        <v>6575</v>
      </c>
      <c r="R593" s="2" t="s">
        <v>1490</v>
      </c>
      <c r="S593" s="2" t="s">
        <v>1491</v>
      </c>
      <c r="T593" s="2" t="s">
        <v>6576</v>
      </c>
      <c r="U593" s="2" t="s">
        <v>39</v>
      </c>
      <c r="V593" s="2" t="n">
        <v>1</v>
      </c>
    </row>
    <row r="594">
      <c r="A594" s="2" t="n">
        <v>593</v>
      </c>
      <c r="B594" s="2" t="s">
        <v>6577</v>
      </c>
      <c r="C594" s="2" t="n">
        <v>532.180242211</v>
      </c>
      <c r="D594" s="2" t="n">
        <v>5.498859741942</v>
      </c>
      <c r="E594" s="2" t="s">
        <v>6578</v>
      </c>
      <c r="F594" s="2" t="s">
        <v>522</v>
      </c>
      <c r="G594" s="2" t="s">
        <v>6579</v>
      </c>
      <c r="H594" s="2" t="s">
        <v>6580</v>
      </c>
      <c r="I594" s="2" t="s">
        <v>6581</v>
      </c>
      <c r="J594" s="2" t="s">
        <v>29</v>
      </c>
      <c r="K594" s="2" t="s">
        <v>29</v>
      </c>
      <c r="L594" s="2" t="s">
        <v>6582</v>
      </c>
      <c r="M594" s="2" t="s">
        <v>29</v>
      </c>
      <c r="N594" s="2" t="s">
        <v>6583</v>
      </c>
      <c r="O594" s="2" t="s">
        <v>6584</v>
      </c>
      <c r="P594" s="2" t="s">
        <v>6585</v>
      </c>
      <c r="Q594" s="2" t="s">
        <v>6586</v>
      </c>
      <c r="R594" s="2" t="s">
        <v>64</v>
      </c>
      <c r="S594" s="2" t="s">
        <v>65</v>
      </c>
      <c r="T594" s="2" t="s">
        <v>66</v>
      </c>
      <c r="U594" s="2" t="s">
        <v>39</v>
      </c>
      <c r="V594" s="2" t="n">
        <v>1</v>
      </c>
    </row>
    <row r="595">
      <c r="A595" s="2" t="n">
        <v>594</v>
      </c>
      <c r="B595" s="2" t="s">
        <v>6587</v>
      </c>
      <c r="C595" s="2" t="n">
        <v>533.166446116</v>
      </c>
      <c r="D595" s="2" t="n">
        <v>2.35698182473338</v>
      </c>
      <c r="E595" s="2" t="s">
        <v>6588</v>
      </c>
      <c r="F595" s="2" t="s">
        <v>24</v>
      </c>
      <c r="G595" s="2" t="s">
        <v>6589</v>
      </c>
      <c r="H595" s="2" t="s">
        <v>6590</v>
      </c>
      <c r="I595" s="2" t="s">
        <v>6591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6592</v>
      </c>
      <c r="O595" s="2" t="s">
        <v>6593</v>
      </c>
      <c r="P595" s="2" t="s">
        <v>6594</v>
      </c>
      <c r="Q595" s="2" t="s">
        <v>6595</v>
      </c>
      <c r="R595" s="2" t="s">
        <v>2509</v>
      </c>
      <c r="S595" s="2" t="s">
        <v>6596</v>
      </c>
      <c r="T595" s="2" t="s">
        <v>205</v>
      </c>
      <c r="U595" s="2" t="s">
        <v>29</v>
      </c>
      <c r="V595" s="2" t="n">
        <v>1</v>
      </c>
    </row>
    <row r="596">
      <c r="A596" s="2" t="n">
        <v>595</v>
      </c>
      <c r="B596" s="2" t="s">
        <v>6597</v>
      </c>
      <c r="C596" s="2" t="n">
        <v>534.153633518</v>
      </c>
      <c r="D596" s="2" t="n">
        <v>3.14202493141419</v>
      </c>
      <c r="E596" s="2" t="s">
        <v>6598</v>
      </c>
      <c r="F596" s="2" t="s">
        <v>522</v>
      </c>
      <c r="G596" s="2" t="s">
        <v>6599</v>
      </c>
      <c r="H596" s="2" t="s">
        <v>6600</v>
      </c>
      <c r="I596" s="2" t="s">
        <v>6601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6602</v>
      </c>
      <c r="O596" s="2" t="s">
        <v>29</v>
      </c>
      <c r="P596" s="2" t="s">
        <v>6603</v>
      </c>
      <c r="Q596" s="2" t="s">
        <v>6604</v>
      </c>
      <c r="R596" s="2" t="s">
        <v>2509</v>
      </c>
      <c r="S596" s="2" t="s">
        <v>6605</v>
      </c>
      <c r="T596" s="2" t="s">
        <v>205</v>
      </c>
      <c r="U596" s="2" t="s">
        <v>29</v>
      </c>
      <c r="V596" s="2" t="n">
        <v>1</v>
      </c>
    </row>
    <row r="597">
      <c r="A597" s="2" t="n">
        <v>596</v>
      </c>
      <c r="B597" s="2" t="s">
        <v>6606</v>
      </c>
      <c r="C597" s="2" t="n">
        <v>535.15290525</v>
      </c>
      <c r="D597" s="2" t="n">
        <v>1.01481842649971</v>
      </c>
      <c r="E597" s="2" t="s">
        <v>6607</v>
      </c>
      <c r="F597" s="2" t="s">
        <v>522</v>
      </c>
      <c r="G597" s="2" t="s">
        <v>6608</v>
      </c>
      <c r="H597" s="2" t="s">
        <v>6609</v>
      </c>
      <c r="I597" s="2" t="s">
        <v>6610</v>
      </c>
      <c r="J597" s="2" t="s">
        <v>6611</v>
      </c>
      <c r="K597" s="2" t="s">
        <v>6612</v>
      </c>
      <c r="L597" s="2" t="s">
        <v>29</v>
      </c>
      <c r="M597" s="2" t="s">
        <v>29</v>
      </c>
      <c r="N597" s="2" t="s">
        <v>6613</v>
      </c>
      <c r="O597" s="2" t="s">
        <v>6614</v>
      </c>
      <c r="P597" s="2" t="s">
        <v>6615</v>
      </c>
      <c r="Q597" s="2" t="s">
        <v>6616</v>
      </c>
      <c r="R597" s="2" t="s">
        <v>355</v>
      </c>
      <c r="S597" s="2" t="s">
        <v>5537</v>
      </c>
      <c r="T597" s="2" t="s">
        <v>5538</v>
      </c>
      <c r="U597" s="2" t="s">
        <v>29</v>
      </c>
      <c r="V597" s="2" t="n">
        <v>1</v>
      </c>
    </row>
    <row r="598">
      <c r="A598" s="2" t="n">
        <v>597</v>
      </c>
      <c r="B598" s="2" t="s">
        <v>6617</v>
      </c>
      <c r="C598" s="2" t="n">
        <v>537.096506902</v>
      </c>
      <c r="D598" s="2" t="n">
        <v>6.74229940315702</v>
      </c>
      <c r="E598" s="2" t="s">
        <v>6618</v>
      </c>
      <c r="F598" s="2" t="s">
        <v>522</v>
      </c>
      <c r="G598" s="2" t="s">
        <v>6619</v>
      </c>
      <c r="H598" s="2" t="s">
        <v>6620</v>
      </c>
      <c r="I598" s="2" t="s">
        <v>6621</v>
      </c>
      <c r="J598" s="2" t="s">
        <v>6622</v>
      </c>
      <c r="K598" s="2" t="s">
        <v>29</v>
      </c>
      <c r="L598" s="2" t="s">
        <v>6623</v>
      </c>
      <c r="M598" s="2" t="s">
        <v>6624</v>
      </c>
      <c r="N598" s="2" t="s">
        <v>6625</v>
      </c>
      <c r="O598" s="2" t="s">
        <v>6626</v>
      </c>
      <c r="P598" s="2" t="s">
        <v>6627</v>
      </c>
      <c r="Q598" s="2" t="s">
        <v>6628</v>
      </c>
      <c r="R598" s="2" t="s">
        <v>502</v>
      </c>
      <c r="S598" s="2" t="s">
        <v>503</v>
      </c>
      <c r="T598" s="2" t="s">
        <v>3258</v>
      </c>
      <c r="U598" s="2" t="s">
        <v>39</v>
      </c>
      <c r="V598" s="2" t="n">
        <v>1</v>
      </c>
    </row>
    <row r="599">
      <c r="A599" s="2" t="n">
        <v>598</v>
      </c>
      <c r="B599" s="2" t="s">
        <v>6629</v>
      </c>
      <c r="C599" s="2" t="n">
        <v>538.032122</v>
      </c>
      <c r="D599" s="2" t="n">
        <v>4.70798615643696</v>
      </c>
      <c r="E599" s="2" t="s">
        <v>6630</v>
      </c>
      <c r="F599" s="2" t="s">
        <v>522</v>
      </c>
      <c r="G599" s="2" t="s">
        <v>6631</v>
      </c>
      <c r="H599" s="2" t="s">
        <v>6632</v>
      </c>
      <c r="I599" s="2" t="s">
        <v>6633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6634</v>
      </c>
      <c r="Q599" s="2" t="s">
        <v>6635</v>
      </c>
      <c r="R599" s="2" t="s">
        <v>1490</v>
      </c>
      <c r="S599" s="2" t="s">
        <v>4971</v>
      </c>
      <c r="T599" s="2" t="s">
        <v>6636</v>
      </c>
      <c r="U599" s="2" t="s">
        <v>29</v>
      </c>
      <c r="V599" s="2" t="n">
        <v>1</v>
      </c>
    </row>
    <row r="600">
      <c r="A600" s="2" t="n">
        <v>599</v>
      </c>
      <c r="B600" s="2" t="s">
        <v>6637</v>
      </c>
      <c r="C600" s="2" t="n">
        <v>541.118366691</v>
      </c>
      <c r="D600" s="2" t="n">
        <v>4.13085303510016</v>
      </c>
      <c r="E600" s="2" t="s">
        <v>6638</v>
      </c>
      <c r="F600" s="2" t="s">
        <v>522</v>
      </c>
      <c r="G600" s="2" t="s">
        <v>6639</v>
      </c>
      <c r="H600" s="2" t="s">
        <v>6640</v>
      </c>
      <c r="I600" s="2" t="s">
        <v>6641</v>
      </c>
      <c r="J600" s="2" t="s">
        <v>6642</v>
      </c>
      <c r="K600" s="2" t="s">
        <v>29</v>
      </c>
      <c r="L600" s="2" t="s">
        <v>29</v>
      </c>
      <c r="M600" s="2" t="s">
        <v>29</v>
      </c>
      <c r="N600" s="2" t="s">
        <v>6643</v>
      </c>
      <c r="O600" s="2" t="s">
        <v>29</v>
      </c>
      <c r="P600" s="2" t="s">
        <v>6644</v>
      </c>
      <c r="Q600" s="2" t="s">
        <v>6645</v>
      </c>
      <c r="R600" s="2" t="s">
        <v>502</v>
      </c>
      <c r="S600" s="2" t="s">
        <v>503</v>
      </c>
      <c r="T600" s="2" t="s">
        <v>3450</v>
      </c>
      <c r="U600" s="2" t="s">
        <v>29</v>
      </c>
      <c r="V600" s="2" t="n">
        <v>1</v>
      </c>
    </row>
    <row r="601">
      <c r="A601" s="2" t="n">
        <v>600</v>
      </c>
      <c r="B601" s="2" t="s">
        <v>6646</v>
      </c>
      <c r="C601" s="2" t="n">
        <v>542.102971238</v>
      </c>
      <c r="D601" s="2" t="n">
        <v>5.49026787084992</v>
      </c>
      <c r="E601" s="2" t="s">
        <v>6647</v>
      </c>
      <c r="F601" s="2" t="s">
        <v>250</v>
      </c>
      <c r="G601" s="2" t="s">
        <v>6648</v>
      </c>
      <c r="H601" s="2" t="s">
        <v>6649</v>
      </c>
      <c r="I601" s="2" t="s">
        <v>6650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6651</v>
      </c>
      <c r="O601" s="2" t="s">
        <v>29</v>
      </c>
      <c r="P601" s="2" t="s">
        <v>6652</v>
      </c>
      <c r="Q601" s="2" t="s">
        <v>6653</v>
      </c>
      <c r="R601" s="2" t="s">
        <v>502</v>
      </c>
      <c r="S601" s="2" t="s">
        <v>503</v>
      </c>
      <c r="T601" s="2" t="s">
        <v>5710</v>
      </c>
      <c r="U601" s="2" t="s">
        <v>29</v>
      </c>
      <c r="V601" s="2" t="n">
        <v>1</v>
      </c>
    </row>
    <row r="602">
      <c r="A602" s="2" t="n">
        <v>601</v>
      </c>
      <c r="B602" s="2" t="s">
        <v>6654</v>
      </c>
      <c r="C602" s="2" t="n">
        <v>543.099154412</v>
      </c>
      <c r="D602" s="2" t="n">
        <v>3.19872871186757</v>
      </c>
      <c r="E602" s="2" t="s">
        <v>6655</v>
      </c>
      <c r="F602" s="2" t="s">
        <v>24</v>
      </c>
      <c r="G602" s="2" t="s">
        <v>6656</v>
      </c>
      <c r="H602" s="2" t="s">
        <v>6657</v>
      </c>
      <c r="I602" s="2" t="s">
        <v>6658</v>
      </c>
      <c r="J602" s="2" t="s">
        <v>6659</v>
      </c>
      <c r="K602" s="2" t="s">
        <v>29</v>
      </c>
      <c r="L602" s="2" t="s">
        <v>29</v>
      </c>
      <c r="M602" s="2" t="s">
        <v>6660</v>
      </c>
      <c r="N602" s="2" t="s">
        <v>6661</v>
      </c>
      <c r="O602" s="2" t="s">
        <v>6662</v>
      </c>
      <c r="P602" s="2" t="s">
        <v>6663</v>
      </c>
      <c r="Q602" s="2" t="s">
        <v>6664</v>
      </c>
      <c r="R602" s="2" t="s">
        <v>2509</v>
      </c>
      <c r="S602" s="2" t="s">
        <v>4949</v>
      </c>
      <c r="T602" s="2" t="s">
        <v>205</v>
      </c>
      <c r="U602" s="2" t="s">
        <v>29</v>
      </c>
      <c r="V602" s="2" t="n">
        <v>1</v>
      </c>
    </row>
    <row r="603">
      <c r="A603" s="2" t="n">
        <v>602</v>
      </c>
      <c r="B603" s="2" t="s">
        <v>6665</v>
      </c>
      <c r="C603" s="2" t="n">
        <v>543.285907536</v>
      </c>
      <c r="D603" s="2" t="n">
        <v>6.50924982464466</v>
      </c>
      <c r="E603" s="2" t="s">
        <v>6666</v>
      </c>
      <c r="F603" s="2" t="s">
        <v>522</v>
      </c>
      <c r="G603" s="2" t="s">
        <v>6667</v>
      </c>
      <c r="H603" s="2" t="s">
        <v>6668</v>
      </c>
      <c r="I603" s="2" t="s">
        <v>6669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6670</v>
      </c>
      <c r="O603" s="2" t="s">
        <v>29</v>
      </c>
      <c r="P603" s="2" t="s">
        <v>6671</v>
      </c>
      <c r="Q603" s="2" t="s">
        <v>6672</v>
      </c>
      <c r="R603" s="2" t="s">
        <v>1490</v>
      </c>
      <c r="S603" s="2" t="s">
        <v>4236</v>
      </c>
      <c r="T603" s="2" t="s">
        <v>5175</v>
      </c>
      <c r="U603" s="2" t="s">
        <v>29</v>
      </c>
      <c r="V603" s="2" t="n">
        <v>1</v>
      </c>
    </row>
    <row r="604">
      <c r="A604" s="2" t="n">
        <v>603</v>
      </c>
      <c r="B604" s="2" t="s">
        <v>6673</v>
      </c>
      <c r="C604" s="2" t="n">
        <v>544.065479194</v>
      </c>
      <c r="D604" s="2" t="n">
        <v>8.45273683529496</v>
      </c>
      <c r="E604" s="2" t="s">
        <v>6674</v>
      </c>
      <c r="F604" s="2" t="s">
        <v>522</v>
      </c>
      <c r="G604" s="2" t="s">
        <v>6675</v>
      </c>
      <c r="H604" s="2" t="s">
        <v>6676</v>
      </c>
      <c r="I604" s="2" t="s">
        <v>6677</v>
      </c>
      <c r="J604" s="2" t="s">
        <v>29</v>
      </c>
      <c r="K604" s="2" t="s">
        <v>29</v>
      </c>
      <c r="L604" s="2" t="s">
        <v>29</v>
      </c>
      <c r="M604" s="2" t="s">
        <v>6678</v>
      </c>
      <c r="N604" s="2" t="s">
        <v>6679</v>
      </c>
      <c r="O604" s="2" t="s">
        <v>29</v>
      </c>
      <c r="P604" s="2" t="s">
        <v>6680</v>
      </c>
      <c r="Q604" s="2" t="s">
        <v>6681</v>
      </c>
      <c r="R604" s="2" t="s">
        <v>1490</v>
      </c>
      <c r="S604" s="2" t="s">
        <v>1491</v>
      </c>
      <c r="T604" s="2" t="s">
        <v>3884</v>
      </c>
      <c r="U604" s="2" t="s">
        <v>29</v>
      </c>
      <c r="V604" s="2" t="n">
        <v>1</v>
      </c>
    </row>
    <row r="605">
      <c r="A605" s="2" t="n">
        <v>604</v>
      </c>
      <c r="B605" s="2" t="s">
        <v>6682</v>
      </c>
      <c r="C605" s="2" t="n">
        <v>544.243117228</v>
      </c>
      <c r="D605" s="2" t="n">
        <v>4.60354414747363</v>
      </c>
      <c r="E605" s="2" t="s">
        <v>6683</v>
      </c>
      <c r="F605" s="2" t="s">
        <v>522</v>
      </c>
      <c r="G605" s="2" t="s">
        <v>6684</v>
      </c>
      <c r="H605" s="2" t="s">
        <v>6685</v>
      </c>
      <c r="I605" s="2" t="s">
        <v>6686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6687</v>
      </c>
      <c r="O605" s="2" t="s">
        <v>29</v>
      </c>
      <c r="P605" s="2" t="s">
        <v>6688</v>
      </c>
      <c r="Q605" s="2" t="s">
        <v>6689</v>
      </c>
      <c r="R605" s="2" t="s">
        <v>355</v>
      </c>
      <c r="S605" s="2" t="s">
        <v>6690</v>
      </c>
      <c r="T605" s="2" t="s">
        <v>6691</v>
      </c>
      <c r="U605" s="2" t="s">
        <v>29</v>
      </c>
      <c r="V605" s="2" t="n">
        <v>1</v>
      </c>
    </row>
    <row r="606">
      <c r="A606" s="2" t="n">
        <v>605</v>
      </c>
      <c r="B606" s="2" t="s">
        <v>6692</v>
      </c>
      <c r="C606" s="2" t="n">
        <v>545.2284656</v>
      </c>
      <c r="D606" s="2" t="n">
        <v>1.04270452833256</v>
      </c>
      <c r="E606" s="2" t="s">
        <v>6693</v>
      </c>
      <c r="F606" s="2" t="s">
        <v>24</v>
      </c>
      <c r="G606" s="2" t="s">
        <v>6694</v>
      </c>
      <c r="H606" s="2" t="s">
        <v>6695</v>
      </c>
      <c r="I606" s="2" t="s">
        <v>6696</v>
      </c>
      <c r="J606" s="2" t="s">
        <v>72</v>
      </c>
      <c r="K606" s="2" t="s">
        <v>72</v>
      </c>
      <c r="L606" s="2" t="s">
        <v>72</v>
      </c>
      <c r="M606" s="2" t="s">
        <v>72</v>
      </c>
      <c r="N606" s="2" t="s">
        <v>6697</v>
      </c>
      <c r="O606" s="2" t="s">
        <v>72</v>
      </c>
      <c r="P606" s="2" t="s">
        <v>6698</v>
      </c>
      <c r="Q606" s="2" t="s">
        <v>6699</v>
      </c>
      <c r="R606" s="2" t="s">
        <v>715</v>
      </c>
      <c r="S606" s="2" t="s">
        <v>716</v>
      </c>
      <c r="T606" s="2" t="s">
        <v>717</v>
      </c>
      <c r="U606" s="2" t="s">
        <v>29</v>
      </c>
      <c r="V606" s="2" t="n">
        <v>2</v>
      </c>
    </row>
    <row r="607">
      <c r="A607" s="2" t="n">
        <v>606</v>
      </c>
      <c r="B607" s="2" t="s">
        <v>6700</v>
      </c>
      <c r="C607" s="2" t="n">
        <v>546.208767959</v>
      </c>
      <c r="D607" s="2" t="n">
        <v>2.70318610682369</v>
      </c>
      <c r="E607" s="2" t="s">
        <v>6701</v>
      </c>
      <c r="F607" s="2" t="s">
        <v>42</v>
      </c>
      <c r="G607" s="2" t="s">
        <v>6702</v>
      </c>
      <c r="H607" s="2" t="s">
        <v>6703</v>
      </c>
      <c r="I607" s="2" t="s">
        <v>6704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6705</v>
      </c>
      <c r="O607" s="2" t="s">
        <v>29</v>
      </c>
      <c r="P607" s="2" t="s">
        <v>6706</v>
      </c>
      <c r="Q607" s="2" t="s">
        <v>6707</v>
      </c>
      <c r="R607" s="2" t="s">
        <v>64</v>
      </c>
      <c r="S607" s="2" t="s">
        <v>65</v>
      </c>
      <c r="T607" s="2" t="s">
        <v>66</v>
      </c>
      <c r="U607" s="2" t="s">
        <v>29</v>
      </c>
      <c r="V607" s="2" t="n">
        <v>1</v>
      </c>
    </row>
    <row r="608">
      <c r="A608" s="2" t="n">
        <v>607</v>
      </c>
      <c r="B608" s="2" t="s">
        <v>6708</v>
      </c>
      <c r="C608" s="2" t="n">
        <v>547.210420119</v>
      </c>
      <c r="D608" s="2" t="n">
        <v>4.97012481573644</v>
      </c>
      <c r="E608" s="2" t="s">
        <v>6709</v>
      </c>
      <c r="F608" s="2" t="s">
        <v>522</v>
      </c>
      <c r="G608" s="2" t="s">
        <v>6710</v>
      </c>
      <c r="H608" s="2" t="s">
        <v>6711</v>
      </c>
      <c r="I608" s="2" t="s">
        <v>6712</v>
      </c>
      <c r="J608" s="2" t="s">
        <v>6713</v>
      </c>
      <c r="K608" s="2" t="s">
        <v>29</v>
      </c>
      <c r="L608" s="2" t="s">
        <v>6714</v>
      </c>
      <c r="M608" s="2" t="s">
        <v>29</v>
      </c>
      <c r="N608" s="2" t="s">
        <v>6715</v>
      </c>
      <c r="O608" s="2" t="s">
        <v>6716</v>
      </c>
      <c r="P608" s="2" t="s">
        <v>6717</v>
      </c>
      <c r="Q608" s="2" t="s">
        <v>6718</v>
      </c>
      <c r="R608" s="2" t="s">
        <v>502</v>
      </c>
      <c r="S608" s="2" t="s">
        <v>503</v>
      </c>
      <c r="T608" s="2" t="s">
        <v>5166</v>
      </c>
      <c r="U608" s="2" t="s">
        <v>39</v>
      </c>
      <c r="V608" s="2" t="n">
        <v>1</v>
      </c>
    </row>
    <row r="609">
      <c r="A609" s="2" t="n">
        <v>608</v>
      </c>
      <c r="B609" s="2" t="s">
        <v>6719</v>
      </c>
      <c r="C609" s="2" t="n">
        <v>547.434392094</v>
      </c>
      <c r="D609" s="2" t="n">
        <v>2.07597044901157</v>
      </c>
      <c r="E609" s="2" t="s">
        <v>6720</v>
      </c>
      <c r="F609" s="2" t="s">
        <v>360</v>
      </c>
      <c r="G609" s="2" t="s">
        <v>6721</v>
      </c>
      <c r="H609" s="2" t="s">
        <v>6722</v>
      </c>
      <c r="I609" s="2" t="s">
        <v>6723</v>
      </c>
      <c r="J609" s="2" t="s">
        <v>6724</v>
      </c>
      <c r="K609" s="2" t="s">
        <v>29</v>
      </c>
      <c r="L609" s="2" t="s">
        <v>29</v>
      </c>
      <c r="M609" s="2" t="s">
        <v>29</v>
      </c>
      <c r="N609" s="2" t="s">
        <v>6725</v>
      </c>
      <c r="O609" s="2" t="s">
        <v>29</v>
      </c>
      <c r="P609" s="2" t="s">
        <v>6726</v>
      </c>
      <c r="Q609" s="2" t="s">
        <v>6727</v>
      </c>
      <c r="R609" s="2" t="s">
        <v>1490</v>
      </c>
      <c r="S609" s="2" t="s">
        <v>6728</v>
      </c>
      <c r="T609" s="2" t="s">
        <v>6729</v>
      </c>
      <c r="U609" s="2" t="s">
        <v>29</v>
      </c>
      <c r="V609" s="2" t="n">
        <v>1</v>
      </c>
    </row>
    <row r="610">
      <c r="A610" s="2" t="n">
        <v>609</v>
      </c>
      <c r="B610" s="2" t="s">
        <v>6730</v>
      </c>
      <c r="C610" s="2" t="n">
        <v>548.16526083</v>
      </c>
      <c r="D610" s="2" t="n">
        <v>3.81957825595851</v>
      </c>
      <c r="E610" s="2" t="s">
        <v>6731</v>
      </c>
      <c r="F610" s="2" t="s">
        <v>522</v>
      </c>
      <c r="G610" s="2" t="s">
        <v>6732</v>
      </c>
      <c r="H610" s="2" t="s">
        <v>6733</v>
      </c>
      <c r="I610" s="2" t="s">
        <v>6734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6735</v>
      </c>
      <c r="O610" s="2" t="s">
        <v>29</v>
      </c>
      <c r="P610" s="2" t="s">
        <v>6736</v>
      </c>
      <c r="Q610" s="2" t="s">
        <v>6737</v>
      </c>
      <c r="R610" s="2" t="s">
        <v>49</v>
      </c>
      <c r="S610" s="2" t="s">
        <v>165</v>
      </c>
      <c r="T610" s="2" t="s">
        <v>5751</v>
      </c>
      <c r="U610" s="2" t="s">
        <v>29</v>
      </c>
      <c r="V610" s="2" t="n">
        <v>1</v>
      </c>
    </row>
    <row r="611">
      <c r="A611" s="2" t="n">
        <v>610</v>
      </c>
      <c r="B611" s="2" t="s">
        <v>6738</v>
      </c>
      <c r="C611" s="2" t="n">
        <v>549.1605095</v>
      </c>
      <c r="D611" s="2" t="n">
        <v>0.585609271012403</v>
      </c>
      <c r="E611" s="2" t="s">
        <v>6739</v>
      </c>
      <c r="F611" s="2" t="s">
        <v>110</v>
      </c>
      <c r="G611" s="2" t="s">
        <v>6740</v>
      </c>
      <c r="H611" s="2" t="s">
        <v>6741</v>
      </c>
      <c r="I611" s="2" t="s">
        <v>6742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6743</v>
      </c>
      <c r="O611" s="2" t="s">
        <v>29</v>
      </c>
      <c r="P611" s="2" t="s">
        <v>6744</v>
      </c>
      <c r="Q611" s="2" t="s">
        <v>6745</v>
      </c>
      <c r="R611" s="2" t="s">
        <v>49</v>
      </c>
      <c r="S611" s="2" t="s">
        <v>6532</v>
      </c>
      <c r="T611" s="2" t="s">
        <v>6533</v>
      </c>
      <c r="U611" s="2" t="s">
        <v>29</v>
      </c>
      <c r="V611" s="2" t="n">
        <v>1</v>
      </c>
    </row>
    <row r="612">
      <c r="A612" s="2" t="n">
        <v>611</v>
      </c>
      <c r="B612" s="2" t="s">
        <v>6746</v>
      </c>
      <c r="C612" s="2" t="n">
        <v>549.451898781</v>
      </c>
      <c r="D612" s="2" t="n">
        <v>5.9980591638343</v>
      </c>
      <c r="E612" s="2" t="s">
        <v>6747</v>
      </c>
      <c r="F612" s="2" t="s">
        <v>42</v>
      </c>
      <c r="G612" s="2" t="s">
        <v>6748</v>
      </c>
      <c r="H612" s="2" t="s">
        <v>6749</v>
      </c>
      <c r="I612" s="2" t="s">
        <v>6750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6751</v>
      </c>
      <c r="O612" s="2" t="s">
        <v>29</v>
      </c>
      <c r="P612" s="2" t="s">
        <v>6752</v>
      </c>
      <c r="Q612" s="2" t="s">
        <v>6753</v>
      </c>
      <c r="R612" s="2" t="s">
        <v>1490</v>
      </c>
      <c r="S612" s="2" t="s">
        <v>6728</v>
      </c>
      <c r="T612" s="2" t="s">
        <v>6754</v>
      </c>
      <c r="U612" s="2" t="s">
        <v>29</v>
      </c>
      <c r="V612" s="2" t="n">
        <v>1</v>
      </c>
    </row>
    <row r="613">
      <c r="A613" s="2" t="n">
        <v>612</v>
      </c>
      <c r="B613" s="2" t="s">
        <v>6755</v>
      </c>
      <c r="C613" s="2" t="n">
        <v>551.20533475</v>
      </c>
      <c r="D613" s="2" t="n">
        <v>2.78790616928488</v>
      </c>
      <c r="E613" s="2" t="s">
        <v>6756</v>
      </c>
      <c r="F613" s="2" t="s">
        <v>522</v>
      </c>
      <c r="G613" s="2" t="s">
        <v>6757</v>
      </c>
      <c r="H613" s="2" t="s">
        <v>6758</v>
      </c>
      <c r="I613" s="2" t="s">
        <v>6759</v>
      </c>
      <c r="J613" s="2" t="s">
        <v>6760</v>
      </c>
      <c r="K613" s="2" t="s">
        <v>29</v>
      </c>
      <c r="L613" s="2" t="s">
        <v>29</v>
      </c>
      <c r="M613" s="2" t="s">
        <v>29</v>
      </c>
      <c r="N613" s="2" t="s">
        <v>6761</v>
      </c>
      <c r="O613" s="2" t="s">
        <v>6762</v>
      </c>
      <c r="P613" s="2" t="s">
        <v>6763</v>
      </c>
      <c r="Q613" s="2" t="s">
        <v>6764</v>
      </c>
      <c r="R613" s="2" t="s">
        <v>355</v>
      </c>
      <c r="S613" s="2" t="s">
        <v>5537</v>
      </c>
      <c r="T613" s="2" t="s">
        <v>5538</v>
      </c>
      <c r="U613" s="2" t="s">
        <v>29</v>
      </c>
      <c r="V613" s="2" t="n">
        <v>1</v>
      </c>
    </row>
    <row r="614">
      <c r="A614" s="2" t="n">
        <v>613</v>
      </c>
      <c r="B614" s="2" t="s">
        <v>6765</v>
      </c>
      <c r="C614" s="2" t="n">
        <v>552.0746079</v>
      </c>
      <c r="D614" s="2" t="n">
        <v>7.68998818015386</v>
      </c>
      <c r="E614" s="2" t="s">
        <v>6766</v>
      </c>
      <c r="F614" s="2" t="s">
        <v>522</v>
      </c>
      <c r="G614" s="2" t="s">
        <v>6767</v>
      </c>
      <c r="H614" s="2" t="s">
        <v>6768</v>
      </c>
      <c r="I614" s="2" t="s">
        <v>6769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6770</v>
      </c>
      <c r="O614" s="2" t="s">
        <v>29</v>
      </c>
      <c r="P614" s="2" t="s">
        <v>6771</v>
      </c>
      <c r="Q614" s="2" t="s">
        <v>6772</v>
      </c>
      <c r="R614" s="2" t="s">
        <v>355</v>
      </c>
      <c r="S614" s="2" t="s">
        <v>3062</v>
      </c>
      <c r="T614" s="2" t="s">
        <v>3063</v>
      </c>
      <c r="U614" s="2" t="s">
        <v>29</v>
      </c>
      <c r="V614" s="2" t="n">
        <v>1</v>
      </c>
    </row>
    <row r="615">
      <c r="A615" s="2" t="n">
        <v>614</v>
      </c>
      <c r="B615" s="2" t="s">
        <v>6773</v>
      </c>
      <c r="C615" s="2" t="n">
        <v>552.155842933</v>
      </c>
      <c r="D615" s="2" t="n">
        <v>2.83797512358645</v>
      </c>
      <c r="E615" s="2" t="s">
        <v>6774</v>
      </c>
      <c r="F615" s="2" t="s">
        <v>110</v>
      </c>
      <c r="G615" s="2" t="s">
        <v>6775</v>
      </c>
      <c r="H615" s="2" t="s">
        <v>6776</v>
      </c>
      <c r="I615" s="2" t="s">
        <v>6777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6778</v>
      </c>
      <c r="O615" s="2" t="s">
        <v>29</v>
      </c>
      <c r="P615" s="2" t="s">
        <v>6779</v>
      </c>
      <c r="Q615" s="2" t="s">
        <v>6780</v>
      </c>
      <c r="R615" s="2" t="s">
        <v>355</v>
      </c>
      <c r="S615" s="2" t="s">
        <v>3687</v>
      </c>
      <c r="T615" s="2" t="s">
        <v>3688</v>
      </c>
      <c r="U615" s="2" t="s">
        <v>29</v>
      </c>
      <c r="V615" s="2" t="n">
        <v>1</v>
      </c>
    </row>
    <row r="616">
      <c r="A616" s="2" t="n">
        <v>615</v>
      </c>
      <c r="B616" s="2" t="s">
        <v>6781</v>
      </c>
      <c r="C616" s="2" t="n">
        <v>552.240278489</v>
      </c>
      <c r="D616" s="2" t="n">
        <v>2.17848157696415</v>
      </c>
      <c r="E616" s="2" t="s">
        <v>6782</v>
      </c>
      <c r="F616" s="2" t="s">
        <v>250</v>
      </c>
      <c r="G616" s="2" t="s">
        <v>6783</v>
      </c>
      <c r="H616" s="2" t="s">
        <v>6784</v>
      </c>
      <c r="I616" s="2" t="s">
        <v>6785</v>
      </c>
      <c r="J616" s="2" t="s">
        <v>6786</v>
      </c>
      <c r="K616" s="2" t="s">
        <v>6787</v>
      </c>
      <c r="L616" s="2" t="s">
        <v>6788</v>
      </c>
      <c r="M616" s="2" t="s">
        <v>6789</v>
      </c>
      <c r="N616" s="2" t="s">
        <v>6790</v>
      </c>
      <c r="O616" s="2" t="s">
        <v>6791</v>
      </c>
      <c r="P616" s="2" t="s">
        <v>6792</v>
      </c>
      <c r="Q616" s="2" t="s">
        <v>6793</v>
      </c>
      <c r="R616" s="2" t="s">
        <v>575</v>
      </c>
      <c r="S616" s="2" t="s">
        <v>6794</v>
      </c>
      <c r="T616" s="2" t="s">
        <v>6795</v>
      </c>
      <c r="U616" s="2" t="s">
        <v>39</v>
      </c>
      <c r="V616" s="2" t="n">
        <v>2</v>
      </c>
    </row>
    <row r="617">
      <c r="A617" s="2" t="n">
        <v>616</v>
      </c>
      <c r="B617" s="2" t="s">
        <v>6796</v>
      </c>
      <c r="C617" s="2" t="n">
        <v>553.075228464</v>
      </c>
      <c r="D617" s="2" t="n">
        <v>6.33543542776356</v>
      </c>
      <c r="E617" s="2" t="s">
        <v>6797</v>
      </c>
      <c r="F617" s="2" t="s">
        <v>360</v>
      </c>
      <c r="G617" s="2" t="s">
        <v>6798</v>
      </c>
      <c r="H617" s="2" t="s">
        <v>6799</v>
      </c>
      <c r="I617" s="2" t="s">
        <v>6800</v>
      </c>
      <c r="J617" s="2" t="s">
        <v>6801</v>
      </c>
      <c r="K617" s="2" t="s">
        <v>29</v>
      </c>
      <c r="L617" s="2" t="s">
        <v>29</v>
      </c>
      <c r="M617" s="2" t="s">
        <v>29</v>
      </c>
      <c r="N617" s="2" t="s">
        <v>6802</v>
      </c>
      <c r="O617" s="2" t="s">
        <v>29</v>
      </c>
      <c r="P617" s="2" t="s">
        <v>6803</v>
      </c>
      <c r="Q617" s="2" t="s">
        <v>6804</v>
      </c>
      <c r="R617" s="2" t="s">
        <v>49</v>
      </c>
      <c r="S617" s="2" t="s">
        <v>165</v>
      </c>
      <c r="T617" s="2" t="s">
        <v>5751</v>
      </c>
      <c r="U617" s="2" t="s">
        <v>29</v>
      </c>
      <c r="V617" s="2" t="n">
        <v>1</v>
      </c>
    </row>
    <row r="618">
      <c r="A618" s="2" t="n">
        <v>617</v>
      </c>
      <c r="B618" s="2" t="s">
        <v>6805</v>
      </c>
      <c r="C618" s="2" t="n">
        <v>553.164745778</v>
      </c>
      <c r="D618" s="2" t="n">
        <v>0.940947176355732</v>
      </c>
      <c r="E618" s="2" t="s">
        <v>6806</v>
      </c>
      <c r="F618" s="2" t="s">
        <v>250</v>
      </c>
      <c r="G618" s="2" t="s">
        <v>6807</v>
      </c>
      <c r="H618" s="2" t="s">
        <v>6808</v>
      </c>
      <c r="I618" s="2" t="s">
        <v>6809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6810</v>
      </c>
      <c r="O618" s="2" t="s">
        <v>29</v>
      </c>
      <c r="P618" s="2" t="s">
        <v>6811</v>
      </c>
      <c r="Q618" s="2" t="s">
        <v>6812</v>
      </c>
      <c r="R618" s="2" t="s">
        <v>64</v>
      </c>
      <c r="S618" s="2" t="s">
        <v>65</v>
      </c>
      <c r="T618" s="2" t="s">
        <v>91</v>
      </c>
      <c r="U618" s="2" t="s">
        <v>29</v>
      </c>
      <c r="V618" s="2" t="n">
        <v>1</v>
      </c>
    </row>
    <row r="619">
      <c r="A619" s="2" t="n">
        <v>618</v>
      </c>
      <c r="B619" s="2" t="s">
        <v>6813</v>
      </c>
      <c r="C619" s="2" t="n">
        <v>553.249010728</v>
      </c>
      <c r="D619" s="2" t="n">
        <v>1.87043607360065</v>
      </c>
      <c r="E619" s="2" t="s">
        <v>6814</v>
      </c>
      <c r="F619" s="2" t="s">
        <v>24</v>
      </c>
      <c r="G619" s="2" t="s">
        <v>6815</v>
      </c>
      <c r="H619" s="2" t="s">
        <v>6816</v>
      </c>
      <c r="I619" s="2" t="s">
        <v>6817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6818</v>
      </c>
      <c r="O619" s="2" t="s">
        <v>29</v>
      </c>
      <c r="P619" s="2" t="s">
        <v>6819</v>
      </c>
      <c r="Q619" s="2" t="s">
        <v>6820</v>
      </c>
      <c r="R619" s="2" t="s">
        <v>355</v>
      </c>
      <c r="S619" s="2" t="s">
        <v>5131</v>
      </c>
      <c r="T619" s="2" t="s">
        <v>5132</v>
      </c>
      <c r="U619" s="2" t="s">
        <v>29</v>
      </c>
      <c r="V619" s="2" t="n">
        <v>1</v>
      </c>
    </row>
    <row r="620">
      <c r="A620" s="2" t="n">
        <v>619</v>
      </c>
      <c r="B620" s="2" t="s">
        <v>6821</v>
      </c>
      <c r="C620" s="2" t="n">
        <v>555.022364923</v>
      </c>
      <c r="D620" s="2" t="n">
        <v>4.3972840736211</v>
      </c>
      <c r="E620" s="2" t="s">
        <v>6822</v>
      </c>
      <c r="F620" s="2" t="s">
        <v>110</v>
      </c>
      <c r="G620" s="2" t="s">
        <v>6823</v>
      </c>
      <c r="H620" s="2" t="s">
        <v>6824</v>
      </c>
      <c r="I620" s="2" t="s">
        <v>6825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6826</v>
      </c>
      <c r="O620" s="2" t="s">
        <v>29</v>
      </c>
      <c r="P620" s="2" t="s">
        <v>6827</v>
      </c>
      <c r="Q620" s="2" t="s">
        <v>6828</v>
      </c>
      <c r="R620" s="2" t="s">
        <v>49</v>
      </c>
      <c r="S620" s="2" t="s">
        <v>165</v>
      </c>
      <c r="T620" s="2" t="s">
        <v>166</v>
      </c>
      <c r="U620" s="2" t="s">
        <v>29</v>
      </c>
      <c r="V620" s="2" t="n">
        <v>1</v>
      </c>
    </row>
    <row r="621">
      <c r="A621" s="2" t="n">
        <v>620</v>
      </c>
      <c r="B621" s="2" t="s">
        <v>6829</v>
      </c>
      <c r="C621" s="2" t="n">
        <v>555.103863098</v>
      </c>
      <c r="D621" s="2" t="n">
        <v>8.1920071228371</v>
      </c>
      <c r="E621" s="2" t="s">
        <v>6830</v>
      </c>
      <c r="F621" s="2" t="s">
        <v>24</v>
      </c>
      <c r="G621" s="2" t="s">
        <v>6831</v>
      </c>
      <c r="H621" s="2" t="s">
        <v>6832</v>
      </c>
      <c r="I621" s="2" t="s">
        <v>6833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6834</v>
      </c>
      <c r="O621" s="2" t="s">
        <v>29</v>
      </c>
      <c r="P621" s="2" t="s">
        <v>6835</v>
      </c>
      <c r="Q621" s="2" t="s">
        <v>6836</v>
      </c>
      <c r="R621" s="2" t="s">
        <v>355</v>
      </c>
      <c r="S621" s="2" t="s">
        <v>4796</v>
      </c>
      <c r="T621" s="2" t="s">
        <v>4797</v>
      </c>
      <c r="U621" s="2" t="s">
        <v>29</v>
      </c>
      <c r="V621" s="2" t="n">
        <v>1</v>
      </c>
    </row>
    <row r="622">
      <c r="A622" s="2" t="n">
        <v>621</v>
      </c>
      <c r="B622" s="2" t="s">
        <v>6837</v>
      </c>
      <c r="C622" s="2" t="n">
        <v>557.108935546</v>
      </c>
      <c r="D622" s="2" t="n">
        <v>6.46458529152421</v>
      </c>
      <c r="E622" s="2" t="s">
        <v>6838</v>
      </c>
      <c r="F622" s="2" t="s">
        <v>110</v>
      </c>
      <c r="G622" s="2" t="s">
        <v>6839</v>
      </c>
      <c r="H622" s="2" t="s">
        <v>6840</v>
      </c>
      <c r="I622" s="2" t="s">
        <v>6841</v>
      </c>
      <c r="J622" s="2" t="s">
        <v>6842</v>
      </c>
      <c r="K622" s="2" t="s">
        <v>72</v>
      </c>
      <c r="L622" s="2" t="s">
        <v>72</v>
      </c>
      <c r="M622" s="2" t="s">
        <v>6843</v>
      </c>
      <c r="N622" s="2" t="s">
        <v>6844</v>
      </c>
      <c r="O622" s="2" t="s">
        <v>6845</v>
      </c>
      <c r="P622" s="2" t="s">
        <v>6846</v>
      </c>
      <c r="Q622" s="2" t="s">
        <v>6847</v>
      </c>
      <c r="R622" s="2" t="s">
        <v>6848</v>
      </c>
      <c r="S622" s="2" t="s">
        <v>6849</v>
      </c>
      <c r="T622" s="2" t="s">
        <v>6850</v>
      </c>
      <c r="U622" s="2" t="s">
        <v>29</v>
      </c>
      <c r="V622" s="2" t="n">
        <v>2</v>
      </c>
    </row>
    <row r="623">
      <c r="A623" s="2" t="n">
        <v>622</v>
      </c>
      <c r="B623" s="2" t="s">
        <v>6851</v>
      </c>
      <c r="C623" s="2" t="n">
        <v>559.096280096</v>
      </c>
      <c r="D623" s="2" t="n">
        <v>4.6893203699979</v>
      </c>
      <c r="E623" s="2" t="s">
        <v>6852</v>
      </c>
      <c r="F623" s="2" t="s">
        <v>1019</v>
      </c>
      <c r="G623" s="2" t="s">
        <v>6853</v>
      </c>
      <c r="H623" s="2" t="s">
        <v>6854</v>
      </c>
      <c r="I623" s="2" t="s">
        <v>6855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6856</v>
      </c>
      <c r="O623" s="2" t="s">
        <v>29</v>
      </c>
      <c r="P623" s="2" t="s">
        <v>6857</v>
      </c>
      <c r="Q623" s="2" t="s">
        <v>6858</v>
      </c>
      <c r="R623" s="2" t="s">
        <v>49</v>
      </c>
      <c r="S623" s="2" t="s">
        <v>165</v>
      </c>
      <c r="T623" s="2" t="s">
        <v>166</v>
      </c>
      <c r="U623" s="2" t="s">
        <v>29</v>
      </c>
      <c r="V623" s="2" t="n">
        <v>1</v>
      </c>
    </row>
    <row r="624">
      <c r="A624" s="2" t="n">
        <v>623</v>
      </c>
      <c r="B624" s="2" t="s">
        <v>6859</v>
      </c>
      <c r="C624" s="2" t="n">
        <v>560.101221275</v>
      </c>
      <c r="D624" s="2" t="n">
        <v>7.89093744779906</v>
      </c>
      <c r="E624" s="2" t="s">
        <v>6860</v>
      </c>
      <c r="F624" s="2" t="s">
        <v>522</v>
      </c>
      <c r="G624" s="2" t="s">
        <v>6861</v>
      </c>
      <c r="H624" s="2" t="s">
        <v>6862</v>
      </c>
      <c r="I624" s="2" t="s">
        <v>6863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6864</v>
      </c>
      <c r="O624" s="2" t="s">
        <v>29</v>
      </c>
      <c r="P624" s="2" t="s">
        <v>6865</v>
      </c>
      <c r="Q624" s="2" t="s">
        <v>6866</v>
      </c>
      <c r="R624" s="2" t="s">
        <v>355</v>
      </c>
      <c r="S624" s="2" t="s">
        <v>1580</v>
      </c>
      <c r="T624" s="2" t="s">
        <v>4820</v>
      </c>
      <c r="U624" s="2" t="s">
        <v>29</v>
      </c>
      <c r="V624" s="2" t="n">
        <v>1</v>
      </c>
    </row>
    <row r="625">
      <c r="A625" s="2" t="n">
        <v>624</v>
      </c>
      <c r="B625" s="2" t="s">
        <v>6867</v>
      </c>
      <c r="C625" s="2" t="n">
        <v>560.222466413</v>
      </c>
      <c r="D625" s="2" t="n">
        <v>7.32882775022076</v>
      </c>
      <c r="E625" s="2" t="s">
        <v>6868</v>
      </c>
      <c r="F625" s="2" t="s">
        <v>110</v>
      </c>
      <c r="G625" s="2" t="s">
        <v>6869</v>
      </c>
      <c r="H625" s="2" t="s">
        <v>6870</v>
      </c>
      <c r="I625" s="2" t="s">
        <v>6871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6872</v>
      </c>
      <c r="Q625" s="2" t="s">
        <v>6873</v>
      </c>
      <c r="R625" s="2" t="s">
        <v>49</v>
      </c>
      <c r="S625" s="2" t="s">
        <v>165</v>
      </c>
      <c r="T625" s="2" t="s">
        <v>166</v>
      </c>
      <c r="U625" s="2" t="s">
        <v>29</v>
      </c>
      <c r="V625" s="2" t="n">
        <v>1</v>
      </c>
    </row>
    <row r="626">
      <c r="A626" s="2" t="n">
        <v>625</v>
      </c>
      <c r="B626" s="2" t="s">
        <v>6874</v>
      </c>
      <c r="C626" s="2" t="n">
        <v>561.1093192</v>
      </c>
      <c r="D626" s="2" t="n">
        <v>1.18895000489418</v>
      </c>
      <c r="E626" s="2" t="s">
        <v>6875</v>
      </c>
      <c r="F626" s="2" t="s">
        <v>360</v>
      </c>
      <c r="G626" s="2" t="s">
        <v>6876</v>
      </c>
      <c r="H626" s="2" t="s">
        <v>6877</v>
      </c>
      <c r="I626" s="2" t="s">
        <v>6878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6879</v>
      </c>
      <c r="Q626" s="2" t="s">
        <v>6880</v>
      </c>
      <c r="R626" s="2" t="s">
        <v>49</v>
      </c>
      <c r="S626" s="2" t="s">
        <v>165</v>
      </c>
      <c r="T626" s="2" t="s">
        <v>166</v>
      </c>
      <c r="U626" s="2" t="s">
        <v>29</v>
      </c>
      <c r="V626" s="2" t="n">
        <v>1</v>
      </c>
    </row>
    <row r="627">
      <c r="A627" s="2" t="n">
        <v>626</v>
      </c>
      <c r="B627" s="2" t="s">
        <v>6881</v>
      </c>
      <c r="C627" s="2" t="n">
        <v>563.339150672</v>
      </c>
      <c r="D627" s="2" t="n">
        <v>8.14078025948228</v>
      </c>
      <c r="E627" s="2" t="s">
        <v>6882</v>
      </c>
      <c r="F627" s="2" t="s">
        <v>1019</v>
      </c>
      <c r="G627" s="2" t="s">
        <v>6883</v>
      </c>
      <c r="H627" s="2" t="s">
        <v>6884</v>
      </c>
      <c r="I627" s="2" t="s">
        <v>6885</v>
      </c>
      <c r="J627" s="2" t="s">
        <v>29</v>
      </c>
      <c r="K627" s="2" t="s">
        <v>29</v>
      </c>
      <c r="L627" s="2" t="s">
        <v>6886</v>
      </c>
      <c r="M627" s="2" t="s">
        <v>29</v>
      </c>
      <c r="N627" s="2" t="s">
        <v>6887</v>
      </c>
      <c r="O627" s="2" t="s">
        <v>6888</v>
      </c>
      <c r="P627" s="2" t="s">
        <v>6889</v>
      </c>
      <c r="Q627" s="2" t="s">
        <v>6890</v>
      </c>
      <c r="R627" s="2" t="s">
        <v>502</v>
      </c>
      <c r="S627" s="2" t="s">
        <v>503</v>
      </c>
      <c r="T627" s="2" t="s">
        <v>4504</v>
      </c>
      <c r="U627" s="2" t="s">
        <v>39</v>
      </c>
      <c r="V627" s="2" t="n">
        <v>1</v>
      </c>
    </row>
    <row r="628">
      <c r="A628" s="2" t="n">
        <v>627</v>
      </c>
      <c r="B628" s="2" t="s">
        <v>6891</v>
      </c>
      <c r="C628" s="2" t="n">
        <v>564.150279487</v>
      </c>
      <c r="D628" s="2" t="n">
        <v>0.778015028845046</v>
      </c>
      <c r="E628" s="2" t="s">
        <v>6892</v>
      </c>
      <c r="F628" s="2" t="s">
        <v>522</v>
      </c>
      <c r="G628" s="2" t="s">
        <v>6893</v>
      </c>
      <c r="H628" s="2" t="s">
        <v>6894</v>
      </c>
      <c r="I628" s="2" t="s">
        <v>6895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6896</v>
      </c>
      <c r="O628" s="2" t="s">
        <v>29</v>
      </c>
      <c r="P628" s="2" t="s">
        <v>6897</v>
      </c>
      <c r="Q628" s="2" t="s">
        <v>6898</v>
      </c>
      <c r="R628" s="2" t="s">
        <v>49</v>
      </c>
      <c r="S628" s="2" t="s">
        <v>165</v>
      </c>
      <c r="T628" s="2" t="s">
        <v>166</v>
      </c>
      <c r="U628" s="2" t="s">
        <v>29</v>
      </c>
      <c r="V628" s="2" t="n">
        <v>1</v>
      </c>
    </row>
    <row r="629">
      <c r="A629" s="2" t="n">
        <v>628</v>
      </c>
      <c r="B629" s="2" t="s">
        <v>6899</v>
      </c>
      <c r="C629" s="2" t="n">
        <v>565.047744376</v>
      </c>
      <c r="D629" s="2" t="n">
        <v>0.0210270338637425</v>
      </c>
      <c r="E629" s="2" t="s">
        <v>6900</v>
      </c>
      <c r="F629" s="2" t="s">
        <v>110</v>
      </c>
      <c r="G629" s="2" t="s">
        <v>6901</v>
      </c>
      <c r="H629" s="2" t="s">
        <v>6902</v>
      </c>
      <c r="I629" s="2" t="s">
        <v>6903</v>
      </c>
      <c r="J629" s="2" t="s">
        <v>6904</v>
      </c>
      <c r="K629" s="2" t="s">
        <v>72</v>
      </c>
      <c r="L629" s="2" t="s">
        <v>6905</v>
      </c>
      <c r="M629" s="2" t="s">
        <v>6906</v>
      </c>
      <c r="N629" s="2" t="s">
        <v>6907</v>
      </c>
      <c r="O629" s="2" t="s">
        <v>6908</v>
      </c>
      <c r="P629" s="2" t="s">
        <v>6909</v>
      </c>
      <c r="Q629" s="2" t="s">
        <v>6910</v>
      </c>
      <c r="R629" s="2" t="s">
        <v>4405</v>
      </c>
      <c r="S629" s="2" t="s">
        <v>6911</v>
      </c>
      <c r="T629" s="2" t="s">
        <v>6912</v>
      </c>
      <c r="U629" s="2" t="s">
        <v>39</v>
      </c>
      <c r="V629" s="2" t="n">
        <v>2</v>
      </c>
    </row>
    <row r="630">
      <c r="A630" s="2" t="n">
        <v>629</v>
      </c>
      <c r="B630" s="2" t="s">
        <v>6913</v>
      </c>
      <c r="C630" s="2" t="n">
        <v>565.43929785</v>
      </c>
      <c r="D630" s="2" t="n">
        <v>3.71033510191355</v>
      </c>
      <c r="E630" s="2" t="s">
        <v>6914</v>
      </c>
      <c r="F630" s="2" t="s">
        <v>522</v>
      </c>
      <c r="G630" s="2" t="s">
        <v>6915</v>
      </c>
      <c r="H630" s="2" t="s">
        <v>6916</v>
      </c>
      <c r="I630" s="2" t="s">
        <v>6917</v>
      </c>
      <c r="J630" s="2" t="s">
        <v>6918</v>
      </c>
      <c r="K630" s="2" t="s">
        <v>29</v>
      </c>
      <c r="L630" s="2" t="s">
        <v>6919</v>
      </c>
      <c r="M630" s="2" t="s">
        <v>29</v>
      </c>
      <c r="N630" s="2" t="s">
        <v>6920</v>
      </c>
      <c r="O630" s="2" t="s">
        <v>6921</v>
      </c>
      <c r="P630" s="2" t="s">
        <v>6922</v>
      </c>
      <c r="Q630" s="2" t="s">
        <v>6923</v>
      </c>
      <c r="R630" s="2" t="s">
        <v>1490</v>
      </c>
      <c r="S630" s="2" t="s">
        <v>1491</v>
      </c>
      <c r="T630" s="2" t="s">
        <v>6924</v>
      </c>
      <c r="U630" s="2" t="s">
        <v>39</v>
      </c>
      <c r="V630" s="2" t="n">
        <v>1</v>
      </c>
    </row>
    <row r="631">
      <c r="A631" s="2" t="n">
        <v>630</v>
      </c>
      <c r="B631" s="2" t="s">
        <v>6925</v>
      </c>
      <c r="C631" s="2" t="n">
        <v>566.169952286</v>
      </c>
      <c r="D631" s="2" t="n">
        <v>0.622711212266507</v>
      </c>
      <c r="E631" s="2" t="s">
        <v>6926</v>
      </c>
      <c r="F631" s="2" t="s">
        <v>522</v>
      </c>
      <c r="G631" s="2" t="s">
        <v>6927</v>
      </c>
      <c r="H631" s="2" t="s">
        <v>6928</v>
      </c>
      <c r="I631" s="2" t="s">
        <v>6929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6930</v>
      </c>
      <c r="O631" s="2" t="s">
        <v>29</v>
      </c>
      <c r="P631" s="2" t="s">
        <v>6931</v>
      </c>
      <c r="Q631" s="2" t="s">
        <v>6932</v>
      </c>
      <c r="R631" s="2" t="s">
        <v>49</v>
      </c>
      <c r="S631" s="2" t="s">
        <v>165</v>
      </c>
      <c r="T631" s="2" t="s">
        <v>166</v>
      </c>
      <c r="U631" s="2" t="s">
        <v>29</v>
      </c>
      <c r="V631" s="2" t="n">
        <v>1</v>
      </c>
    </row>
    <row r="632">
      <c r="A632" s="2" t="n">
        <v>631</v>
      </c>
      <c r="B632" s="2" t="s">
        <v>6933</v>
      </c>
      <c r="C632" s="2" t="n">
        <v>567.152137764</v>
      </c>
      <c r="D632" s="2" t="n">
        <v>0.664637484898987</v>
      </c>
      <c r="E632" s="2" t="s">
        <v>6934</v>
      </c>
      <c r="F632" s="2" t="s">
        <v>110</v>
      </c>
      <c r="G632" s="2" t="s">
        <v>6935</v>
      </c>
      <c r="H632" s="2" t="s">
        <v>6936</v>
      </c>
      <c r="I632" s="2" t="s">
        <v>6937</v>
      </c>
      <c r="J632" s="2" t="s">
        <v>29</v>
      </c>
      <c r="K632" s="2" t="s">
        <v>29</v>
      </c>
      <c r="L632" s="2" t="s">
        <v>29</v>
      </c>
      <c r="M632" s="2" t="s">
        <v>6938</v>
      </c>
      <c r="N632" s="2" t="s">
        <v>6939</v>
      </c>
      <c r="O632" s="2" t="s">
        <v>29</v>
      </c>
      <c r="P632" s="2" t="s">
        <v>6940</v>
      </c>
      <c r="Q632" s="2" t="s">
        <v>6941</v>
      </c>
      <c r="R632" s="2" t="s">
        <v>502</v>
      </c>
      <c r="S632" s="2" t="s">
        <v>503</v>
      </c>
      <c r="T632" s="2" t="s">
        <v>3450</v>
      </c>
      <c r="U632" s="2" t="s">
        <v>29</v>
      </c>
      <c r="V632" s="2" t="n">
        <v>1</v>
      </c>
    </row>
    <row r="633">
      <c r="A633" s="2" t="n">
        <v>632</v>
      </c>
      <c r="B633" s="2" t="s">
        <v>6942</v>
      </c>
      <c r="C633" s="2" t="n">
        <v>570.0831127</v>
      </c>
      <c r="D633" s="2" t="n">
        <v>2.99854640220311</v>
      </c>
      <c r="E633" s="2" t="s">
        <v>6943</v>
      </c>
      <c r="F633" s="2" t="s">
        <v>250</v>
      </c>
      <c r="G633" s="2" t="s">
        <v>6944</v>
      </c>
      <c r="H633" s="2" t="s">
        <v>6945</v>
      </c>
      <c r="I633" s="2" t="s">
        <v>6946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6947</v>
      </c>
      <c r="O633" s="2" t="s">
        <v>29</v>
      </c>
      <c r="P633" s="2" t="s">
        <v>6948</v>
      </c>
      <c r="Q633" s="2" t="s">
        <v>6949</v>
      </c>
      <c r="R633" s="2" t="s">
        <v>355</v>
      </c>
      <c r="S633" s="2" t="s">
        <v>466</v>
      </c>
      <c r="T633" s="2" t="s">
        <v>467</v>
      </c>
      <c r="U633" s="2" t="s">
        <v>29</v>
      </c>
      <c r="V633" s="2" t="n">
        <v>1</v>
      </c>
    </row>
    <row r="634">
      <c r="A634" s="2" t="n">
        <v>633</v>
      </c>
      <c r="B634" s="2" t="s">
        <v>6950</v>
      </c>
      <c r="C634" s="2" t="n">
        <v>571.088200104</v>
      </c>
      <c r="D634" s="2" t="n">
        <v>0.26112894729642</v>
      </c>
      <c r="E634" s="2" t="s">
        <v>6951</v>
      </c>
      <c r="F634" s="2" t="s">
        <v>1019</v>
      </c>
      <c r="G634" s="2" t="s">
        <v>6952</v>
      </c>
      <c r="H634" s="2" t="s">
        <v>6953</v>
      </c>
      <c r="I634" s="2" t="s">
        <v>6954</v>
      </c>
      <c r="J634" s="2" t="s">
        <v>6955</v>
      </c>
      <c r="K634" s="2" t="s">
        <v>6956</v>
      </c>
      <c r="L634" s="2" t="s">
        <v>6957</v>
      </c>
      <c r="M634" s="2" t="s">
        <v>6958</v>
      </c>
      <c r="N634" s="2" t="s">
        <v>6959</v>
      </c>
      <c r="O634" s="2" t="s">
        <v>6960</v>
      </c>
      <c r="P634" s="2" t="s">
        <v>6961</v>
      </c>
      <c r="Q634" s="2" t="s">
        <v>6962</v>
      </c>
      <c r="R634" s="2" t="s">
        <v>5230</v>
      </c>
      <c r="S634" s="2" t="s">
        <v>6963</v>
      </c>
      <c r="T634" s="2" t="s">
        <v>6964</v>
      </c>
      <c r="U634" s="2" t="s">
        <v>39</v>
      </c>
      <c r="V634" s="2" t="n">
        <v>3</v>
      </c>
    </row>
    <row r="635">
      <c r="A635" s="2" t="n">
        <v>634</v>
      </c>
      <c r="B635" s="2" t="s">
        <v>6965</v>
      </c>
      <c r="C635" s="2" t="n">
        <v>571.27733396</v>
      </c>
      <c r="D635" s="2" t="n">
        <v>8.93896431427184</v>
      </c>
      <c r="E635" s="2" t="s">
        <v>6966</v>
      </c>
      <c r="F635" s="2" t="s">
        <v>24</v>
      </c>
      <c r="G635" s="2" t="s">
        <v>6967</v>
      </c>
      <c r="H635" s="2" t="s">
        <v>6968</v>
      </c>
      <c r="I635" s="2" t="s">
        <v>6969</v>
      </c>
      <c r="J635" s="2" t="s">
        <v>72</v>
      </c>
      <c r="K635" s="2" t="s">
        <v>72</v>
      </c>
      <c r="L635" s="2" t="s">
        <v>72</v>
      </c>
      <c r="M635" s="2" t="s">
        <v>72</v>
      </c>
      <c r="N635" s="2" t="s">
        <v>6970</v>
      </c>
      <c r="O635" s="2" t="s">
        <v>72</v>
      </c>
      <c r="P635" s="2" t="s">
        <v>6971</v>
      </c>
      <c r="Q635" s="2" t="s">
        <v>6972</v>
      </c>
      <c r="R635" s="2" t="s">
        <v>4057</v>
      </c>
      <c r="S635" s="2" t="s">
        <v>6973</v>
      </c>
      <c r="T635" s="2" t="s">
        <v>6974</v>
      </c>
      <c r="U635" s="2" t="s">
        <v>29</v>
      </c>
      <c r="V635" s="2" t="n">
        <v>2</v>
      </c>
    </row>
    <row r="636">
      <c r="A636" s="2" t="n">
        <v>635</v>
      </c>
      <c r="B636" s="2" t="s">
        <v>6975</v>
      </c>
      <c r="C636" s="2" t="n">
        <v>572.286505969</v>
      </c>
      <c r="D636" s="2" t="n">
        <v>2.99910360342624</v>
      </c>
      <c r="E636" s="2" t="s">
        <v>6976</v>
      </c>
      <c r="F636" s="2" t="s">
        <v>110</v>
      </c>
      <c r="G636" s="2" t="s">
        <v>6977</v>
      </c>
      <c r="H636" s="2" t="s">
        <v>6978</v>
      </c>
      <c r="I636" s="2" t="s">
        <v>6979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6980</v>
      </c>
      <c r="O636" s="2" t="s">
        <v>29</v>
      </c>
      <c r="P636" s="2" t="s">
        <v>6981</v>
      </c>
      <c r="Q636" s="2" t="s">
        <v>6982</v>
      </c>
      <c r="R636" s="2" t="s">
        <v>1490</v>
      </c>
      <c r="S636" s="2" t="s">
        <v>4971</v>
      </c>
      <c r="T636" s="2" t="s">
        <v>6983</v>
      </c>
      <c r="U636" s="2" t="s">
        <v>29</v>
      </c>
      <c r="V636" s="2" t="n">
        <v>1</v>
      </c>
    </row>
    <row r="637">
      <c r="A637" s="2" t="n">
        <v>636</v>
      </c>
      <c r="B637" s="2" t="s">
        <v>6984</v>
      </c>
      <c r="C637" s="2" t="n">
        <v>573.44255311</v>
      </c>
      <c r="D637" s="2" t="n">
        <v>0.68548052073746</v>
      </c>
      <c r="E637" s="2" t="s">
        <v>6985</v>
      </c>
      <c r="F637" s="2" t="s">
        <v>1019</v>
      </c>
      <c r="G637" s="2" t="s">
        <v>6986</v>
      </c>
      <c r="H637" s="2" t="s">
        <v>6987</v>
      </c>
      <c r="I637" s="2" t="s">
        <v>6988</v>
      </c>
      <c r="J637" s="2" t="s">
        <v>6989</v>
      </c>
      <c r="K637" s="2" t="s">
        <v>29</v>
      </c>
      <c r="L637" s="2" t="s">
        <v>6990</v>
      </c>
      <c r="M637" s="2" t="s">
        <v>6991</v>
      </c>
      <c r="N637" s="2" t="s">
        <v>6992</v>
      </c>
      <c r="O637" s="2" t="s">
        <v>6993</v>
      </c>
      <c r="P637" s="2" t="s">
        <v>6994</v>
      </c>
      <c r="Q637" s="2" t="s">
        <v>6995</v>
      </c>
      <c r="R637" s="2" t="s">
        <v>36</v>
      </c>
      <c r="S637" s="2" t="s">
        <v>37</v>
      </c>
      <c r="T637" s="2" t="s">
        <v>679</v>
      </c>
      <c r="U637" s="2" t="s">
        <v>39</v>
      </c>
      <c r="V637" s="2" t="n">
        <v>1</v>
      </c>
    </row>
    <row r="638">
      <c r="A638" s="2" t="n">
        <v>637</v>
      </c>
      <c r="B638" s="2" t="s">
        <v>6996</v>
      </c>
      <c r="C638" s="2" t="n">
        <v>575.011212112</v>
      </c>
      <c r="D638" s="2" t="n">
        <v>5.06885980938923</v>
      </c>
      <c r="E638" s="2" t="s">
        <v>6997</v>
      </c>
      <c r="F638" s="2" t="s">
        <v>1019</v>
      </c>
      <c r="G638" s="2" t="s">
        <v>6998</v>
      </c>
      <c r="H638" s="2" t="s">
        <v>6999</v>
      </c>
      <c r="I638" s="2" t="s">
        <v>7000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7001</v>
      </c>
      <c r="Q638" s="2" t="s">
        <v>7002</v>
      </c>
      <c r="R638" s="2" t="s">
        <v>502</v>
      </c>
      <c r="S638" s="2" t="s">
        <v>3913</v>
      </c>
      <c r="T638" s="2" t="s">
        <v>7003</v>
      </c>
      <c r="U638" s="2" t="s">
        <v>29</v>
      </c>
      <c r="V638" s="2" t="n">
        <v>1</v>
      </c>
    </row>
    <row r="639">
      <c r="A639" s="2" t="n">
        <v>638</v>
      </c>
      <c r="B639" s="2" t="s">
        <v>7004</v>
      </c>
      <c r="C639" s="2" t="n">
        <v>575.465692222</v>
      </c>
      <c r="D639" s="2" t="n">
        <v>1.79531621583059</v>
      </c>
      <c r="E639" s="2" t="s">
        <v>7005</v>
      </c>
      <c r="F639" s="2" t="s">
        <v>360</v>
      </c>
      <c r="G639" s="2" t="s">
        <v>7006</v>
      </c>
      <c r="H639" s="2" t="s">
        <v>7007</v>
      </c>
      <c r="I639" s="2" t="s">
        <v>7008</v>
      </c>
      <c r="J639" s="2" t="s">
        <v>7009</v>
      </c>
      <c r="K639" s="2" t="s">
        <v>7010</v>
      </c>
      <c r="L639" s="2" t="s">
        <v>29</v>
      </c>
      <c r="M639" s="2" t="s">
        <v>29</v>
      </c>
      <c r="N639" s="2" t="s">
        <v>7011</v>
      </c>
      <c r="O639" s="2" t="s">
        <v>29</v>
      </c>
      <c r="P639" s="2" t="s">
        <v>7012</v>
      </c>
      <c r="Q639" s="2" t="s">
        <v>7013</v>
      </c>
      <c r="R639" s="2" t="s">
        <v>1490</v>
      </c>
      <c r="S639" s="2" t="s">
        <v>6728</v>
      </c>
      <c r="T639" s="2" t="s">
        <v>6729</v>
      </c>
      <c r="U639" s="2" t="s">
        <v>29</v>
      </c>
      <c r="V639" s="2" t="n">
        <v>1</v>
      </c>
    </row>
    <row r="640">
      <c r="A640" s="2" t="n">
        <v>639</v>
      </c>
      <c r="B640" s="2" t="s">
        <v>7014</v>
      </c>
      <c r="C640" s="2" t="n">
        <v>577.089187849</v>
      </c>
      <c r="D640" s="2" t="n">
        <v>3.82521351038411</v>
      </c>
      <c r="E640" s="2" t="s">
        <v>7015</v>
      </c>
      <c r="F640" s="2" t="s">
        <v>42</v>
      </c>
      <c r="G640" s="2" t="s">
        <v>7016</v>
      </c>
      <c r="H640" s="2" t="s">
        <v>7017</v>
      </c>
      <c r="I640" s="2" t="s">
        <v>7018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7019</v>
      </c>
      <c r="O640" s="2" t="s">
        <v>29</v>
      </c>
      <c r="P640" s="2" t="s">
        <v>7020</v>
      </c>
      <c r="Q640" s="2" t="s">
        <v>7021</v>
      </c>
      <c r="R640" s="2" t="s">
        <v>2509</v>
      </c>
      <c r="S640" s="2" t="s">
        <v>4367</v>
      </c>
      <c r="T640" s="2" t="s">
        <v>7022</v>
      </c>
      <c r="U640" s="2" t="s">
        <v>29</v>
      </c>
      <c r="V640" s="2" t="n">
        <v>1</v>
      </c>
    </row>
    <row r="641">
      <c r="A641" s="2" t="n">
        <v>640</v>
      </c>
      <c r="B641" s="2" t="s">
        <v>7023</v>
      </c>
      <c r="C641" s="2" t="n">
        <v>578.179633973</v>
      </c>
      <c r="D641" s="2" t="n">
        <v>9.90805020229704</v>
      </c>
      <c r="E641" s="2" t="s">
        <v>7024</v>
      </c>
      <c r="F641" s="2" t="s">
        <v>360</v>
      </c>
      <c r="G641" s="2" t="s">
        <v>7025</v>
      </c>
      <c r="H641" s="2" t="s">
        <v>7026</v>
      </c>
      <c r="I641" s="2" t="s">
        <v>7027</v>
      </c>
      <c r="J641" s="2" t="s">
        <v>7028</v>
      </c>
      <c r="K641" s="2" t="s">
        <v>29</v>
      </c>
      <c r="L641" s="2" t="s">
        <v>29</v>
      </c>
      <c r="M641" s="2" t="s">
        <v>7029</v>
      </c>
      <c r="N641" s="2" t="s">
        <v>7030</v>
      </c>
      <c r="O641" s="2" t="s">
        <v>29</v>
      </c>
      <c r="P641" s="2" t="s">
        <v>7031</v>
      </c>
      <c r="Q641" s="2" t="s">
        <v>7032</v>
      </c>
      <c r="R641" s="2" t="s">
        <v>355</v>
      </c>
      <c r="S641" s="2" t="s">
        <v>3869</v>
      </c>
      <c r="T641" s="2" t="s">
        <v>3870</v>
      </c>
      <c r="U641" s="2" t="s">
        <v>29</v>
      </c>
      <c r="V641" s="2" t="n">
        <v>1</v>
      </c>
    </row>
    <row r="642">
      <c r="A642" s="2" t="n">
        <v>641</v>
      </c>
      <c r="B642" s="2" t="s">
        <v>7033</v>
      </c>
      <c r="C642" s="2" t="n">
        <v>579.271185952</v>
      </c>
      <c r="D642" s="2" t="n">
        <v>8.47848724997117</v>
      </c>
      <c r="E642" s="2" t="s">
        <v>7034</v>
      </c>
      <c r="F642" s="2" t="s">
        <v>24</v>
      </c>
      <c r="G642" s="2" t="s">
        <v>7035</v>
      </c>
      <c r="H642" s="2" t="s">
        <v>7036</v>
      </c>
      <c r="I642" s="2" t="s">
        <v>7037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7038</v>
      </c>
      <c r="O642" s="2" t="s">
        <v>29</v>
      </c>
      <c r="P642" s="2" t="s">
        <v>7039</v>
      </c>
      <c r="Q642" s="2" t="s">
        <v>7040</v>
      </c>
      <c r="R642" s="2" t="s">
        <v>49</v>
      </c>
      <c r="S642" s="2" t="s">
        <v>165</v>
      </c>
      <c r="T642" s="2" t="s">
        <v>166</v>
      </c>
      <c r="U642" s="2" t="s">
        <v>29</v>
      </c>
      <c r="V642" s="2" t="n">
        <v>1</v>
      </c>
    </row>
    <row r="643">
      <c r="A643" s="2" t="n">
        <v>642</v>
      </c>
      <c r="B643" s="2" t="s">
        <v>7041</v>
      </c>
      <c r="C643" s="2" t="n">
        <v>579.33032095</v>
      </c>
      <c r="D643" s="2" t="n">
        <v>5.24978339587007</v>
      </c>
      <c r="E643" s="2" t="s">
        <v>7042</v>
      </c>
      <c r="F643" s="2" t="s">
        <v>360</v>
      </c>
      <c r="G643" s="2" t="s">
        <v>7043</v>
      </c>
      <c r="H643" s="2" t="s">
        <v>7044</v>
      </c>
      <c r="I643" s="2" t="s">
        <v>7045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7046</v>
      </c>
      <c r="Q643" s="2" t="s">
        <v>7047</v>
      </c>
      <c r="R643" s="2" t="s">
        <v>2509</v>
      </c>
      <c r="S643" s="2" t="s">
        <v>7048</v>
      </c>
      <c r="T643" s="2" t="s">
        <v>7049</v>
      </c>
      <c r="U643" s="2" t="s">
        <v>29</v>
      </c>
      <c r="V643" s="2" t="n">
        <v>1</v>
      </c>
    </row>
    <row r="644">
      <c r="A644" s="2" t="n">
        <v>643</v>
      </c>
      <c r="B644" s="2" t="s">
        <v>7050</v>
      </c>
      <c r="C644" s="2" t="n">
        <v>581.309072672</v>
      </c>
      <c r="D644" s="2" t="n">
        <v>3.82717026255164</v>
      </c>
      <c r="E644" s="2" t="s">
        <v>7051</v>
      </c>
      <c r="F644" s="2" t="s">
        <v>42</v>
      </c>
      <c r="G644" s="2" t="s">
        <v>7052</v>
      </c>
      <c r="H644" s="2" t="s">
        <v>7053</v>
      </c>
      <c r="I644" s="2" t="s">
        <v>7054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7055</v>
      </c>
      <c r="P644" s="2" t="s">
        <v>7056</v>
      </c>
      <c r="Q644" s="2" t="s">
        <v>7057</v>
      </c>
      <c r="R644" s="2" t="s">
        <v>1490</v>
      </c>
      <c r="S644" s="2" t="s">
        <v>4236</v>
      </c>
      <c r="T644" s="2" t="s">
        <v>4237</v>
      </c>
      <c r="U644" s="2" t="s">
        <v>29</v>
      </c>
      <c r="V644" s="2" t="n">
        <v>1</v>
      </c>
    </row>
    <row r="645">
      <c r="A645" s="2" t="n">
        <v>644</v>
      </c>
      <c r="B645" s="2" t="s">
        <v>7058</v>
      </c>
      <c r="C645" s="2" t="n">
        <v>583.08819578</v>
      </c>
      <c r="D645" s="2" t="n">
        <v>3.18456258692732</v>
      </c>
      <c r="E645" s="2" t="s">
        <v>7059</v>
      </c>
      <c r="F645" s="2" t="s">
        <v>24</v>
      </c>
      <c r="G645" s="2" t="s">
        <v>7060</v>
      </c>
      <c r="H645" s="2" t="s">
        <v>7061</v>
      </c>
      <c r="I645" s="2" t="s">
        <v>7062</v>
      </c>
      <c r="J645" s="2" t="s">
        <v>7063</v>
      </c>
      <c r="K645" s="2" t="s">
        <v>7064</v>
      </c>
      <c r="L645" s="2" t="s">
        <v>7065</v>
      </c>
      <c r="M645" s="2" t="s">
        <v>7066</v>
      </c>
      <c r="N645" s="2" t="s">
        <v>7067</v>
      </c>
      <c r="O645" s="2" t="s">
        <v>7068</v>
      </c>
      <c r="P645" s="2" t="s">
        <v>7069</v>
      </c>
      <c r="Q645" s="2" t="s">
        <v>7070</v>
      </c>
      <c r="R645" s="2" t="s">
        <v>3167</v>
      </c>
      <c r="S645" s="2" t="s">
        <v>4213</v>
      </c>
      <c r="T645" s="2" t="s">
        <v>7071</v>
      </c>
      <c r="U645" s="2" t="s">
        <v>39</v>
      </c>
      <c r="V645" s="2" t="n">
        <v>2</v>
      </c>
    </row>
    <row r="646">
      <c r="A646" s="2" t="n">
        <v>645</v>
      </c>
      <c r="B646" s="2" t="s">
        <v>7072</v>
      </c>
      <c r="C646" s="2" t="n">
        <v>585.065272034</v>
      </c>
      <c r="D646" s="2" t="n">
        <v>7.80314985123741</v>
      </c>
      <c r="E646" s="2" t="s">
        <v>7073</v>
      </c>
      <c r="F646" s="2" t="s">
        <v>522</v>
      </c>
      <c r="G646" s="2" t="s">
        <v>7074</v>
      </c>
      <c r="H646" s="2" t="s">
        <v>7075</v>
      </c>
      <c r="I646" s="2" t="s">
        <v>7076</v>
      </c>
      <c r="J646" s="2" t="s">
        <v>29</v>
      </c>
      <c r="K646" s="2" t="s">
        <v>29</v>
      </c>
      <c r="L646" s="2" t="s">
        <v>7077</v>
      </c>
      <c r="M646" s="2" t="s">
        <v>29</v>
      </c>
      <c r="N646" s="2" t="s">
        <v>7078</v>
      </c>
      <c r="O646" s="2" t="s">
        <v>7079</v>
      </c>
      <c r="P646" s="2" t="s">
        <v>7080</v>
      </c>
      <c r="Q646" s="2" t="s">
        <v>7081</v>
      </c>
      <c r="R646" s="2" t="s">
        <v>2509</v>
      </c>
      <c r="S646" s="2" t="s">
        <v>5520</v>
      </c>
      <c r="T646" s="2" t="s">
        <v>5664</v>
      </c>
      <c r="U646" s="2" t="s">
        <v>39</v>
      </c>
      <c r="V646" s="2" t="n">
        <v>1</v>
      </c>
    </row>
    <row r="647">
      <c r="A647" s="2" t="n">
        <v>646</v>
      </c>
      <c r="B647" s="2" t="s">
        <v>7082</v>
      </c>
      <c r="C647" s="2" t="n">
        <v>585.170191478</v>
      </c>
      <c r="D647" s="2" t="n">
        <v>2.48669340244061</v>
      </c>
      <c r="E647" s="2" t="s">
        <v>7083</v>
      </c>
      <c r="F647" s="2" t="s">
        <v>360</v>
      </c>
      <c r="G647" s="2" t="s">
        <v>7084</v>
      </c>
      <c r="H647" s="2" t="s">
        <v>7085</v>
      </c>
      <c r="I647" s="2" t="s">
        <v>7086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7087</v>
      </c>
      <c r="Q647" s="2" t="s">
        <v>7088</v>
      </c>
      <c r="R647" s="2" t="s">
        <v>64</v>
      </c>
      <c r="S647" s="2" t="s">
        <v>65</v>
      </c>
      <c r="T647" s="2" t="s">
        <v>66</v>
      </c>
      <c r="U647" s="2" t="s">
        <v>29</v>
      </c>
      <c r="V647" s="2" t="n">
        <v>1</v>
      </c>
    </row>
    <row r="648">
      <c r="A648" s="2" t="n">
        <v>647</v>
      </c>
      <c r="B648" s="2" t="s">
        <v>7089</v>
      </c>
      <c r="C648" s="2" t="n">
        <v>585.415513274</v>
      </c>
      <c r="D648" s="2" t="n">
        <v>2.89117877815357</v>
      </c>
      <c r="E648" s="2" t="s">
        <v>7090</v>
      </c>
      <c r="F648" s="2" t="s">
        <v>42</v>
      </c>
      <c r="G648" s="2" t="s">
        <v>7091</v>
      </c>
      <c r="H648" s="2" t="s">
        <v>7092</v>
      </c>
      <c r="I648" s="2" t="s">
        <v>7093</v>
      </c>
      <c r="J648" s="2" t="s">
        <v>7094</v>
      </c>
      <c r="K648" s="2" t="s">
        <v>72</v>
      </c>
      <c r="L648" s="2" t="s">
        <v>72</v>
      </c>
      <c r="M648" s="2" t="s">
        <v>72</v>
      </c>
      <c r="N648" s="2" t="s">
        <v>7095</v>
      </c>
      <c r="O648" s="2" t="s">
        <v>7096</v>
      </c>
      <c r="P648" s="2" t="s">
        <v>7097</v>
      </c>
      <c r="Q648" s="2" t="s">
        <v>7098</v>
      </c>
      <c r="R648" s="2" t="s">
        <v>575</v>
      </c>
      <c r="S648" s="2" t="s">
        <v>7099</v>
      </c>
      <c r="T648" s="2" t="s">
        <v>7100</v>
      </c>
      <c r="U648" s="2" t="s">
        <v>29</v>
      </c>
      <c r="V648" s="2" t="n">
        <v>2</v>
      </c>
    </row>
    <row r="649">
      <c r="A649" s="2" t="n">
        <v>648</v>
      </c>
      <c r="B649" s="2" t="s">
        <v>7101</v>
      </c>
      <c r="C649" s="2" t="n">
        <v>587.092062164</v>
      </c>
      <c r="D649" s="2" t="n">
        <v>1.25357747877017</v>
      </c>
      <c r="E649" s="2" t="s">
        <v>7102</v>
      </c>
      <c r="F649" s="2" t="s">
        <v>1019</v>
      </c>
      <c r="G649" s="2" t="s">
        <v>7103</v>
      </c>
      <c r="H649" s="2" t="s">
        <v>7104</v>
      </c>
      <c r="I649" s="2" t="s">
        <v>7105</v>
      </c>
      <c r="J649" s="2" t="s">
        <v>7106</v>
      </c>
      <c r="K649" s="2" t="s">
        <v>226</v>
      </c>
      <c r="L649" s="2" t="s">
        <v>226</v>
      </c>
      <c r="M649" s="2" t="s">
        <v>7107</v>
      </c>
      <c r="N649" s="2" t="s">
        <v>7108</v>
      </c>
      <c r="O649" s="2" t="s">
        <v>7109</v>
      </c>
      <c r="P649" s="2" t="s">
        <v>7110</v>
      </c>
      <c r="Q649" s="2" t="s">
        <v>7111</v>
      </c>
      <c r="R649" s="2" t="s">
        <v>230</v>
      </c>
      <c r="S649" s="2" t="s">
        <v>7112</v>
      </c>
      <c r="T649" s="2" t="s">
        <v>7113</v>
      </c>
      <c r="U649" s="2" t="s">
        <v>29</v>
      </c>
      <c r="V649" s="2" t="n">
        <v>3</v>
      </c>
    </row>
    <row r="650">
      <c r="A650" s="2" t="n">
        <v>649</v>
      </c>
      <c r="B650" s="2" t="s">
        <v>7114</v>
      </c>
      <c r="C650" s="2" t="n">
        <v>587.335620634</v>
      </c>
      <c r="D650" s="2" t="n">
        <v>2.83059916492359</v>
      </c>
      <c r="E650" s="2" t="s">
        <v>7115</v>
      </c>
      <c r="F650" s="2" t="s">
        <v>522</v>
      </c>
      <c r="G650" s="2" t="s">
        <v>7116</v>
      </c>
      <c r="H650" s="2" t="s">
        <v>7117</v>
      </c>
      <c r="I650" s="2" t="s">
        <v>7118</v>
      </c>
      <c r="J650" s="2" t="s">
        <v>7119</v>
      </c>
      <c r="K650" s="2" t="s">
        <v>72</v>
      </c>
      <c r="L650" s="2" t="s">
        <v>72</v>
      </c>
      <c r="M650" s="2" t="s">
        <v>72</v>
      </c>
      <c r="N650" s="2" t="s">
        <v>7120</v>
      </c>
      <c r="O650" s="2" t="s">
        <v>7121</v>
      </c>
      <c r="P650" s="2" t="s">
        <v>7122</v>
      </c>
      <c r="Q650" s="2" t="s">
        <v>7123</v>
      </c>
      <c r="R650" s="2" t="s">
        <v>7124</v>
      </c>
      <c r="S650" s="2" t="s">
        <v>7125</v>
      </c>
      <c r="T650" s="2" t="s">
        <v>7126</v>
      </c>
      <c r="U650" s="2" t="s">
        <v>29</v>
      </c>
      <c r="V650" s="2" t="n">
        <v>2</v>
      </c>
    </row>
    <row r="651">
      <c r="A651" s="2" t="n">
        <v>650</v>
      </c>
      <c r="B651" s="2" t="s">
        <v>7127</v>
      </c>
      <c r="C651" s="2" t="n">
        <v>589.098214476</v>
      </c>
      <c r="D651" s="2" t="n">
        <v>3.90622305908056</v>
      </c>
      <c r="E651" s="2" t="s">
        <v>7128</v>
      </c>
      <c r="F651" s="2" t="s">
        <v>42</v>
      </c>
      <c r="G651" s="2" t="s">
        <v>7129</v>
      </c>
      <c r="H651" s="2" t="s">
        <v>7130</v>
      </c>
      <c r="I651" s="2" t="s">
        <v>7131</v>
      </c>
      <c r="J651" s="2" t="s">
        <v>7132</v>
      </c>
      <c r="K651" s="2" t="s">
        <v>29</v>
      </c>
      <c r="L651" s="2" t="s">
        <v>29</v>
      </c>
      <c r="M651" s="2" t="s">
        <v>29</v>
      </c>
      <c r="N651" s="2" t="s">
        <v>7133</v>
      </c>
      <c r="O651" s="2" t="s">
        <v>29</v>
      </c>
      <c r="P651" s="2" t="s">
        <v>7134</v>
      </c>
      <c r="Q651" s="2" t="s">
        <v>7135</v>
      </c>
      <c r="R651" s="2" t="s">
        <v>2509</v>
      </c>
      <c r="S651" s="2" t="s">
        <v>5520</v>
      </c>
      <c r="T651" s="2" t="s">
        <v>7136</v>
      </c>
      <c r="U651" s="2" t="s">
        <v>29</v>
      </c>
      <c r="V651" s="2" t="n">
        <v>1</v>
      </c>
    </row>
    <row r="652">
      <c r="A652" s="2" t="n">
        <v>651</v>
      </c>
      <c r="B652" s="2" t="s">
        <v>7137</v>
      </c>
      <c r="C652" s="2" t="n">
        <v>591.031332164</v>
      </c>
      <c r="D652" s="2" t="n">
        <v>6.336772208682</v>
      </c>
      <c r="E652" s="2" t="s">
        <v>7138</v>
      </c>
      <c r="F652" s="2" t="s">
        <v>42</v>
      </c>
      <c r="G652" s="2" t="s">
        <v>7139</v>
      </c>
      <c r="H652" s="2" t="s">
        <v>7140</v>
      </c>
      <c r="I652" s="2" t="s">
        <v>7141</v>
      </c>
      <c r="J652" s="2" t="s">
        <v>7142</v>
      </c>
      <c r="K652" s="2" t="s">
        <v>29</v>
      </c>
      <c r="L652" s="2" t="s">
        <v>29</v>
      </c>
      <c r="M652" s="2" t="s">
        <v>7143</v>
      </c>
      <c r="N652" s="2" t="s">
        <v>7144</v>
      </c>
      <c r="O652" s="2" t="s">
        <v>7145</v>
      </c>
      <c r="P652" s="2" t="s">
        <v>7146</v>
      </c>
      <c r="Q652" s="2" t="s">
        <v>7147</v>
      </c>
      <c r="R652" s="2" t="s">
        <v>2509</v>
      </c>
      <c r="S652" s="2" t="s">
        <v>6596</v>
      </c>
      <c r="T652" s="2" t="s">
        <v>205</v>
      </c>
      <c r="U652" s="2" t="s">
        <v>29</v>
      </c>
      <c r="V652" s="2" t="n">
        <v>1</v>
      </c>
    </row>
    <row r="653">
      <c r="A653" s="2" t="n">
        <v>652</v>
      </c>
      <c r="B653" s="2" t="s">
        <v>7148</v>
      </c>
      <c r="C653" s="2" t="n">
        <v>591.463009472</v>
      </c>
      <c r="D653" s="2" t="n">
        <v>7.53708881642419</v>
      </c>
      <c r="E653" s="2" t="s">
        <v>7149</v>
      </c>
      <c r="F653" s="2" t="s">
        <v>24</v>
      </c>
      <c r="G653" s="2" t="s">
        <v>7150</v>
      </c>
      <c r="H653" s="2" t="s">
        <v>7151</v>
      </c>
      <c r="I653" s="2" t="s">
        <v>7152</v>
      </c>
      <c r="J653" s="2" t="s">
        <v>7153</v>
      </c>
      <c r="K653" s="2" t="s">
        <v>29</v>
      </c>
      <c r="L653" s="2" t="s">
        <v>29</v>
      </c>
      <c r="M653" s="2" t="s">
        <v>29</v>
      </c>
      <c r="N653" s="2" t="s">
        <v>7154</v>
      </c>
      <c r="O653" s="2" t="s">
        <v>7155</v>
      </c>
      <c r="P653" s="2" t="s">
        <v>7156</v>
      </c>
      <c r="Q653" s="2" t="s">
        <v>7157</v>
      </c>
      <c r="R653" s="2" t="s">
        <v>1490</v>
      </c>
      <c r="S653" s="2" t="s">
        <v>1491</v>
      </c>
      <c r="T653" s="2" t="s">
        <v>6924</v>
      </c>
      <c r="U653" s="2" t="s">
        <v>29</v>
      </c>
      <c r="V653" s="2" t="n">
        <v>1</v>
      </c>
    </row>
    <row r="654">
      <c r="A654" s="2" t="n">
        <v>653</v>
      </c>
      <c r="B654" s="2" t="s">
        <v>7158</v>
      </c>
      <c r="C654" s="2" t="n">
        <v>592.217965107</v>
      </c>
      <c r="D654" s="2" t="n">
        <v>2.99648188314005</v>
      </c>
      <c r="E654" s="2" t="s">
        <v>7159</v>
      </c>
      <c r="F654" s="2" t="s">
        <v>522</v>
      </c>
      <c r="G654" s="2" t="s">
        <v>7160</v>
      </c>
      <c r="H654" s="2" t="s">
        <v>7161</v>
      </c>
      <c r="I654" s="2" t="s">
        <v>7162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7163</v>
      </c>
      <c r="O654" s="2" t="s">
        <v>29</v>
      </c>
      <c r="P654" s="2" t="s">
        <v>7164</v>
      </c>
      <c r="Q654" s="2" t="s">
        <v>7165</v>
      </c>
      <c r="R654" s="2" t="s">
        <v>2509</v>
      </c>
      <c r="S654" s="2" t="s">
        <v>7166</v>
      </c>
      <c r="T654" s="2" t="s">
        <v>205</v>
      </c>
      <c r="U654" s="2" t="s">
        <v>29</v>
      </c>
      <c r="V654" s="2" t="n">
        <v>1</v>
      </c>
    </row>
    <row r="655">
      <c r="A655" s="2" t="n">
        <v>654</v>
      </c>
      <c r="B655" s="2" t="s">
        <v>7167</v>
      </c>
      <c r="C655" s="2" t="n">
        <v>593.070295854</v>
      </c>
      <c r="D655" s="2" t="n">
        <v>7.6915812664219</v>
      </c>
      <c r="E655" s="2" t="s">
        <v>7168</v>
      </c>
      <c r="F655" s="2" t="s">
        <v>250</v>
      </c>
      <c r="G655" s="2" t="s">
        <v>7169</v>
      </c>
      <c r="H655" s="2" t="s">
        <v>7170</v>
      </c>
      <c r="I655" s="2" t="s">
        <v>7171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7172</v>
      </c>
      <c r="Q655" s="2" t="s">
        <v>7173</v>
      </c>
      <c r="R655" s="2" t="s">
        <v>7174</v>
      </c>
      <c r="S655" s="2" t="s">
        <v>205</v>
      </c>
      <c r="T655" s="2" t="s">
        <v>205</v>
      </c>
      <c r="U655" s="2" t="s">
        <v>29</v>
      </c>
      <c r="V655" s="2" t="n">
        <v>1</v>
      </c>
    </row>
    <row r="656">
      <c r="A656" s="2" t="n">
        <v>655</v>
      </c>
      <c r="B656" s="2" t="s">
        <v>7175</v>
      </c>
      <c r="C656" s="2" t="n">
        <v>595.070537034</v>
      </c>
      <c r="D656" s="2" t="n">
        <v>6.67924521190472</v>
      </c>
      <c r="E656" s="2" t="s">
        <v>7176</v>
      </c>
      <c r="F656" s="2" t="s">
        <v>360</v>
      </c>
      <c r="G656" s="2" t="s">
        <v>7177</v>
      </c>
      <c r="H656" s="2" t="s">
        <v>7178</v>
      </c>
      <c r="I656" s="2" t="s">
        <v>7179</v>
      </c>
      <c r="J656" s="2" t="s">
        <v>7180</v>
      </c>
      <c r="K656" s="2" t="s">
        <v>29</v>
      </c>
      <c r="L656" s="2" t="s">
        <v>29</v>
      </c>
      <c r="M656" s="2" t="s">
        <v>29</v>
      </c>
      <c r="N656" s="2" t="s">
        <v>7181</v>
      </c>
      <c r="O656" s="2" t="s">
        <v>7182</v>
      </c>
      <c r="P656" s="2" t="s">
        <v>7183</v>
      </c>
      <c r="Q656" s="2" t="s">
        <v>7184</v>
      </c>
      <c r="R656" s="2" t="s">
        <v>355</v>
      </c>
      <c r="S656" s="2" t="s">
        <v>5537</v>
      </c>
      <c r="T656" s="2" t="s">
        <v>5538</v>
      </c>
      <c r="U656" s="2" t="s">
        <v>29</v>
      </c>
      <c r="V656" s="2" t="n">
        <v>1</v>
      </c>
    </row>
    <row r="657">
      <c r="A657" s="2" t="n">
        <v>656</v>
      </c>
      <c r="B657" s="2" t="s">
        <v>7185</v>
      </c>
      <c r="C657" s="2" t="n">
        <v>595.288888016</v>
      </c>
      <c r="D657" s="2" t="n">
        <v>3.27496445723747</v>
      </c>
      <c r="E657" s="2" t="s">
        <v>7186</v>
      </c>
      <c r="F657" s="2" t="s">
        <v>110</v>
      </c>
      <c r="G657" s="2" t="s">
        <v>7187</v>
      </c>
      <c r="H657" s="2" t="s">
        <v>7188</v>
      </c>
      <c r="I657" s="2" t="s">
        <v>7189</v>
      </c>
      <c r="J657" s="2" t="s">
        <v>29</v>
      </c>
      <c r="K657" s="2" t="s">
        <v>7190</v>
      </c>
      <c r="L657" s="2" t="s">
        <v>29</v>
      </c>
      <c r="M657" s="2" t="s">
        <v>7191</v>
      </c>
      <c r="N657" s="2" t="s">
        <v>7192</v>
      </c>
      <c r="O657" s="2" t="s">
        <v>7193</v>
      </c>
      <c r="P657" s="2" t="s">
        <v>7194</v>
      </c>
      <c r="Q657" s="2" t="s">
        <v>7195</v>
      </c>
      <c r="R657" s="2" t="s">
        <v>1490</v>
      </c>
      <c r="S657" s="2" t="s">
        <v>4236</v>
      </c>
      <c r="T657" s="2" t="s">
        <v>4237</v>
      </c>
      <c r="U657" s="2" t="s">
        <v>29</v>
      </c>
      <c r="V657" s="2" t="n">
        <v>1</v>
      </c>
    </row>
    <row r="658">
      <c r="A658" s="2" t="n">
        <v>657</v>
      </c>
      <c r="B658" s="2" t="s">
        <v>7196</v>
      </c>
      <c r="C658" s="2" t="n">
        <v>596.277910173</v>
      </c>
      <c r="D658" s="2" t="n">
        <v>2.11647103616932</v>
      </c>
      <c r="E658" s="2" t="s">
        <v>7197</v>
      </c>
      <c r="F658" s="2" t="s">
        <v>42</v>
      </c>
      <c r="G658" s="2" t="s">
        <v>7198</v>
      </c>
      <c r="H658" s="2" t="s">
        <v>7199</v>
      </c>
      <c r="I658" s="2" t="s">
        <v>7200</v>
      </c>
      <c r="J658" s="2" t="s">
        <v>7201</v>
      </c>
      <c r="K658" s="2" t="s">
        <v>29</v>
      </c>
      <c r="L658" s="2" t="s">
        <v>7202</v>
      </c>
      <c r="M658" s="2" t="s">
        <v>7203</v>
      </c>
      <c r="N658" s="2" t="s">
        <v>7204</v>
      </c>
      <c r="O658" s="2" t="s">
        <v>7205</v>
      </c>
      <c r="P658" s="2" t="s">
        <v>7206</v>
      </c>
      <c r="Q658" s="2" t="s">
        <v>7207</v>
      </c>
      <c r="R658" s="2" t="s">
        <v>64</v>
      </c>
      <c r="S658" s="2" t="s">
        <v>65</v>
      </c>
      <c r="T658" s="2" t="s">
        <v>66</v>
      </c>
      <c r="U658" s="2" t="s">
        <v>39</v>
      </c>
      <c r="V658" s="2" t="n">
        <v>1</v>
      </c>
    </row>
    <row r="659">
      <c r="A659" s="2" t="n">
        <v>658</v>
      </c>
      <c r="B659" s="2" t="s">
        <v>7208</v>
      </c>
      <c r="C659" s="2" t="n">
        <v>597.068581756</v>
      </c>
      <c r="D659" s="2" t="n">
        <v>7.7594702580016</v>
      </c>
      <c r="E659" s="2" t="s">
        <v>7209</v>
      </c>
      <c r="F659" s="2" t="s">
        <v>250</v>
      </c>
      <c r="G659" s="2" t="s">
        <v>7210</v>
      </c>
      <c r="H659" s="2" t="s">
        <v>7211</v>
      </c>
      <c r="I659" s="2" t="s">
        <v>7212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7213</v>
      </c>
      <c r="Q659" s="2" t="s">
        <v>7214</v>
      </c>
      <c r="R659" s="2" t="s">
        <v>1490</v>
      </c>
      <c r="S659" s="2" t="s">
        <v>4971</v>
      </c>
      <c r="T659" s="2" t="s">
        <v>5010</v>
      </c>
      <c r="U659" s="2" t="s">
        <v>29</v>
      </c>
      <c r="V659" s="2" t="n">
        <v>1</v>
      </c>
    </row>
    <row r="660">
      <c r="A660" s="2" t="n">
        <v>659</v>
      </c>
      <c r="B660" s="2" t="s">
        <v>7215</v>
      </c>
      <c r="C660" s="2" t="n">
        <v>597.296155862</v>
      </c>
      <c r="D660" s="2" t="n">
        <v>1.12691803047007</v>
      </c>
      <c r="E660" s="2" t="s">
        <v>7216</v>
      </c>
      <c r="F660" s="2" t="s">
        <v>522</v>
      </c>
      <c r="G660" s="2" t="s">
        <v>7217</v>
      </c>
      <c r="H660" s="2" t="s">
        <v>7218</v>
      </c>
      <c r="I660" s="2" t="s">
        <v>7219</v>
      </c>
      <c r="J660" s="2" t="s">
        <v>7220</v>
      </c>
      <c r="K660" s="2" t="s">
        <v>29</v>
      </c>
      <c r="L660" s="2" t="s">
        <v>29</v>
      </c>
      <c r="M660" s="2" t="s">
        <v>7221</v>
      </c>
      <c r="N660" s="2" t="s">
        <v>7222</v>
      </c>
      <c r="O660" s="2" t="s">
        <v>29</v>
      </c>
      <c r="P660" s="2" t="s">
        <v>7223</v>
      </c>
      <c r="Q660" s="2" t="s">
        <v>7224</v>
      </c>
      <c r="R660" s="2" t="s">
        <v>355</v>
      </c>
      <c r="S660" s="2" t="s">
        <v>5131</v>
      </c>
      <c r="T660" s="2" t="s">
        <v>5132</v>
      </c>
      <c r="U660" s="2" t="s">
        <v>29</v>
      </c>
      <c r="V660" s="2" t="n">
        <v>1</v>
      </c>
    </row>
    <row r="661">
      <c r="A661" s="2" t="n">
        <v>660</v>
      </c>
      <c r="B661" s="2" t="s">
        <v>7225</v>
      </c>
      <c r="C661" s="2" t="n">
        <v>597.351836309</v>
      </c>
      <c r="D661" s="2" t="n">
        <v>2.60929938519921</v>
      </c>
      <c r="E661" s="2" t="s">
        <v>7226</v>
      </c>
      <c r="F661" s="2" t="s">
        <v>24</v>
      </c>
      <c r="G661" s="2" t="s">
        <v>7227</v>
      </c>
      <c r="H661" s="2" t="s">
        <v>7228</v>
      </c>
      <c r="I661" s="2" t="s">
        <v>7229</v>
      </c>
      <c r="J661" s="2" t="s">
        <v>29</v>
      </c>
      <c r="K661" s="2" t="s">
        <v>29</v>
      </c>
      <c r="L661" s="2" t="s">
        <v>29</v>
      </c>
      <c r="M661" s="2" t="s">
        <v>7230</v>
      </c>
      <c r="N661" s="2" t="s">
        <v>29</v>
      </c>
      <c r="O661" s="2" t="s">
        <v>29</v>
      </c>
      <c r="P661" s="2" t="s">
        <v>7231</v>
      </c>
      <c r="Q661" s="2" t="s">
        <v>7232</v>
      </c>
      <c r="R661" s="2" t="s">
        <v>355</v>
      </c>
      <c r="S661" s="2" t="s">
        <v>1580</v>
      </c>
      <c r="T661" s="2" t="s">
        <v>4820</v>
      </c>
      <c r="U661" s="2" t="s">
        <v>29</v>
      </c>
      <c r="V661" s="2" t="n">
        <v>1</v>
      </c>
    </row>
    <row r="662">
      <c r="A662" s="2" t="n">
        <v>661</v>
      </c>
      <c r="B662" s="2" t="s">
        <v>7233</v>
      </c>
      <c r="C662" s="2" t="n">
        <v>597.39091147</v>
      </c>
      <c r="D662" s="2" t="n">
        <v>2.01011732757154</v>
      </c>
      <c r="E662" s="2" t="s">
        <v>7234</v>
      </c>
      <c r="F662" s="2" t="s">
        <v>110</v>
      </c>
      <c r="G662" s="2" t="s">
        <v>7235</v>
      </c>
      <c r="H662" s="2" t="s">
        <v>7236</v>
      </c>
      <c r="I662" s="2" t="s">
        <v>7237</v>
      </c>
      <c r="J662" s="2" t="s">
        <v>7238</v>
      </c>
      <c r="K662" s="2" t="s">
        <v>29</v>
      </c>
      <c r="L662" s="2" t="s">
        <v>29</v>
      </c>
      <c r="M662" s="2" t="s">
        <v>7239</v>
      </c>
      <c r="N662" s="2" t="s">
        <v>7240</v>
      </c>
      <c r="O662" s="2" t="s">
        <v>7241</v>
      </c>
      <c r="P662" s="2" t="s">
        <v>7242</v>
      </c>
      <c r="Q662" s="2" t="s">
        <v>7243</v>
      </c>
      <c r="R662" s="2" t="s">
        <v>355</v>
      </c>
      <c r="S662" s="2" t="s">
        <v>5537</v>
      </c>
      <c r="T662" s="2" t="s">
        <v>5538</v>
      </c>
      <c r="U662" s="2" t="s">
        <v>29</v>
      </c>
      <c r="V662" s="2" t="n">
        <v>1</v>
      </c>
    </row>
    <row r="663">
      <c r="A663" s="2" t="n">
        <v>662</v>
      </c>
      <c r="B663" s="2" t="s">
        <v>7244</v>
      </c>
      <c r="C663" s="2" t="n">
        <v>598.28017144</v>
      </c>
      <c r="D663" s="2" t="n">
        <v>2.32043460920289</v>
      </c>
      <c r="E663" s="2" t="s">
        <v>7245</v>
      </c>
      <c r="F663" s="2" t="s">
        <v>522</v>
      </c>
      <c r="G663" s="2" t="s">
        <v>7246</v>
      </c>
      <c r="H663" s="2" t="s">
        <v>7247</v>
      </c>
      <c r="I663" s="2" t="s">
        <v>7248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7249</v>
      </c>
      <c r="O663" s="2" t="s">
        <v>29</v>
      </c>
      <c r="P663" s="2" t="s">
        <v>7250</v>
      </c>
      <c r="Q663" s="2" t="s">
        <v>7251</v>
      </c>
      <c r="R663" s="2" t="s">
        <v>4189</v>
      </c>
      <c r="S663" s="2" t="s">
        <v>7252</v>
      </c>
      <c r="T663" s="2" t="s">
        <v>7253</v>
      </c>
      <c r="U663" s="2" t="s">
        <v>29</v>
      </c>
      <c r="V663" s="2" t="n">
        <v>1</v>
      </c>
    </row>
    <row r="664">
      <c r="A664" s="2" t="n">
        <v>663</v>
      </c>
      <c r="B664" s="2" t="s">
        <v>7254</v>
      </c>
      <c r="C664" s="2" t="n">
        <v>600.0533148</v>
      </c>
      <c r="D664" s="2" t="n">
        <v>5.85714841886198</v>
      </c>
      <c r="E664" s="2" t="s">
        <v>7255</v>
      </c>
      <c r="F664" s="2" t="s">
        <v>24</v>
      </c>
      <c r="G664" s="2" t="s">
        <v>7256</v>
      </c>
      <c r="H664" s="2" t="s">
        <v>7257</v>
      </c>
      <c r="I664" s="2" t="s">
        <v>7258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7259</v>
      </c>
      <c r="O664" s="2" t="s">
        <v>29</v>
      </c>
      <c r="P664" s="2" t="s">
        <v>7260</v>
      </c>
      <c r="Q664" s="2" t="s">
        <v>7261</v>
      </c>
      <c r="R664" s="2" t="s">
        <v>502</v>
      </c>
      <c r="S664" s="2" t="s">
        <v>503</v>
      </c>
      <c r="T664" s="2" t="s">
        <v>2174</v>
      </c>
      <c r="U664" s="2" t="s">
        <v>29</v>
      </c>
      <c r="V664" s="2" t="n">
        <v>1</v>
      </c>
    </row>
    <row r="665">
      <c r="A665" s="2" t="n">
        <v>664</v>
      </c>
      <c r="B665" s="2" t="s">
        <v>7262</v>
      </c>
      <c r="C665" s="2" t="n">
        <v>601.13289611</v>
      </c>
      <c r="D665" s="2" t="n">
        <v>0.689070277651472</v>
      </c>
      <c r="E665" s="2" t="s">
        <v>7263</v>
      </c>
      <c r="F665" s="2" t="s">
        <v>250</v>
      </c>
      <c r="G665" s="2" t="s">
        <v>7264</v>
      </c>
      <c r="H665" s="2" t="s">
        <v>7265</v>
      </c>
      <c r="I665" s="2" t="s">
        <v>7266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7267</v>
      </c>
      <c r="O665" s="2" t="s">
        <v>7268</v>
      </c>
      <c r="P665" s="2" t="s">
        <v>7269</v>
      </c>
      <c r="Q665" s="2" t="s">
        <v>7270</v>
      </c>
      <c r="R665" s="2" t="s">
        <v>64</v>
      </c>
      <c r="S665" s="2" t="s">
        <v>65</v>
      </c>
      <c r="T665" s="2" t="s">
        <v>66</v>
      </c>
      <c r="U665" s="2" t="s">
        <v>29</v>
      </c>
      <c r="V665" s="2" t="n">
        <v>1</v>
      </c>
    </row>
    <row r="666">
      <c r="A666" s="2" t="n">
        <v>665</v>
      </c>
      <c r="B666" s="2" t="s">
        <v>7271</v>
      </c>
      <c r="C666" s="2" t="n">
        <v>601.410427896</v>
      </c>
      <c r="D666" s="2" t="n">
        <v>0.299302751566594</v>
      </c>
      <c r="E666" s="2" t="s">
        <v>7272</v>
      </c>
      <c r="F666" s="2" t="s">
        <v>42</v>
      </c>
      <c r="G666" s="2" t="s">
        <v>7273</v>
      </c>
      <c r="H666" s="2" t="s">
        <v>7274</v>
      </c>
      <c r="I666" s="2" t="s">
        <v>7275</v>
      </c>
      <c r="J666" s="2" t="s">
        <v>7276</v>
      </c>
      <c r="K666" s="2" t="s">
        <v>226</v>
      </c>
      <c r="L666" s="2" t="s">
        <v>226</v>
      </c>
      <c r="M666" s="2" t="s">
        <v>7277</v>
      </c>
      <c r="N666" s="2" t="s">
        <v>7278</v>
      </c>
      <c r="O666" s="2" t="s">
        <v>7279</v>
      </c>
      <c r="P666" s="2" t="s">
        <v>7280</v>
      </c>
      <c r="Q666" s="2" t="s">
        <v>7281</v>
      </c>
      <c r="R666" s="2" t="s">
        <v>105</v>
      </c>
      <c r="S666" s="2" t="s">
        <v>7282</v>
      </c>
      <c r="T666" s="2" t="s">
        <v>7283</v>
      </c>
      <c r="U666" s="2" t="s">
        <v>29</v>
      </c>
      <c r="V666" s="2" t="n">
        <v>3</v>
      </c>
    </row>
    <row r="667">
      <c r="A667" s="2" t="n">
        <v>666</v>
      </c>
      <c r="B667" s="2" t="s">
        <v>7284</v>
      </c>
      <c r="C667" s="2" t="n">
        <v>603.002256208</v>
      </c>
      <c r="D667" s="2" t="n">
        <v>1.22872682737744</v>
      </c>
      <c r="E667" s="2" t="s">
        <v>7285</v>
      </c>
      <c r="F667" s="2" t="s">
        <v>1019</v>
      </c>
      <c r="G667" s="2" t="s">
        <v>7286</v>
      </c>
      <c r="H667" s="2" t="s">
        <v>7287</v>
      </c>
      <c r="I667" s="2" t="s">
        <v>7288</v>
      </c>
      <c r="J667" s="2" t="s">
        <v>72</v>
      </c>
      <c r="K667" s="2" t="s">
        <v>72</v>
      </c>
      <c r="L667" s="2" t="s">
        <v>72</v>
      </c>
      <c r="M667" s="2" t="s">
        <v>72</v>
      </c>
      <c r="N667" s="2" t="s">
        <v>7289</v>
      </c>
      <c r="O667" s="2" t="s">
        <v>72</v>
      </c>
      <c r="P667" s="2" t="s">
        <v>7290</v>
      </c>
      <c r="Q667" s="2" t="s">
        <v>7291</v>
      </c>
      <c r="R667" s="2" t="s">
        <v>575</v>
      </c>
      <c r="S667" s="2" t="s">
        <v>576</v>
      </c>
      <c r="T667" s="2" t="s">
        <v>2735</v>
      </c>
      <c r="U667" s="2" t="s">
        <v>29</v>
      </c>
      <c r="V667" s="2" t="n">
        <v>2</v>
      </c>
    </row>
    <row r="668">
      <c r="A668" s="2" t="n">
        <v>667</v>
      </c>
      <c r="B668" s="2" t="s">
        <v>7292</v>
      </c>
      <c r="C668" s="2" t="n">
        <v>603.075775162</v>
      </c>
      <c r="D668" s="2" t="n">
        <v>4.13267310088178</v>
      </c>
      <c r="E668" s="2" t="s">
        <v>7293</v>
      </c>
      <c r="F668" s="2" t="s">
        <v>250</v>
      </c>
      <c r="G668" s="2" t="s">
        <v>7294</v>
      </c>
      <c r="H668" s="2" t="s">
        <v>7295</v>
      </c>
      <c r="I668" s="2" t="s">
        <v>7296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7297</v>
      </c>
      <c r="Q668" s="2" t="s">
        <v>7298</v>
      </c>
      <c r="R668" s="2" t="s">
        <v>2509</v>
      </c>
      <c r="S668" s="2" t="s">
        <v>5520</v>
      </c>
      <c r="T668" s="2" t="s">
        <v>5664</v>
      </c>
      <c r="U668" s="2" t="s">
        <v>29</v>
      </c>
      <c r="V668" s="2" t="n">
        <v>1</v>
      </c>
    </row>
    <row r="669">
      <c r="A669" s="2" t="n">
        <v>668</v>
      </c>
      <c r="B669" s="2" t="s">
        <v>7299</v>
      </c>
      <c r="C669" s="2" t="n">
        <v>603.36685921</v>
      </c>
      <c r="D669" s="2" t="n">
        <v>0.956995917249557</v>
      </c>
      <c r="E669" s="2" t="s">
        <v>7300</v>
      </c>
      <c r="F669" s="2" t="s">
        <v>250</v>
      </c>
      <c r="G669" s="2" t="s">
        <v>7301</v>
      </c>
      <c r="H669" s="2" t="s">
        <v>7302</v>
      </c>
      <c r="I669" s="2" t="s">
        <v>7303</v>
      </c>
      <c r="J669" s="2" t="s">
        <v>7304</v>
      </c>
      <c r="K669" s="2" t="s">
        <v>29</v>
      </c>
      <c r="L669" s="2" t="s">
        <v>29</v>
      </c>
      <c r="M669" s="2" t="s">
        <v>7305</v>
      </c>
      <c r="N669" s="2" t="s">
        <v>7306</v>
      </c>
      <c r="O669" s="2" t="s">
        <v>7307</v>
      </c>
      <c r="P669" s="2" t="s">
        <v>7308</v>
      </c>
      <c r="Q669" s="2" t="s">
        <v>7309</v>
      </c>
      <c r="R669" s="2" t="s">
        <v>1490</v>
      </c>
      <c r="S669" s="2" t="s">
        <v>4971</v>
      </c>
      <c r="T669" s="2" t="s">
        <v>7310</v>
      </c>
      <c r="U669" s="2" t="s">
        <v>29</v>
      </c>
      <c r="V669" s="2" t="n">
        <v>1</v>
      </c>
    </row>
    <row r="670">
      <c r="A670" s="2" t="n">
        <v>669</v>
      </c>
      <c r="B670" s="2" t="s">
        <v>7311</v>
      </c>
      <c r="C670" s="2" t="n">
        <v>603.426623966</v>
      </c>
      <c r="D670" s="2" t="n">
        <v>1.17419915228611</v>
      </c>
      <c r="E670" s="2" t="s">
        <v>7312</v>
      </c>
      <c r="F670" s="2" t="s">
        <v>24</v>
      </c>
      <c r="G670" s="2" t="s">
        <v>7313</v>
      </c>
      <c r="H670" s="2" t="s">
        <v>7314</v>
      </c>
      <c r="I670" s="2" t="s">
        <v>7315</v>
      </c>
      <c r="J670" s="2" t="s">
        <v>7316</v>
      </c>
      <c r="K670" s="2" t="s">
        <v>29</v>
      </c>
      <c r="L670" s="2" t="s">
        <v>29</v>
      </c>
      <c r="M670" s="2" t="s">
        <v>29</v>
      </c>
      <c r="N670" s="2" t="s">
        <v>7317</v>
      </c>
      <c r="O670" s="2" t="s">
        <v>29</v>
      </c>
      <c r="P670" s="2" t="s">
        <v>7318</v>
      </c>
      <c r="Q670" s="2" t="s">
        <v>7319</v>
      </c>
      <c r="R670" s="2" t="s">
        <v>1490</v>
      </c>
      <c r="S670" s="2" t="s">
        <v>1491</v>
      </c>
      <c r="T670" s="2" t="s">
        <v>3437</v>
      </c>
      <c r="U670" s="2" t="s">
        <v>29</v>
      </c>
      <c r="V670" s="2" t="n">
        <v>1</v>
      </c>
    </row>
    <row r="671">
      <c r="A671" s="2" t="n">
        <v>670</v>
      </c>
      <c r="B671" s="2" t="s">
        <v>7320</v>
      </c>
      <c r="C671" s="2" t="n">
        <v>604.106506125</v>
      </c>
      <c r="D671" s="2" t="n">
        <v>5.53510676616736</v>
      </c>
      <c r="E671" s="2" t="s">
        <v>7321</v>
      </c>
      <c r="F671" s="2" t="s">
        <v>24</v>
      </c>
      <c r="G671" s="2" t="s">
        <v>7322</v>
      </c>
      <c r="H671" s="2" t="s">
        <v>7323</v>
      </c>
      <c r="I671" s="2" t="s">
        <v>7324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7325</v>
      </c>
      <c r="O671" s="2" t="s">
        <v>29</v>
      </c>
      <c r="P671" s="2" t="s">
        <v>7326</v>
      </c>
      <c r="Q671" s="2" t="s">
        <v>7327</v>
      </c>
      <c r="R671" s="2" t="s">
        <v>355</v>
      </c>
      <c r="S671" s="2" t="s">
        <v>1396</v>
      </c>
      <c r="T671" s="2" t="s">
        <v>7328</v>
      </c>
      <c r="U671" s="2" t="s">
        <v>29</v>
      </c>
      <c r="V671" s="2" t="n">
        <v>1</v>
      </c>
    </row>
    <row r="672">
      <c r="A672" s="2" t="n">
        <v>671</v>
      </c>
      <c r="B672" s="2" t="s">
        <v>7329</v>
      </c>
      <c r="C672" s="2" t="n">
        <v>605.439592992</v>
      </c>
      <c r="D672" s="2" t="n">
        <v>2.55818464058547</v>
      </c>
      <c r="E672" s="2" t="s">
        <v>7330</v>
      </c>
      <c r="F672" s="2" t="s">
        <v>110</v>
      </c>
      <c r="G672" s="2" t="s">
        <v>7331</v>
      </c>
      <c r="H672" s="2" t="s">
        <v>7332</v>
      </c>
      <c r="I672" s="2" t="s">
        <v>7333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7334</v>
      </c>
      <c r="O672" s="2" t="s">
        <v>29</v>
      </c>
      <c r="P672" s="2" t="s">
        <v>7335</v>
      </c>
      <c r="Q672" s="2" t="s">
        <v>7336</v>
      </c>
      <c r="R672" s="2" t="s">
        <v>49</v>
      </c>
      <c r="S672" s="2" t="s">
        <v>6532</v>
      </c>
      <c r="T672" s="2" t="s">
        <v>6533</v>
      </c>
      <c r="U672" s="2" t="s">
        <v>29</v>
      </c>
      <c r="V672" s="2" t="n">
        <v>1</v>
      </c>
    </row>
    <row r="673">
      <c r="A673" s="2" t="n">
        <v>672</v>
      </c>
      <c r="B673" s="2" t="s">
        <v>7337</v>
      </c>
      <c r="C673" s="2" t="n">
        <v>607.122392982</v>
      </c>
      <c r="D673" s="2" t="n">
        <v>5.29535243926526</v>
      </c>
      <c r="E673" s="2" t="s">
        <v>7338</v>
      </c>
      <c r="F673" s="2" t="s">
        <v>522</v>
      </c>
      <c r="G673" s="2" t="s">
        <v>7339</v>
      </c>
      <c r="H673" s="2" t="s">
        <v>7340</v>
      </c>
      <c r="I673" s="2" t="s">
        <v>7341</v>
      </c>
      <c r="J673" s="2" t="s">
        <v>7342</v>
      </c>
      <c r="K673" s="2" t="s">
        <v>29</v>
      </c>
      <c r="L673" s="2" t="s">
        <v>29</v>
      </c>
      <c r="M673" s="2" t="s">
        <v>29</v>
      </c>
      <c r="N673" s="2" t="s">
        <v>7343</v>
      </c>
      <c r="O673" s="2" t="s">
        <v>29</v>
      </c>
      <c r="P673" s="2" t="s">
        <v>7344</v>
      </c>
      <c r="Q673" s="2" t="s">
        <v>7345</v>
      </c>
      <c r="R673" s="2" t="s">
        <v>2509</v>
      </c>
      <c r="S673" s="2" t="s">
        <v>4720</v>
      </c>
      <c r="T673" s="2" t="s">
        <v>7346</v>
      </c>
      <c r="U673" s="2" t="s">
        <v>29</v>
      </c>
      <c r="V673" s="2" t="n">
        <v>1</v>
      </c>
    </row>
    <row r="674">
      <c r="A674" s="2" t="n">
        <v>673</v>
      </c>
      <c r="B674" s="2" t="s">
        <v>7347</v>
      </c>
      <c r="C674" s="2" t="n">
        <v>607.421538588</v>
      </c>
      <c r="D674" s="2" t="n">
        <v>3.04122948505057</v>
      </c>
      <c r="E674" s="2" t="s">
        <v>7348</v>
      </c>
      <c r="F674" s="2" t="s">
        <v>24</v>
      </c>
      <c r="G674" s="2" t="s">
        <v>7349</v>
      </c>
      <c r="H674" s="2" t="s">
        <v>7350</v>
      </c>
      <c r="I674" s="2" t="s">
        <v>7351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7352</v>
      </c>
      <c r="O674" s="2" t="s">
        <v>29</v>
      </c>
      <c r="P674" s="2" t="s">
        <v>7353</v>
      </c>
      <c r="Q674" s="2" t="s">
        <v>7354</v>
      </c>
      <c r="R674" s="2" t="s">
        <v>1490</v>
      </c>
      <c r="S674" s="2" t="s">
        <v>3546</v>
      </c>
      <c r="T674" s="2" t="s">
        <v>7355</v>
      </c>
      <c r="U674" s="2" t="s">
        <v>29</v>
      </c>
      <c r="V674" s="2" t="n">
        <v>1</v>
      </c>
    </row>
    <row r="675">
      <c r="A675" s="2" t="n">
        <v>674</v>
      </c>
      <c r="B675" s="2" t="s">
        <v>7356</v>
      </c>
      <c r="C675" s="2" t="n">
        <v>608.110084731</v>
      </c>
      <c r="D675" s="2" t="n">
        <v>4.66806711369287</v>
      </c>
      <c r="E675" s="2" t="s">
        <v>7357</v>
      </c>
      <c r="F675" s="2" t="s">
        <v>522</v>
      </c>
      <c r="G675" s="2" t="s">
        <v>7358</v>
      </c>
      <c r="H675" s="2" t="s">
        <v>7359</v>
      </c>
      <c r="I675" s="2" t="s">
        <v>7360</v>
      </c>
      <c r="J675" s="2" t="s">
        <v>29</v>
      </c>
      <c r="K675" s="2" t="s">
        <v>29</v>
      </c>
      <c r="L675" s="2" t="s">
        <v>7361</v>
      </c>
      <c r="M675" s="2" t="s">
        <v>29</v>
      </c>
      <c r="N675" s="2" t="s">
        <v>7362</v>
      </c>
      <c r="O675" s="2" t="s">
        <v>7363</v>
      </c>
      <c r="P675" s="2" t="s">
        <v>7364</v>
      </c>
      <c r="Q675" s="2" t="s">
        <v>7365</v>
      </c>
      <c r="R675" s="2" t="s">
        <v>2590</v>
      </c>
      <c r="S675" s="2" t="s">
        <v>6120</v>
      </c>
      <c r="T675" s="2" t="s">
        <v>7366</v>
      </c>
      <c r="U675" s="2" t="s">
        <v>39</v>
      </c>
      <c r="V675" s="2" t="n">
        <v>1</v>
      </c>
    </row>
    <row r="676">
      <c r="A676" s="2" t="n">
        <v>675</v>
      </c>
      <c r="B676" s="2" t="s">
        <v>7367</v>
      </c>
      <c r="C676" s="2" t="n">
        <v>609.392248874</v>
      </c>
      <c r="D676" s="2" t="n">
        <v>1.83408447008319</v>
      </c>
      <c r="E676" s="2" t="s">
        <v>7368</v>
      </c>
      <c r="F676" s="2" t="s">
        <v>110</v>
      </c>
      <c r="G676" s="2" t="s">
        <v>7369</v>
      </c>
      <c r="H676" s="2" t="s">
        <v>7370</v>
      </c>
      <c r="I676" s="2" t="s">
        <v>7371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7372</v>
      </c>
      <c r="O676" s="2" t="s">
        <v>29</v>
      </c>
      <c r="P676" s="2" t="s">
        <v>7373</v>
      </c>
      <c r="Q676" s="2" t="s">
        <v>7374</v>
      </c>
      <c r="R676" s="2" t="s">
        <v>1490</v>
      </c>
      <c r="S676" s="2" t="s">
        <v>3546</v>
      </c>
      <c r="T676" s="2" t="s">
        <v>7375</v>
      </c>
      <c r="U676" s="2" t="s">
        <v>29</v>
      </c>
      <c r="V676" s="2" t="n">
        <v>1</v>
      </c>
    </row>
    <row r="677">
      <c r="A677" s="2" t="n">
        <v>676</v>
      </c>
      <c r="B677" s="2" t="s">
        <v>7376</v>
      </c>
      <c r="C677" s="2" t="n">
        <v>611.407664987</v>
      </c>
      <c r="D677" s="2" t="n">
        <v>2.65344532834596</v>
      </c>
      <c r="E677" s="2" t="s">
        <v>7377</v>
      </c>
      <c r="F677" s="2" t="s">
        <v>42</v>
      </c>
      <c r="G677" s="2" t="s">
        <v>7378</v>
      </c>
      <c r="H677" s="2" t="s">
        <v>7379</v>
      </c>
      <c r="I677" s="2" t="s">
        <v>7380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7381</v>
      </c>
      <c r="O677" s="2" t="s">
        <v>29</v>
      </c>
      <c r="P677" s="2" t="s">
        <v>7382</v>
      </c>
      <c r="Q677" s="2" t="s">
        <v>7383</v>
      </c>
      <c r="R677" s="2" t="s">
        <v>1490</v>
      </c>
      <c r="S677" s="2" t="s">
        <v>4236</v>
      </c>
      <c r="T677" s="2" t="s">
        <v>5175</v>
      </c>
      <c r="U677" s="2" t="s">
        <v>29</v>
      </c>
      <c r="V677" s="2" t="n">
        <v>1</v>
      </c>
    </row>
    <row r="678">
      <c r="A678" s="2" t="n">
        <v>677</v>
      </c>
      <c r="B678" s="2" t="s">
        <v>7384</v>
      </c>
      <c r="C678" s="2" t="n">
        <v>616.163858185</v>
      </c>
      <c r="D678" s="2" t="n">
        <v>1.37126639574267</v>
      </c>
      <c r="E678" s="2" t="s">
        <v>7385</v>
      </c>
      <c r="F678" s="2" t="s">
        <v>522</v>
      </c>
      <c r="G678" s="2" t="s">
        <v>7386</v>
      </c>
      <c r="H678" s="2" t="s">
        <v>7387</v>
      </c>
      <c r="I678" s="2" t="s">
        <v>7388</v>
      </c>
      <c r="J678" s="2" t="s">
        <v>7389</v>
      </c>
      <c r="K678" s="2" t="s">
        <v>29</v>
      </c>
      <c r="L678" s="2" t="s">
        <v>7390</v>
      </c>
      <c r="M678" s="2" t="s">
        <v>29</v>
      </c>
      <c r="N678" s="2" t="s">
        <v>7391</v>
      </c>
      <c r="O678" s="2" t="s">
        <v>7392</v>
      </c>
      <c r="P678" s="2" t="s">
        <v>7393</v>
      </c>
      <c r="Q678" s="2" t="s">
        <v>7394</v>
      </c>
      <c r="R678" s="2" t="s">
        <v>502</v>
      </c>
      <c r="S678" s="2" t="s">
        <v>503</v>
      </c>
      <c r="T678" s="2" t="s">
        <v>5166</v>
      </c>
      <c r="U678" s="2" t="s">
        <v>39</v>
      </c>
      <c r="V678" s="2" t="n">
        <v>1</v>
      </c>
    </row>
    <row r="679">
      <c r="A679" s="2" t="n">
        <v>678</v>
      </c>
      <c r="B679" s="2" t="s">
        <v>7395</v>
      </c>
      <c r="C679" s="2" t="n">
        <v>616.284878947</v>
      </c>
      <c r="D679" s="2" t="n">
        <v>3.8738979833361</v>
      </c>
      <c r="E679" s="2" t="s">
        <v>7396</v>
      </c>
      <c r="F679" s="2" t="s">
        <v>24</v>
      </c>
      <c r="G679" s="2" t="s">
        <v>7397</v>
      </c>
      <c r="H679" s="2" t="s">
        <v>7398</v>
      </c>
      <c r="I679" s="2" t="s">
        <v>7399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7400</v>
      </c>
      <c r="O679" s="2" t="s">
        <v>7401</v>
      </c>
      <c r="P679" s="2" t="s">
        <v>7402</v>
      </c>
      <c r="Q679" s="2" t="s">
        <v>7403</v>
      </c>
      <c r="R679" s="2" t="s">
        <v>49</v>
      </c>
      <c r="S679" s="2" t="s">
        <v>165</v>
      </c>
      <c r="T679" s="2" t="s">
        <v>166</v>
      </c>
      <c r="U679" s="2" t="s">
        <v>29</v>
      </c>
      <c r="V679" s="2" t="n">
        <v>1</v>
      </c>
    </row>
    <row r="680">
      <c r="A680" s="2" t="n">
        <v>679</v>
      </c>
      <c r="B680" s="2" t="s">
        <v>7404</v>
      </c>
      <c r="C680" s="2" t="n">
        <v>617.1088028</v>
      </c>
      <c r="D680" s="2" t="n">
        <v>1.31311091315132</v>
      </c>
      <c r="E680" s="2" t="s">
        <v>7405</v>
      </c>
      <c r="F680" s="2" t="s">
        <v>522</v>
      </c>
      <c r="G680" s="2" t="s">
        <v>7406</v>
      </c>
      <c r="H680" s="2" t="s">
        <v>7407</v>
      </c>
      <c r="I680" s="2" t="s">
        <v>7408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7409</v>
      </c>
      <c r="O680" s="2" t="s">
        <v>29</v>
      </c>
      <c r="P680" s="2" t="s">
        <v>7410</v>
      </c>
      <c r="Q680" s="2" t="s">
        <v>7411</v>
      </c>
      <c r="R680" s="2" t="s">
        <v>49</v>
      </c>
      <c r="S680" s="2" t="s">
        <v>165</v>
      </c>
      <c r="T680" s="2" t="s">
        <v>166</v>
      </c>
      <c r="U680" s="2" t="s">
        <v>29</v>
      </c>
      <c r="V680" s="2" t="n">
        <v>1</v>
      </c>
    </row>
    <row r="681">
      <c r="A681" s="2" t="n">
        <v>680</v>
      </c>
      <c r="B681" s="2" t="s">
        <v>7412</v>
      </c>
      <c r="C681" s="2" t="n">
        <v>619.348771884</v>
      </c>
      <c r="D681" s="2" t="n">
        <v>2.07901830193618</v>
      </c>
      <c r="E681" s="2" t="s">
        <v>7413</v>
      </c>
      <c r="F681" s="2" t="s">
        <v>110</v>
      </c>
      <c r="G681" s="2" t="s">
        <v>7414</v>
      </c>
      <c r="H681" s="2" t="s">
        <v>7415</v>
      </c>
      <c r="I681" s="2" t="s">
        <v>7416</v>
      </c>
      <c r="J681" s="2" t="s">
        <v>7417</v>
      </c>
      <c r="K681" s="2" t="s">
        <v>72</v>
      </c>
      <c r="L681" s="2" t="s">
        <v>72</v>
      </c>
      <c r="M681" s="2" t="s">
        <v>72</v>
      </c>
      <c r="N681" s="2" t="s">
        <v>7418</v>
      </c>
      <c r="O681" s="2" t="s">
        <v>7419</v>
      </c>
      <c r="P681" s="2" t="s">
        <v>7420</v>
      </c>
      <c r="Q681" s="2" t="s">
        <v>7421</v>
      </c>
      <c r="R681" s="2" t="s">
        <v>575</v>
      </c>
      <c r="S681" s="2" t="s">
        <v>6794</v>
      </c>
      <c r="T681" s="2" t="s">
        <v>7422</v>
      </c>
      <c r="U681" s="2" t="s">
        <v>29</v>
      </c>
      <c r="V681" s="2" t="n">
        <v>2</v>
      </c>
    </row>
    <row r="682">
      <c r="A682" s="2" t="n">
        <v>681</v>
      </c>
      <c r="B682" s="2" t="s">
        <v>7423</v>
      </c>
      <c r="C682" s="2" t="n">
        <v>619.421538588</v>
      </c>
      <c r="D682" s="2" t="n">
        <v>2.30134224398587</v>
      </c>
      <c r="E682" s="2" t="s">
        <v>7424</v>
      </c>
      <c r="F682" s="2" t="s">
        <v>24</v>
      </c>
      <c r="G682" s="2" t="s">
        <v>7425</v>
      </c>
      <c r="H682" s="2" t="s">
        <v>7426</v>
      </c>
      <c r="I682" s="2" t="s">
        <v>7427</v>
      </c>
      <c r="J682" s="2" t="s">
        <v>7428</v>
      </c>
      <c r="K682" s="2" t="s">
        <v>7429</v>
      </c>
      <c r="L682" s="2" t="s">
        <v>226</v>
      </c>
      <c r="M682" s="2" t="s">
        <v>7430</v>
      </c>
      <c r="N682" s="2" t="s">
        <v>7431</v>
      </c>
      <c r="O682" s="2" t="s">
        <v>7432</v>
      </c>
      <c r="P682" s="2" t="s">
        <v>7433</v>
      </c>
      <c r="Q682" s="2" t="s">
        <v>7434</v>
      </c>
      <c r="R682" s="2" t="s">
        <v>105</v>
      </c>
      <c r="S682" s="2" t="s">
        <v>5580</v>
      </c>
      <c r="T682" s="2" t="s">
        <v>7435</v>
      </c>
      <c r="U682" s="2" t="s">
        <v>29</v>
      </c>
      <c r="V682" s="2" t="n">
        <v>3</v>
      </c>
    </row>
    <row r="683">
      <c r="A683" s="2" t="n">
        <v>682</v>
      </c>
      <c r="B683" s="2" t="s">
        <v>7436</v>
      </c>
      <c r="C683" s="2" t="n">
        <v>621.343292576</v>
      </c>
      <c r="D683" s="2" t="n">
        <v>8.54681095821754</v>
      </c>
      <c r="E683" s="2" t="s">
        <v>7437</v>
      </c>
      <c r="F683" s="2" t="s">
        <v>110</v>
      </c>
      <c r="G683" s="2" t="s">
        <v>7438</v>
      </c>
      <c r="H683" s="2" t="s">
        <v>7439</v>
      </c>
      <c r="I683" s="2" t="s">
        <v>7440</v>
      </c>
      <c r="J683" s="2" t="s">
        <v>7441</v>
      </c>
      <c r="K683" s="2" t="s">
        <v>29</v>
      </c>
      <c r="L683" s="2" t="s">
        <v>29</v>
      </c>
      <c r="M683" s="2" t="s">
        <v>29</v>
      </c>
      <c r="N683" s="2" t="s">
        <v>7442</v>
      </c>
      <c r="O683" s="2" t="s">
        <v>29</v>
      </c>
      <c r="P683" s="2" t="s">
        <v>7443</v>
      </c>
      <c r="Q683" s="2" t="s">
        <v>7444</v>
      </c>
      <c r="R683" s="2" t="s">
        <v>1490</v>
      </c>
      <c r="S683" s="2" t="s">
        <v>4971</v>
      </c>
      <c r="T683" s="2" t="s">
        <v>7445</v>
      </c>
      <c r="U683" s="2" t="s">
        <v>29</v>
      </c>
      <c r="V683" s="2" t="n">
        <v>1</v>
      </c>
    </row>
    <row r="684">
      <c r="A684" s="2" t="n">
        <v>683</v>
      </c>
      <c r="B684" s="2" t="s">
        <v>7446</v>
      </c>
      <c r="C684" s="2" t="n">
        <v>621.437188652</v>
      </c>
      <c r="D684" s="2" t="n">
        <v>1.42614767049832</v>
      </c>
      <c r="E684" s="2" t="s">
        <v>7447</v>
      </c>
      <c r="F684" s="2" t="s">
        <v>24</v>
      </c>
      <c r="G684" s="2" t="s">
        <v>7448</v>
      </c>
      <c r="H684" s="2" t="s">
        <v>7449</v>
      </c>
      <c r="I684" s="2" t="s">
        <v>7450</v>
      </c>
      <c r="J684" s="2" t="s">
        <v>7451</v>
      </c>
      <c r="K684" s="2" t="s">
        <v>226</v>
      </c>
      <c r="L684" s="2" t="s">
        <v>226</v>
      </c>
      <c r="M684" s="2" t="s">
        <v>226</v>
      </c>
      <c r="N684" s="2" t="s">
        <v>7452</v>
      </c>
      <c r="O684" s="2" t="s">
        <v>7453</v>
      </c>
      <c r="P684" s="2" t="s">
        <v>7454</v>
      </c>
      <c r="Q684" s="2" t="s">
        <v>7455</v>
      </c>
      <c r="R684" s="2" t="s">
        <v>105</v>
      </c>
      <c r="S684" s="2" t="s">
        <v>5580</v>
      </c>
      <c r="T684" s="2" t="s">
        <v>7435</v>
      </c>
      <c r="U684" s="2" t="s">
        <v>29</v>
      </c>
      <c r="V684" s="2" t="n">
        <v>3</v>
      </c>
    </row>
    <row r="685">
      <c r="A685" s="2" t="n">
        <v>684</v>
      </c>
      <c r="B685" s="2" t="s">
        <v>7456</v>
      </c>
      <c r="C685" s="2" t="n">
        <v>622.022172957</v>
      </c>
      <c r="D685" s="2" t="n">
        <v>1.61615413217062</v>
      </c>
      <c r="E685" s="2" t="s">
        <v>7457</v>
      </c>
      <c r="F685" s="2" t="s">
        <v>360</v>
      </c>
      <c r="G685" s="2" t="s">
        <v>7458</v>
      </c>
      <c r="H685" s="2" t="s">
        <v>7459</v>
      </c>
      <c r="I685" s="2" t="s">
        <v>7460</v>
      </c>
      <c r="J685" s="2" t="s">
        <v>7461</v>
      </c>
      <c r="K685" s="2" t="s">
        <v>29</v>
      </c>
      <c r="L685" s="2" t="s">
        <v>7462</v>
      </c>
      <c r="M685" s="2" t="s">
        <v>7463</v>
      </c>
      <c r="N685" s="2" t="s">
        <v>7464</v>
      </c>
      <c r="O685" s="2" t="s">
        <v>29</v>
      </c>
      <c r="P685" s="2" t="s">
        <v>7465</v>
      </c>
      <c r="Q685" s="2" t="s">
        <v>7466</v>
      </c>
      <c r="R685" s="2" t="s">
        <v>2590</v>
      </c>
      <c r="S685" s="2" t="s">
        <v>4599</v>
      </c>
      <c r="T685" s="2" t="s">
        <v>7467</v>
      </c>
      <c r="U685" s="2" t="s">
        <v>39</v>
      </c>
      <c r="V685" s="2" t="n">
        <v>1</v>
      </c>
    </row>
    <row r="686">
      <c r="A686" s="2" t="n">
        <v>685</v>
      </c>
      <c r="B686" s="2" t="s">
        <v>7468</v>
      </c>
      <c r="C686" s="2" t="n">
        <v>623.102357275</v>
      </c>
      <c r="D686" s="2" t="n">
        <v>3.48228635218268</v>
      </c>
      <c r="E686" s="2" t="s">
        <v>7469</v>
      </c>
      <c r="F686" s="2" t="s">
        <v>522</v>
      </c>
      <c r="G686" s="2" t="s">
        <v>7470</v>
      </c>
      <c r="H686" s="2" t="s">
        <v>7471</v>
      </c>
      <c r="I686" s="2" t="s">
        <v>7472</v>
      </c>
      <c r="J686" s="2" t="s">
        <v>72</v>
      </c>
      <c r="K686" s="2" t="s">
        <v>72</v>
      </c>
      <c r="L686" s="2" t="s">
        <v>72</v>
      </c>
      <c r="M686" s="2" t="s">
        <v>72</v>
      </c>
      <c r="N686" s="2" t="s">
        <v>7473</v>
      </c>
      <c r="O686" s="2" t="s">
        <v>72</v>
      </c>
      <c r="P686" s="2" t="s">
        <v>7474</v>
      </c>
      <c r="Q686" s="2" t="s">
        <v>7475</v>
      </c>
      <c r="R686" s="2" t="s">
        <v>4405</v>
      </c>
      <c r="S686" s="2" t="s">
        <v>7476</v>
      </c>
      <c r="T686" s="2" t="s">
        <v>7477</v>
      </c>
      <c r="U686" s="2" t="s">
        <v>29</v>
      </c>
      <c r="V686" s="2" t="n">
        <v>2</v>
      </c>
    </row>
    <row r="687">
      <c r="A687" s="2" t="n">
        <v>686</v>
      </c>
      <c r="B687" s="2" t="s">
        <v>7478</v>
      </c>
      <c r="C687" s="2" t="n">
        <v>624.064044726</v>
      </c>
      <c r="D687" s="2" t="n">
        <v>2.03126750618325</v>
      </c>
      <c r="E687" s="2" t="s">
        <v>7479</v>
      </c>
      <c r="F687" s="2" t="s">
        <v>250</v>
      </c>
      <c r="G687" s="2" t="s">
        <v>7480</v>
      </c>
      <c r="H687" s="2" t="s">
        <v>7481</v>
      </c>
      <c r="I687" s="2" t="s">
        <v>7482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7483</v>
      </c>
      <c r="O687" s="2" t="s">
        <v>29</v>
      </c>
      <c r="P687" s="2" t="s">
        <v>7484</v>
      </c>
      <c r="Q687" s="2" t="s">
        <v>7485</v>
      </c>
      <c r="R687" s="2" t="s">
        <v>502</v>
      </c>
      <c r="S687" s="2" t="s">
        <v>503</v>
      </c>
      <c r="T687" s="2" t="s">
        <v>5166</v>
      </c>
      <c r="U687" s="2" t="s">
        <v>29</v>
      </c>
      <c r="V687" s="2" t="n">
        <v>1</v>
      </c>
    </row>
    <row r="688">
      <c r="A688" s="2" t="n">
        <v>687</v>
      </c>
      <c r="B688" s="2" t="s">
        <v>7486</v>
      </c>
      <c r="C688" s="2" t="n">
        <v>627.0643516</v>
      </c>
      <c r="D688" s="2" t="n">
        <v>3.65104392592623</v>
      </c>
      <c r="E688" s="2" t="s">
        <v>7487</v>
      </c>
      <c r="F688" s="2" t="s">
        <v>250</v>
      </c>
      <c r="G688" s="2" t="s">
        <v>7488</v>
      </c>
      <c r="H688" s="2" t="s">
        <v>7489</v>
      </c>
      <c r="I688" s="2" t="s">
        <v>7490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7491</v>
      </c>
      <c r="O688" s="2" t="s">
        <v>29</v>
      </c>
      <c r="P688" s="2" t="s">
        <v>7492</v>
      </c>
      <c r="Q688" s="2" t="s">
        <v>7493</v>
      </c>
      <c r="R688" s="2" t="s">
        <v>49</v>
      </c>
      <c r="S688" s="2" t="s">
        <v>165</v>
      </c>
      <c r="T688" s="2" t="s">
        <v>166</v>
      </c>
      <c r="U688" s="2" t="s">
        <v>29</v>
      </c>
      <c r="V688" s="2" t="n">
        <v>1</v>
      </c>
    </row>
    <row r="689">
      <c r="A689" s="2" t="n">
        <v>688</v>
      </c>
      <c r="B689" s="2" t="s">
        <v>7494</v>
      </c>
      <c r="C689" s="2" t="n">
        <v>628.202647411</v>
      </c>
      <c r="D689" s="2" t="n">
        <v>9.75954367420878</v>
      </c>
      <c r="E689" s="2" t="s">
        <v>7495</v>
      </c>
      <c r="F689" s="2" t="s">
        <v>250</v>
      </c>
      <c r="G689" s="2" t="s">
        <v>7496</v>
      </c>
      <c r="H689" s="2" t="s">
        <v>7497</v>
      </c>
      <c r="I689" s="2" t="s">
        <v>7498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7499</v>
      </c>
      <c r="O689" s="2" t="s">
        <v>29</v>
      </c>
      <c r="P689" s="2" t="s">
        <v>7500</v>
      </c>
      <c r="Q689" s="2" t="s">
        <v>7501</v>
      </c>
      <c r="R689" s="2" t="s">
        <v>49</v>
      </c>
      <c r="S689" s="2" t="s">
        <v>6532</v>
      </c>
      <c r="T689" s="2" t="s">
        <v>7502</v>
      </c>
      <c r="U689" s="2" t="s">
        <v>29</v>
      </c>
      <c r="V689" s="2" t="n">
        <v>1</v>
      </c>
    </row>
    <row r="690">
      <c r="A690" s="2" t="n">
        <v>689</v>
      </c>
      <c r="B690" s="2" t="s">
        <v>7503</v>
      </c>
      <c r="C690" s="2" t="n">
        <v>628.349893325</v>
      </c>
      <c r="D690" s="2" t="n">
        <v>9.61953726614341</v>
      </c>
      <c r="E690" s="2" t="s">
        <v>7504</v>
      </c>
      <c r="F690" s="2" t="s">
        <v>42</v>
      </c>
      <c r="G690" s="2" t="s">
        <v>7505</v>
      </c>
      <c r="H690" s="2" t="s">
        <v>7506</v>
      </c>
      <c r="I690" s="2" t="s">
        <v>7507</v>
      </c>
      <c r="J690" s="2" t="s">
        <v>29</v>
      </c>
      <c r="K690" s="2" t="s">
        <v>29</v>
      </c>
      <c r="L690" s="2" t="s">
        <v>7508</v>
      </c>
      <c r="M690" s="2" t="s">
        <v>29</v>
      </c>
      <c r="N690" s="2" t="s">
        <v>7509</v>
      </c>
      <c r="O690" s="2" t="s">
        <v>7510</v>
      </c>
      <c r="P690" s="2" t="s">
        <v>7511</v>
      </c>
      <c r="Q690" s="2" t="s">
        <v>7512</v>
      </c>
      <c r="R690" s="2" t="s">
        <v>49</v>
      </c>
      <c r="S690" s="2" t="s">
        <v>165</v>
      </c>
      <c r="T690" s="2" t="s">
        <v>166</v>
      </c>
      <c r="U690" s="2" t="s">
        <v>39</v>
      </c>
      <c r="V690" s="2" t="n">
        <v>1</v>
      </c>
    </row>
    <row r="691">
      <c r="A691" s="2" t="n">
        <v>690</v>
      </c>
      <c r="B691" s="2" t="s">
        <v>7513</v>
      </c>
      <c r="C691" s="2" t="n">
        <v>629.18757547</v>
      </c>
      <c r="D691" s="2" t="n">
        <v>1.22679350495024</v>
      </c>
      <c r="E691" s="2" t="s">
        <v>7514</v>
      </c>
      <c r="F691" s="2" t="s">
        <v>24</v>
      </c>
      <c r="G691" s="2" t="s">
        <v>7515</v>
      </c>
      <c r="H691" s="2" t="s">
        <v>7516</v>
      </c>
      <c r="I691" s="2" t="s">
        <v>7517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7518</v>
      </c>
      <c r="O691" s="2" t="s">
        <v>29</v>
      </c>
      <c r="P691" s="2" t="s">
        <v>7519</v>
      </c>
      <c r="Q691" s="2" t="s">
        <v>7520</v>
      </c>
      <c r="R691" s="2" t="s">
        <v>1490</v>
      </c>
      <c r="S691" s="2" t="s">
        <v>4971</v>
      </c>
      <c r="T691" s="2" t="s">
        <v>5010</v>
      </c>
      <c r="U691" s="2" t="s">
        <v>29</v>
      </c>
      <c r="V691" s="2" t="n">
        <v>1</v>
      </c>
    </row>
    <row r="692">
      <c r="A692" s="2" t="n">
        <v>691</v>
      </c>
      <c r="B692" s="2" t="s">
        <v>7521</v>
      </c>
      <c r="C692" s="2" t="n">
        <v>629.472240301</v>
      </c>
      <c r="D692" s="2" t="n">
        <v>0.347149318116158</v>
      </c>
      <c r="E692" s="2" t="s">
        <v>7522</v>
      </c>
      <c r="F692" s="2" t="s">
        <v>42</v>
      </c>
      <c r="G692" s="2" t="s">
        <v>7523</v>
      </c>
      <c r="H692" s="2" t="s">
        <v>7524</v>
      </c>
      <c r="I692" s="2" t="s">
        <v>7525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7526</v>
      </c>
      <c r="O692" s="2" t="s">
        <v>29</v>
      </c>
      <c r="P692" s="2" t="s">
        <v>7527</v>
      </c>
      <c r="Q692" s="2" t="s">
        <v>7528</v>
      </c>
      <c r="R692" s="2" t="s">
        <v>1490</v>
      </c>
      <c r="S692" s="2" t="s">
        <v>4971</v>
      </c>
      <c r="T692" s="2" t="s">
        <v>7529</v>
      </c>
      <c r="U692" s="2" t="s">
        <v>29</v>
      </c>
      <c r="V692" s="2" t="n">
        <v>1</v>
      </c>
    </row>
    <row r="693">
      <c r="A693" s="2" t="n">
        <v>692</v>
      </c>
      <c r="B693" s="2" t="s">
        <v>7530</v>
      </c>
      <c r="C693" s="2" t="n">
        <v>630.179236844</v>
      </c>
      <c r="D693" s="2" t="n">
        <v>1.4425436314929</v>
      </c>
      <c r="E693" s="2" t="s">
        <v>7531</v>
      </c>
      <c r="F693" s="2" t="s">
        <v>24</v>
      </c>
      <c r="G693" s="2" t="s">
        <v>7532</v>
      </c>
      <c r="H693" s="2" t="s">
        <v>7533</v>
      </c>
      <c r="I693" s="2" t="s">
        <v>7534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7535</v>
      </c>
      <c r="O693" s="2" t="s">
        <v>29</v>
      </c>
      <c r="P693" s="2" t="s">
        <v>7536</v>
      </c>
      <c r="Q693" s="2" t="s">
        <v>7537</v>
      </c>
      <c r="R693" s="2" t="s">
        <v>64</v>
      </c>
      <c r="S693" s="2" t="s">
        <v>65</v>
      </c>
      <c r="T693" s="2" t="s">
        <v>66</v>
      </c>
      <c r="U693" s="2" t="s">
        <v>29</v>
      </c>
      <c r="V693" s="2" t="n">
        <v>1</v>
      </c>
    </row>
    <row r="694">
      <c r="A694" s="2" t="n">
        <v>693</v>
      </c>
      <c r="B694" s="2" t="s">
        <v>7538</v>
      </c>
      <c r="C694" s="2" t="n">
        <v>632.118449755</v>
      </c>
      <c r="D694" s="2" t="n">
        <v>1.24491940628943</v>
      </c>
      <c r="E694" s="2" t="s">
        <v>7539</v>
      </c>
      <c r="F694" s="2" t="s">
        <v>250</v>
      </c>
      <c r="G694" s="2" t="s">
        <v>7540</v>
      </c>
      <c r="H694" s="2" t="s">
        <v>7541</v>
      </c>
      <c r="I694" s="2" t="s">
        <v>7542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7543</v>
      </c>
      <c r="Q694" s="2" t="s">
        <v>7544</v>
      </c>
      <c r="R694" s="2" t="s">
        <v>502</v>
      </c>
      <c r="S694" s="2" t="s">
        <v>503</v>
      </c>
      <c r="T694" s="2" t="s">
        <v>3450</v>
      </c>
      <c r="U694" s="2" t="s">
        <v>29</v>
      </c>
      <c r="V694" s="2" t="n">
        <v>1</v>
      </c>
    </row>
    <row r="695">
      <c r="A695" s="2" t="n">
        <v>694</v>
      </c>
      <c r="B695" s="2" t="s">
        <v>7545</v>
      </c>
      <c r="C695" s="2" t="n">
        <v>633.028298862</v>
      </c>
      <c r="D695" s="2" t="n">
        <v>4.9610546295423</v>
      </c>
      <c r="E695" s="2" t="s">
        <v>7546</v>
      </c>
      <c r="F695" s="2" t="s">
        <v>1019</v>
      </c>
      <c r="G695" s="2" t="s">
        <v>7547</v>
      </c>
      <c r="H695" s="2" t="s">
        <v>7548</v>
      </c>
      <c r="I695" s="2" t="s">
        <v>7549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7550</v>
      </c>
      <c r="O695" s="2" t="s">
        <v>29</v>
      </c>
      <c r="P695" s="2" t="s">
        <v>7551</v>
      </c>
      <c r="Q695" s="2" t="s">
        <v>7552</v>
      </c>
      <c r="R695" s="2" t="s">
        <v>64</v>
      </c>
      <c r="S695" s="2" t="s">
        <v>1083</v>
      </c>
      <c r="T695" s="2" t="s">
        <v>5320</v>
      </c>
      <c r="U695" s="2" t="s">
        <v>29</v>
      </c>
      <c r="V695" s="2" t="n">
        <v>1</v>
      </c>
    </row>
    <row r="696">
      <c r="A696" s="2" t="n">
        <v>695</v>
      </c>
      <c r="B696" s="2" t="s">
        <v>7553</v>
      </c>
      <c r="C696" s="2" t="n">
        <v>633.124975213</v>
      </c>
      <c r="D696" s="2" t="n">
        <v>5.55798523065699</v>
      </c>
      <c r="E696" s="2" t="s">
        <v>7554</v>
      </c>
      <c r="F696" s="2" t="s">
        <v>24</v>
      </c>
      <c r="G696" s="2" t="s">
        <v>7555</v>
      </c>
      <c r="H696" s="2" t="s">
        <v>7556</v>
      </c>
      <c r="I696" s="2" t="s">
        <v>7557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7558</v>
      </c>
      <c r="O696" s="2" t="s">
        <v>29</v>
      </c>
      <c r="P696" s="2" t="s">
        <v>7559</v>
      </c>
      <c r="Q696" s="2" t="s">
        <v>7560</v>
      </c>
      <c r="R696" s="2" t="s">
        <v>2509</v>
      </c>
      <c r="S696" s="2" t="s">
        <v>5520</v>
      </c>
      <c r="T696" s="2" t="s">
        <v>7136</v>
      </c>
      <c r="U696" s="2" t="s">
        <v>29</v>
      </c>
      <c r="V696" s="2" t="n">
        <v>1</v>
      </c>
    </row>
    <row r="697">
      <c r="A697" s="2" t="n">
        <v>696</v>
      </c>
      <c r="B697" s="2" t="s">
        <v>7561</v>
      </c>
      <c r="C697" s="2" t="n">
        <v>637.366526838</v>
      </c>
      <c r="D697" s="2" t="n">
        <v>3.04644219102695</v>
      </c>
      <c r="E697" s="2" t="s">
        <v>7562</v>
      </c>
      <c r="F697" s="2" t="s">
        <v>522</v>
      </c>
      <c r="G697" s="2" t="s">
        <v>7563</v>
      </c>
      <c r="H697" s="2" t="s">
        <v>7564</v>
      </c>
      <c r="I697" s="2" t="s">
        <v>7565</v>
      </c>
      <c r="J697" s="2" t="s">
        <v>226</v>
      </c>
      <c r="K697" s="2" t="s">
        <v>226</v>
      </c>
      <c r="L697" s="2" t="s">
        <v>226</v>
      </c>
      <c r="M697" s="2" t="s">
        <v>226</v>
      </c>
      <c r="N697" s="2" t="s">
        <v>7566</v>
      </c>
      <c r="O697" s="2" t="s">
        <v>226</v>
      </c>
      <c r="P697" s="2" t="s">
        <v>7567</v>
      </c>
      <c r="Q697" s="2" t="s">
        <v>7568</v>
      </c>
      <c r="R697" s="2" t="s">
        <v>105</v>
      </c>
      <c r="S697" s="2" t="s">
        <v>1614</v>
      </c>
      <c r="T697" s="2" t="s">
        <v>5890</v>
      </c>
      <c r="U697" s="2" t="s">
        <v>29</v>
      </c>
      <c r="V697" s="2" t="n">
        <v>3</v>
      </c>
    </row>
    <row r="698">
      <c r="A698" s="2" t="n">
        <v>697</v>
      </c>
      <c r="B698" s="2" t="s">
        <v>7569</v>
      </c>
      <c r="C698" s="2" t="n">
        <v>640.0693438</v>
      </c>
      <c r="D698" s="2" t="n">
        <v>0.390502811428726</v>
      </c>
      <c r="E698" s="2" t="s">
        <v>7570</v>
      </c>
      <c r="F698" s="2" t="s">
        <v>360</v>
      </c>
      <c r="G698" s="2" t="s">
        <v>7571</v>
      </c>
      <c r="H698" s="2" t="s">
        <v>7572</v>
      </c>
      <c r="I698" s="2" t="s">
        <v>7573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7574</v>
      </c>
      <c r="O698" s="2" t="s">
        <v>29</v>
      </c>
      <c r="P698" s="2" t="s">
        <v>7575</v>
      </c>
      <c r="Q698" s="2" t="s">
        <v>7576</v>
      </c>
      <c r="R698" s="2" t="s">
        <v>49</v>
      </c>
      <c r="S698" s="2" t="s">
        <v>165</v>
      </c>
      <c r="T698" s="2" t="s">
        <v>166</v>
      </c>
      <c r="U698" s="2" t="s">
        <v>29</v>
      </c>
      <c r="V698" s="2" t="n">
        <v>1</v>
      </c>
    </row>
    <row r="699">
      <c r="A699" s="2" t="n">
        <v>698</v>
      </c>
      <c r="B699" s="2" t="s">
        <v>7577</v>
      </c>
      <c r="C699" s="2" t="n">
        <v>640.203559887</v>
      </c>
      <c r="D699" s="2" t="n">
        <v>7.09091590889547</v>
      </c>
      <c r="E699" s="2" t="s">
        <v>7578</v>
      </c>
      <c r="F699" s="2" t="s">
        <v>24</v>
      </c>
      <c r="G699" s="2" t="s">
        <v>7579</v>
      </c>
      <c r="H699" s="2" t="s">
        <v>7580</v>
      </c>
      <c r="I699" s="2" t="s">
        <v>7581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7582</v>
      </c>
      <c r="O699" s="2" t="s">
        <v>29</v>
      </c>
      <c r="P699" s="2" t="s">
        <v>7583</v>
      </c>
      <c r="Q699" s="2" t="s">
        <v>7584</v>
      </c>
      <c r="R699" s="2" t="s">
        <v>2509</v>
      </c>
      <c r="S699" s="2" t="s">
        <v>6605</v>
      </c>
      <c r="T699" s="2" t="s">
        <v>205</v>
      </c>
      <c r="U699" s="2" t="s">
        <v>29</v>
      </c>
      <c r="V699" s="2" t="n">
        <v>1</v>
      </c>
    </row>
    <row r="700">
      <c r="A700" s="2" t="n">
        <v>699</v>
      </c>
      <c r="B700" s="2" t="s">
        <v>7585</v>
      </c>
      <c r="C700" s="2" t="n">
        <v>641.172319354</v>
      </c>
      <c r="D700" s="2" t="n">
        <v>1.07240199437909</v>
      </c>
      <c r="E700" s="2" t="s">
        <v>7586</v>
      </c>
      <c r="F700" s="2" t="s">
        <v>24</v>
      </c>
      <c r="G700" s="2" t="s">
        <v>7587</v>
      </c>
      <c r="H700" s="2" t="s">
        <v>7588</v>
      </c>
      <c r="I700" s="2" t="s">
        <v>7589</v>
      </c>
      <c r="J700" s="2" t="s">
        <v>7590</v>
      </c>
      <c r="K700" s="2" t="s">
        <v>7591</v>
      </c>
      <c r="L700" s="2" t="s">
        <v>7592</v>
      </c>
      <c r="M700" s="2" t="s">
        <v>7593</v>
      </c>
      <c r="N700" s="2" t="s">
        <v>7594</v>
      </c>
      <c r="O700" s="2" t="s">
        <v>7595</v>
      </c>
      <c r="P700" s="2" t="s">
        <v>7596</v>
      </c>
      <c r="Q700" s="2" t="s">
        <v>7597</v>
      </c>
      <c r="R700" s="2" t="s">
        <v>7598</v>
      </c>
      <c r="S700" s="2" t="s">
        <v>7599</v>
      </c>
      <c r="T700" s="2" t="s">
        <v>7600</v>
      </c>
      <c r="U700" s="2" t="s">
        <v>39</v>
      </c>
      <c r="V700" s="2" t="n">
        <v>3</v>
      </c>
    </row>
    <row r="701">
      <c r="A701" s="2" t="n">
        <v>700</v>
      </c>
      <c r="B701" s="2" t="s">
        <v>7601</v>
      </c>
      <c r="C701" s="2" t="n">
        <v>643.158778488</v>
      </c>
      <c r="D701" s="2" t="n">
        <v>6.20143348979074</v>
      </c>
      <c r="E701" s="2" t="s">
        <v>7602</v>
      </c>
      <c r="F701" s="2" t="s">
        <v>522</v>
      </c>
      <c r="G701" s="2" t="s">
        <v>7603</v>
      </c>
      <c r="H701" s="2" t="s">
        <v>7604</v>
      </c>
      <c r="I701" s="2" t="s">
        <v>7605</v>
      </c>
      <c r="J701" s="2" t="s">
        <v>7606</v>
      </c>
      <c r="K701" s="2" t="s">
        <v>29</v>
      </c>
      <c r="L701" s="2" t="s">
        <v>29</v>
      </c>
      <c r="M701" s="2" t="s">
        <v>29</v>
      </c>
      <c r="N701" s="2" t="s">
        <v>7607</v>
      </c>
      <c r="O701" s="2" t="s">
        <v>7608</v>
      </c>
      <c r="P701" s="2" t="s">
        <v>7609</v>
      </c>
      <c r="Q701" s="2" t="s">
        <v>7610</v>
      </c>
      <c r="R701" s="2" t="s">
        <v>64</v>
      </c>
      <c r="S701" s="2" t="s">
        <v>65</v>
      </c>
      <c r="T701" s="2" t="s">
        <v>66</v>
      </c>
      <c r="U701" s="2" t="s">
        <v>29</v>
      </c>
      <c r="V701" s="2" t="n">
        <v>1</v>
      </c>
    </row>
    <row r="702">
      <c r="A702" s="2" t="n">
        <v>701</v>
      </c>
      <c r="B702" s="2" t="s">
        <v>7611</v>
      </c>
      <c r="C702" s="2" t="n">
        <v>643.26795538</v>
      </c>
      <c r="D702" s="2" t="n">
        <v>0.329376746063263</v>
      </c>
      <c r="E702" s="2" t="s">
        <v>7612</v>
      </c>
      <c r="F702" s="2" t="s">
        <v>1019</v>
      </c>
      <c r="G702" s="2" t="s">
        <v>7613</v>
      </c>
      <c r="H702" s="2" t="s">
        <v>7614</v>
      </c>
      <c r="I702" s="2" t="s">
        <v>7615</v>
      </c>
      <c r="J702" s="2" t="s">
        <v>7616</v>
      </c>
      <c r="K702" s="2" t="s">
        <v>226</v>
      </c>
      <c r="L702" s="2" t="s">
        <v>226</v>
      </c>
      <c r="M702" s="2" t="s">
        <v>7617</v>
      </c>
      <c r="N702" s="2" t="s">
        <v>7618</v>
      </c>
      <c r="O702" s="2" t="s">
        <v>7619</v>
      </c>
      <c r="P702" s="2" t="s">
        <v>7620</v>
      </c>
      <c r="Q702" s="2" t="s">
        <v>7621</v>
      </c>
      <c r="R702" s="2" t="s">
        <v>7622</v>
      </c>
      <c r="S702" s="2" t="s">
        <v>7623</v>
      </c>
      <c r="T702" s="2" t="s">
        <v>7624</v>
      </c>
      <c r="U702" s="2" t="s">
        <v>29</v>
      </c>
      <c r="V702" s="2" t="n">
        <v>3</v>
      </c>
    </row>
    <row r="703">
      <c r="A703" s="2" t="n">
        <v>702</v>
      </c>
      <c r="B703" s="2" t="s">
        <v>7625</v>
      </c>
      <c r="C703" s="2" t="n">
        <v>643.36183539</v>
      </c>
      <c r="D703" s="2" t="n">
        <v>3.87387851208431</v>
      </c>
      <c r="E703" s="2" t="s">
        <v>7626</v>
      </c>
      <c r="F703" s="2" t="s">
        <v>522</v>
      </c>
      <c r="G703" s="2" t="s">
        <v>7627</v>
      </c>
      <c r="H703" s="2" t="s">
        <v>7628</v>
      </c>
      <c r="I703" s="2" t="s">
        <v>7629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7630</v>
      </c>
      <c r="O703" s="2" t="s">
        <v>7631</v>
      </c>
      <c r="P703" s="2" t="s">
        <v>7632</v>
      </c>
      <c r="Q703" s="2" t="s">
        <v>7633</v>
      </c>
      <c r="R703" s="2" t="s">
        <v>1490</v>
      </c>
      <c r="S703" s="2" t="s">
        <v>3546</v>
      </c>
      <c r="T703" s="2" t="s">
        <v>7355</v>
      </c>
      <c r="U703" s="2" t="s">
        <v>29</v>
      </c>
      <c r="V703" s="2" t="n">
        <v>1</v>
      </c>
    </row>
    <row r="704">
      <c r="A704" s="2" t="n">
        <v>703</v>
      </c>
      <c r="B704" s="2" t="s">
        <v>7634</v>
      </c>
      <c r="C704" s="2" t="n">
        <v>644.150911497</v>
      </c>
      <c r="D704" s="2" t="n">
        <v>1.25053539597514</v>
      </c>
      <c r="E704" s="2" t="s">
        <v>7635</v>
      </c>
      <c r="F704" s="2" t="s">
        <v>360</v>
      </c>
      <c r="G704" s="2" t="s">
        <v>7636</v>
      </c>
      <c r="H704" s="2" t="s">
        <v>7637</v>
      </c>
      <c r="I704" s="2" t="s">
        <v>7638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7639</v>
      </c>
      <c r="Q704" s="2" t="s">
        <v>7640</v>
      </c>
      <c r="R704" s="2" t="s">
        <v>502</v>
      </c>
      <c r="S704" s="2" t="s">
        <v>503</v>
      </c>
      <c r="T704" s="2" t="s">
        <v>7641</v>
      </c>
      <c r="U704" s="2" t="s">
        <v>29</v>
      </c>
      <c r="V704" s="2" t="n">
        <v>1</v>
      </c>
    </row>
    <row r="705">
      <c r="A705" s="2" t="n">
        <v>704</v>
      </c>
      <c r="B705" s="2" t="s">
        <v>7642</v>
      </c>
      <c r="C705" s="2" t="n">
        <v>647.1438107</v>
      </c>
      <c r="D705" s="2" t="n">
        <v>0.350828528192761</v>
      </c>
      <c r="E705" s="2" t="s">
        <v>7643</v>
      </c>
      <c r="F705" s="2" t="s">
        <v>110</v>
      </c>
      <c r="G705" s="2" t="s">
        <v>7644</v>
      </c>
      <c r="H705" s="2" t="s">
        <v>7645</v>
      </c>
      <c r="I705" s="2" t="s">
        <v>7646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7647</v>
      </c>
      <c r="Q705" s="2" t="s">
        <v>7648</v>
      </c>
      <c r="R705" s="2" t="s">
        <v>355</v>
      </c>
      <c r="S705" s="2" t="s">
        <v>5131</v>
      </c>
      <c r="T705" s="2" t="s">
        <v>5132</v>
      </c>
      <c r="U705" s="2" t="s">
        <v>29</v>
      </c>
      <c r="V705" s="2" t="n">
        <v>1</v>
      </c>
    </row>
    <row r="706">
      <c r="A706" s="2" t="n">
        <v>705</v>
      </c>
      <c r="B706" s="2" t="s">
        <v>7649</v>
      </c>
      <c r="C706" s="2" t="n">
        <v>651.463009476</v>
      </c>
      <c r="D706" s="2" t="n">
        <v>5.1542047929274</v>
      </c>
      <c r="E706" s="2" t="s">
        <v>7650</v>
      </c>
      <c r="F706" s="2" t="s">
        <v>24</v>
      </c>
      <c r="G706" s="2" t="s">
        <v>7651</v>
      </c>
      <c r="H706" s="2" t="s">
        <v>7652</v>
      </c>
      <c r="I706" s="2" t="s">
        <v>7653</v>
      </c>
      <c r="J706" s="2" t="s">
        <v>72</v>
      </c>
      <c r="K706" s="2" t="s">
        <v>7654</v>
      </c>
      <c r="L706" s="2" t="s">
        <v>72</v>
      </c>
      <c r="M706" s="2" t="s">
        <v>72</v>
      </c>
      <c r="N706" s="2" t="s">
        <v>7655</v>
      </c>
      <c r="O706" s="2" t="s">
        <v>72</v>
      </c>
      <c r="P706" s="2" t="s">
        <v>7656</v>
      </c>
      <c r="Q706" s="2" t="s">
        <v>7657</v>
      </c>
      <c r="R706" s="2" t="s">
        <v>575</v>
      </c>
      <c r="S706" s="2" t="s">
        <v>576</v>
      </c>
      <c r="T706" s="2" t="s">
        <v>2062</v>
      </c>
      <c r="U706" s="2" t="s">
        <v>29</v>
      </c>
      <c r="V706" s="2" t="n">
        <v>2</v>
      </c>
    </row>
    <row r="707">
      <c r="A707" s="2" t="n">
        <v>706</v>
      </c>
      <c r="B707" s="2" t="s">
        <v>7658</v>
      </c>
      <c r="C707" s="2" t="n">
        <v>652.344166695</v>
      </c>
      <c r="D707" s="2" t="n">
        <v>4.58136537846628</v>
      </c>
      <c r="E707" s="2" t="s">
        <v>7659</v>
      </c>
      <c r="F707" s="2" t="s">
        <v>250</v>
      </c>
      <c r="G707" s="2" t="s">
        <v>7660</v>
      </c>
      <c r="H707" s="2" t="s">
        <v>7661</v>
      </c>
      <c r="I707" s="2" t="s">
        <v>7662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7663</v>
      </c>
      <c r="O707" s="2" t="s">
        <v>29</v>
      </c>
      <c r="P707" s="2" t="s">
        <v>7664</v>
      </c>
      <c r="Q707" s="2" t="s">
        <v>7665</v>
      </c>
      <c r="R707" s="2" t="s">
        <v>49</v>
      </c>
      <c r="S707" s="2" t="s">
        <v>165</v>
      </c>
      <c r="T707" s="2" t="s">
        <v>166</v>
      </c>
      <c r="U707" s="2" t="s">
        <v>29</v>
      </c>
      <c r="V707" s="2" t="n">
        <v>1</v>
      </c>
    </row>
    <row r="708">
      <c r="A708" s="2" t="n">
        <v>707</v>
      </c>
      <c r="B708" s="2" t="s">
        <v>7666</v>
      </c>
      <c r="C708" s="2" t="n">
        <v>653.239221424</v>
      </c>
      <c r="D708" s="2" t="n">
        <v>5.9736916707251</v>
      </c>
      <c r="E708" s="2" t="s">
        <v>7667</v>
      </c>
      <c r="F708" s="2" t="s">
        <v>110</v>
      </c>
      <c r="G708" s="2" t="s">
        <v>7668</v>
      </c>
      <c r="H708" s="2" t="s">
        <v>7669</v>
      </c>
      <c r="I708" s="2" t="s">
        <v>7670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7671</v>
      </c>
      <c r="O708" s="2" t="s">
        <v>29</v>
      </c>
      <c r="P708" s="2" t="s">
        <v>7672</v>
      </c>
      <c r="Q708" s="2" t="s">
        <v>7673</v>
      </c>
      <c r="R708" s="2" t="s">
        <v>1490</v>
      </c>
      <c r="S708" s="2" t="s">
        <v>4971</v>
      </c>
      <c r="T708" s="2" t="s">
        <v>6983</v>
      </c>
      <c r="U708" s="2" t="s">
        <v>29</v>
      </c>
      <c r="V708" s="2" t="n">
        <v>1</v>
      </c>
    </row>
    <row r="709">
      <c r="A709" s="2" t="n">
        <v>708</v>
      </c>
      <c r="B709" s="2" t="s">
        <v>7674</v>
      </c>
      <c r="C709" s="2" t="n">
        <v>654.486249175</v>
      </c>
      <c r="D709" s="2" t="n">
        <v>1.31730729092232</v>
      </c>
      <c r="E709" s="2" t="s">
        <v>7675</v>
      </c>
      <c r="F709" s="2" t="s">
        <v>42</v>
      </c>
      <c r="G709" s="2" t="s">
        <v>7676</v>
      </c>
      <c r="H709" s="2" t="s">
        <v>7677</v>
      </c>
      <c r="I709" s="2" t="s">
        <v>7678</v>
      </c>
      <c r="J709" s="2" t="s">
        <v>7679</v>
      </c>
      <c r="K709" s="2" t="s">
        <v>29</v>
      </c>
      <c r="L709" s="2" t="s">
        <v>7680</v>
      </c>
      <c r="M709" s="2" t="s">
        <v>29</v>
      </c>
      <c r="N709" s="2" t="s">
        <v>7681</v>
      </c>
      <c r="O709" s="2" t="s">
        <v>29</v>
      </c>
      <c r="P709" s="2" t="s">
        <v>7682</v>
      </c>
      <c r="Q709" s="2" t="s">
        <v>7683</v>
      </c>
      <c r="R709" s="2" t="s">
        <v>1490</v>
      </c>
      <c r="S709" s="2" t="s">
        <v>4236</v>
      </c>
      <c r="T709" s="2" t="s">
        <v>5369</v>
      </c>
      <c r="U709" s="2" t="s">
        <v>39</v>
      </c>
      <c r="V709" s="2" t="n">
        <v>1</v>
      </c>
    </row>
    <row r="710">
      <c r="A710" s="2" t="n">
        <v>709</v>
      </c>
      <c r="B710" s="2" t="s">
        <v>7684</v>
      </c>
      <c r="C710" s="2" t="n">
        <v>655.096279144</v>
      </c>
      <c r="D710" s="2" t="n">
        <v>0.504080631313367</v>
      </c>
      <c r="E710" s="2" t="s">
        <v>7685</v>
      </c>
      <c r="F710" s="2" t="s">
        <v>1019</v>
      </c>
      <c r="G710" s="2" t="s">
        <v>7686</v>
      </c>
      <c r="H710" s="2" t="s">
        <v>7687</v>
      </c>
      <c r="I710" s="2" t="s">
        <v>7688</v>
      </c>
      <c r="J710" s="2" t="s">
        <v>226</v>
      </c>
      <c r="K710" s="2" t="s">
        <v>226</v>
      </c>
      <c r="L710" s="2" t="s">
        <v>226</v>
      </c>
      <c r="M710" s="2" t="s">
        <v>226</v>
      </c>
      <c r="N710" s="2" t="s">
        <v>7689</v>
      </c>
      <c r="O710" s="2" t="s">
        <v>7690</v>
      </c>
      <c r="P710" s="2" t="s">
        <v>7691</v>
      </c>
      <c r="Q710" s="2" t="s">
        <v>7692</v>
      </c>
      <c r="R710" s="2" t="s">
        <v>3699</v>
      </c>
      <c r="S710" s="2" t="s">
        <v>7693</v>
      </c>
      <c r="T710" s="2" t="s">
        <v>7694</v>
      </c>
      <c r="U710" s="2" t="s">
        <v>29</v>
      </c>
      <c r="V710" s="2" t="n">
        <v>3</v>
      </c>
    </row>
    <row r="711">
      <c r="A711" s="2" t="n">
        <v>710</v>
      </c>
      <c r="B711" s="2" t="s">
        <v>7695</v>
      </c>
      <c r="C711" s="2" t="n">
        <v>655.1951776</v>
      </c>
      <c r="D711" s="2" t="n">
        <v>0.559958966119056</v>
      </c>
      <c r="E711" s="2" t="s">
        <v>7696</v>
      </c>
      <c r="F711" s="2" t="s">
        <v>1019</v>
      </c>
      <c r="G711" s="2" t="s">
        <v>7697</v>
      </c>
      <c r="H711" s="2" t="s">
        <v>7698</v>
      </c>
      <c r="I711" s="2" t="s">
        <v>7699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7700</v>
      </c>
      <c r="O711" s="2" t="s">
        <v>29</v>
      </c>
      <c r="P711" s="2" t="s">
        <v>7701</v>
      </c>
      <c r="Q711" s="2" t="s">
        <v>7702</v>
      </c>
      <c r="R711" s="2" t="s">
        <v>502</v>
      </c>
      <c r="S711" s="2" t="s">
        <v>503</v>
      </c>
      <c r="T711" s="2" t="s">
        <v>2313</v>
      </c>
      <c r="U711" s="2" t="s">
        <v>29</v>
      </c>
      <c r="V711" s="2" t="n">
        <v>1</v>
      </c>
    </row>
    <row r="712">
      <c r="A712" s="2" t="n">
        <v>711</v>
      </c>
      <c r="B712" s="2" t="s">
        <v>7703</v>
      </c>
      <c r="C712" s="2" t="n">
        <v>657.086401406</v>
      </c>
      <c r="D712" s="2" t="n">
        <v>2.92968924935144</v>
      </c>
      <c r="E712" s="2" t="s">
        <v>7704</v>
      </c>
      <c r="F712" s="2" t="s">
        <v>522</v>
      </c>
      <c r="G712" s="2" t="s">
        <v>7705</v>
      </c>
      <c r="H712" s="2" t="s">
        <v>7706</v>
      </c>
      <c r="I712" s="2" t="s">
        <v>7707</v>
      </c>
      <c r="J712" s="2" t="s">
        <v>7708</v>
      </c>
      <c r="K712" s="2" t="s">
        <v>7709</v>
      </c>
      <c r="L712" s="2" t="s">
        <v>72</v>
      </c>
      <c r="M712" s="2" t="s">
        <v>72</v>
      </c>
      <c r="N712" s="2" t="s">
        <v>7710</v>
      </c>
      <c r="O712" s="2" t="s">
        <v>72</v>
      </c>
      <c r="P712" s="2" t="s">
        <v>7711</v>
      </c>
      <c r="Q712" s="2" t="s">
        <v>7712</v>
      </c>
      <c r="R712" s="2" t="s">
        <v>3167</v>
      </c>
      <c r="S712" s="2" t="s">
        <v>7713</v>
      </c>
      <c r="T712" s="2" t="s">
        <v>7714</v>
      </c>
      <c r="U712" s="2" t="s">
        <v>29</v>
      </c>
      <c r="V712" s="2" t="n">
        <v>2</v>
      </c>
    </row>
    <row r="713">
      <c r="A713" s="2" t="n">
        <v>712</v>
      </c>
      <c r="B713" s="2" t="s">
        <v>7715</v>
      </c>
      <c r="C713" s="2" t="n">
        <v>661.504874286</v>
      </c>
      <c r="D713" s="2" t="n">
        <v>7.64313467246227</v>
      </c>
      <c r="E713" s="2" t="s">
        <v>7716</v>
      </c>
      <c r="F713" s="2" t="s">
        <v>24</v>
      </c>
      <c r="G713" s="2" t="s">
        <v>7717</v>
      </c>
      <c r="H713" s="2" t="s">
        <v>7718</v>
      </c>
      <c r="I713" s="2" t="s">
        <v>7719</v>
      </c>
      <c r="J713" s="2" t="s">
        <v>7720</v>
      </c>
      <c r="K713" s="2" t="s">
        <v>7721</v>
      </c>
      <c r="L713" s="2" t="s">
        <v>29</v>
      </c>
      <c r="M713" s="2" t="s">
        <v>7722</v>
      </c>
      <c r="N713" s="2" t="s">
        <v>7723</v>
      </c>
      <c r="O713" s="2" t="s">
        <v>29</v>
      </c>
      <c r="P713" s="2" t="s">
        <v>7724</v>
      </c>
      <c r="Q713" s="2" t="s">
        <v>7725</v>
      </c>
      <c r="R713" s="2" t="s">
        <v>1490</v>
      </c>
      <c r="S713" s="2" t="s">
        <v>6728</v>
      </c>
      <c r="T713" s="2" t="s">
        <v>6729</v>
      </c>
      <c r="U713" s="2" t="s">
        <v>29</v>
      </c>
      <c r="V713" s="2" t="n">
        <v>1</v>
      </c>
    </row>
    <row r="714">
      <c r="A714" s="2" t="n">
        <v>713</v>
      </c>
      <c r="B714" s="2" t="s">
        <v>7726</v>
      </c>
      <c r="C714" s="2" t="n">
        <v>662.286319457</v>
      </c>
      <c r="D714" s="2" t="n">
        <v>3.54335120866985</v>
      </c>
      <c r="E714" s="2" t="s">
        <v>7727</v>
      </c>
      <c r="F714" s="2" t="s">
        <v>522</v>
      </c>
      <c r="G714" s="2" t="s">
        <v>7728</v>
      </c>
      <c r="H714" s="2" t="s">
        <v>7729</v>
      </c>
      <c r="I714" s="2" t="s">
        <v>7730</v>
      </c>
      <c r="J714" s="2" t="s">
        <v>7731</v>
      </c>
      <c r="K714" s="2" t="s">
        <v>29</v>
      </c>
      <c r="L714" s="2" t="s">
        <v>29</v>
      </c>
      <c r="M714" s="2" t="s">
        <v>7732</v>
      </c>
      <c r="N714" s="2" t="s">
        <v>7733</v>
      </c>
      <c r="O714" s="2" t="s">
        <v>7734</v>
      </c>
      <c r="P714" s="2" t="s">
        <v>7735</v>
      </c>
      <c r="Q714" s="2" t="s">
        <v>7736</v>
      </c>
      <c r="R714" s="2" t="s">
        <v>355</v>
      </c>
      <c r="S714" s="2" t="s">
        <v>1396</v>
      </c>
      <c r="T714" s="2" t="s">
        <v>205</v>
      </c>
      <c r="U714" s="2" t="s">
        <v>29</v>
      </c>
      <c r="V714" s="2" t="n">
        <v>1</v>
      </c>
    </row>
    <row r="715">
      <c r="A715" s="2" t="n">
        <v>714</v>
      </c>
      <c r="B715" s="2" t="s">
        <v>7737</v>
      </c>
      <c r="C715" s="2" t="n">
        <v>663.505272524</v>
      </c>
      <c r="D715" s="2" t="n">
        <v>1.46683883694487</v>
      </c>
      <c r="E715" s="2" t="s">
        <v>7738</v>
      </c>
      <c r="F715" s="2" t="s">
        <v>1019</v>
      </c>
      <c r="G715" s="2" t="s">
        <v>7739</v>
      </c>
      <c r="H715" s="2" t="s">
        <v>7740</v>
      </c>
      <c r="I715" s="2" t="s">
        <v>7741</v>
      </c>
      <c r="J715" s="2" t="s">
        <v>7742</v>
      </c>
      <c r="K715" s="2" t="s">
        <v>7743</v>
      </c>
      <c r="L715" s="2" t="s">
        <v>7744</v>
      </c>
      <c r="M715" s="2" t="s">
        <v>7745</v>
      </c>
      <c r="N715" s="2" t="s">
        <v>7746</v>
      </c>
      <c r="O715" s="2" t="s">
        <v>7747</v>
      </c>
      <c r="P715" s="2" t="s">
        <v>7748</v>
      </c>
      <c r="Q715" s="2" t="s">
        <v>7749</v>
      </c>
      <c r="R715" s="2" t="s">
        <v>1490</v>
      </c>
      <c r="S715" s="2" t="s">
        <v>1491</v>
      </c>
      <c r="T715" s="2" t="s">
        <v>1492</v>
      </c>
      <c r="U715" s="2" t="s">
        <v>39</v>
      </c>
      <c r="V715" s="2" t="n">
        <v>1</v>
      </c>
    </row>
    <row r="716">
      <c r="A716" s="2" t="n">
        <v>715</v>
      </c>
      <c r="B716" s="2" t="s">
        <v>7750</v>
      </c>
      <c r="C716" s="2" t="n">
        <v>664.297464595</v>
      </c>
      <c r="D716" s="2" t="n">
        <v>0.403748396809829</v>
      </c>
      <c r="E716" s="2" t="s">
        <v>7751</v>
      </c>
      <c r="F716" s="2" t="s">
        <v>110</v>
      </c>
      <c r="G716" s="2" t="s">
        <v>7752</v>
      </c>
      <c r="H716" s="2" t="s">
        <v>7753</v>
      </c>
      <c r="I716" s="2" t="s">
        <v>7754</v>
      </c>
      <c r="J716" s="2" t="s">
        <v>29</v>
      </c>
      <c r="K716" s="2" t="s">
        <v>29</v>
      </c>
      <c r="L716" s="2" t="s">
        <v>7755</v>
      </c>
      <c r="M716" s="2" t="s">
        <v>7756</v>
      </c>
      <c r="N716" s="2" t="s">
        <v>7757</v>
      </c>
      <c r="O716" s="2" t="s">
        <v>7758</v>
      </c>
      <c r="P716" s="2" t="s">
        <v>7759</v>
      </c>
      <c r="Q716" s="2" t="s">
        <v>7760</v>
      </c>
      <c r="R716" s="2" t="s">
        <v>64</v>
      </c>
      <c r="S716" s="2" t="s">
        <v>65</v>
      </c>
      <c r="T716" s="2" t="s">
        <v>66</v>
      </c>
      <c r="U716" s="2" t="s">
        <v>39</v>
      </c>
      <c r="V716" s="2" t="n">
        <v>1</v>
      </c>
    </row>
    <row r="717">
      <c r="A717" s="2" t="n">
        <v>716</v>
      </c>
      <c r="B717" s="2" t="s">
        <v>7761</v>
      </c>
      <c r="C717" s="2" t="n">
        <v>665.1539155</v>
      </c>
      <c r="D717" s="2" t="n">
        <v>4.07869085382218</v>
      </c>
      <c r="E717" s="2" t="s">
        <v>7762</v>
      </c>
      <c r="F717" s="2" t="s">
        <v>250</v>
      </c>
      <c r="G717" s="2" t="s">
        <v>7763</v>
      </c>
      <c r="H717" s="2" t="s">
        <v>7764</v>
      </c>
      <c r="I717" s="2" t="s">
        <v>7765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7766</v>
      </c>
      <c r="O717" s="2" t="s">
        <v>29</v>
      </c>
      <c r="P717" s="2" t="s">
        <v>7767</v>
      </c>
      <c r="Q717" s="2" t="s">
        <v>7768</v>
      </c>
      <c r="R717" s="2" t="s">
        <v>49</v>
      </c>
      <c r="S717" s="2" t="s">
        <v>165</v>
      </c>
      <c r="T717" s="2" t="s">
        <v>166</v>
      </c>
      <c r="U717" s="2" t="s">
        <v>29</v>
      </c>
      <c r="V717" s="2" t="n">
        <v>1</v>
      </c>
    </row>
    <row r="718">
      <c r="A718" s="2" t="n">
        <v>717</v>
      </c>
      <c r="B718" s="2" t="s">
        <v>7769</v>
      </c>
      <c r="C718" s="2" t="n">
        <v>665.463403402</v>
      </c>
      <c r="D718" s="2" t="n">
        <v>1.49510978587387</v>
      </c>
      <c r="E718" s="2" t="s">
        <v>7770</v>
      </c>
      <c r="F718" s="2" t="s">
        <v>24</v>
      </c>
      <c r="G718" s="2" t="s">
        <v>7771</v>
      </c>
      <c r="H718" s="2" t="s">
        <v>7772</v>
      </c>
      <c r="I718" s="2" t="s">
        <v>7773</v>
      </c>
      <c r="J718" s="2" t="s">
        <v>7774</v>
      </c>
      <c r="K718" s="2" t="s">
        <v>29</v>
      </c>
      <c r="L718" s="2" t="s">
        <v>29</v>
      </c>
      <c r="M718" s="2" t="s">
        <v>7775</v>
      </c>
      <c r="N718" s="2" t="s">
        <v>7776</v>
      </c>
      <c r="O718" s="2" t="s">
        <v>7777</v>
      </c>
      <c r="P718" s="2" t="s">
        <v>7778</v>
      </c>
      <c r="Q718" s="2" t="s">
        <v>7779</v>
      </c>
      <c r="R718" s="2" t="s">
        <v>1490</v>
      </c>
      <c r="S718" s="2" t="s">
        <v>1491</v>
      </c>
      <c r="T718" s="2" t="s">
        <v>6924</v>
      </c>
      <c r="U718" s="2" t="s">
        <v>29</v>
      </c>
      <c r="V718" s="2" t="n">
        <v>1</v>
      </c>
    </row>
    <row r="719">
      <c r="A719" s="2" t="n">
        <v>718</v>
      </c>
      <c r="B719" s="2" t="s">
        <v>7780</v>
      </c>
      <c r="C719" s="2" t="n">
        <v>669.450080115</v>
      </c>
      <c r="D719" s="2" t="n">
        <v>2.19025501447695</v>
      </c>
      <c r="E719" s="2" t="s">
        <v>7781</v>
      </c>
      <c r="F719" s="2" t="s">
        <v>110</v>
      </c>
      <c r="G719" s="2" t="s">
        <v>7782</v>
      </c>
      <c r="H719" s="2" t="s">
        <v>7783</v>
      </c>
      <c r="I719" s="2" t="s">
        <v>7784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7785</v>
      </c>
      <c r="O719" s="2" t="s">
        <v>29</v>
      </c>
      <c r="P719" s="2" t="s">
        <v>7786</v>
      </c>
      <c r="Q719" s="2" t="s">
        <v>7787</v>
      </c>
      <c r="R719" s="2" t="s">
        <v>1490</v>
      </c>
      <c r="S719" s="2" t="s">
        <v>4236</v>
      </c>
      <c r="T719" s="2" t="s">
        <v>5175</v>
      </c>
      <c r="U719" s="2" t="s">
        <v>29</v>
      </c>
      <c r="V719" s="2" t="n">
        <v>1</v>
      </c>
    </row>
    <row r="720">
      <c r="A720" s="2" t="n">
        <v>719</v>
      </c>
      <c r="B720" s="2" t="s">
        <v>7788</v>
      </c>
      <c r="C720" s="2" t="n">
        <v>670.0796716</v>
      </c>
      <c r="D720" s="2" t="n">
        <v>9.92678586613279</v>
      </c>
      <c r="E720" s="2" t="s">
        <v>7789</v>
      </c>
      <c r="F720" s="2" t="s">
        <v>24</v>
      </c>
      <c r="G720" s="2" t="s">
        <v>7790</v>
      </c>
      <c r="H720" s="2" t="s">
        <v>7791</v>
      </c>
      <c r="I720" s="2" t="s">
        <v>7792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7793</v>
      </c>
      <c r="O720" s="2" t="s">
        <v>29</v>
      </c>
      <c r="P720" s="2" t="s">
        <v>7794</v>
      </c>
      <c r="Q720" s="2" t="s">
        <v>7795</v>
      </c>
      <c r="R720" s="2" t="s">
        <v>502</v>
      </c>
      <c r="S720" s="2" t="s">
        <v>2413</v>
      </c>
      <c r="T720" s="2" t="s">
        <v>7796</v>
      </c>
      <c r="U720" s="2" t="s">
        <v>29</v>
      </c>
      <c r="V720" s="2" t="n">
        <v>1</v>
      </c>
    </row>
    <row r="721">
      <c r="A721" s="2" t="n">
        <v>720</v>
      </c>
      <c r="B721" s="2" t="s">
        <v>7797</v>
      </c>
      <c r="C721" s="2" t="n">
        <v>670.458392111</v>
      </c>
      <c r="D721" s="2" t="n">
        <v>6.06657255048243</v>
      </c>
      <c r="E721" s="2" t="s">
        <v>7798</v>
      </c>
      <c r="F721" s="2" t="s">
        <v>522</v>
      </c>
      <c r="G721" s="2" t="s">
        <v>7799</v>
      </c>
      <c r="H721" s="2" t="s">
        <v>7800</v>
      </c>
      <c r="I721" s="2" t="s">
        <v>7801</v>
      </c>
      <c r="J721" s="2" t="s">
        <v>72</v>
      </c>
      <c r="K721" s="2" t="s">
        <v>72</v>
      </c>
      <c r="L721" s="2" t="s">
        <v>72</v>
      </c>
      <c r="M721" s="2" t="s">
        <v>72</v>
      </c>
      <c r="N721" s="2" t="s">
        <v>7802</v>
      </c>
      <c r="O721" s="2" t="s">
        <v>72</v>
      </c>
      <c r="P721" s="2" t="s">
        <v>7803</v>
      </c>
      <c r="Q721" s="2" t="s">
        <v>7804</v>
      </c>
      <c r="R721" s="2" t="s">
        <v>575</v>
      </c>
      <c r="S721" s="2" t="s">
        <v>6260</v>
      </c>
      <c r="T721" s="2" t="s">
        <v>7805</v>
      </c>
      <c r="U721" s="2" t="s">
        <v>29</v>
      </c>
      <c r="V721" s="2" t="n">
        <v>2</v>
      </c>
    </row>
    <row r="722">
      <c r="A722" s="2" t="n">
        <v>721</v>
      </c>
      <c r="B722" s="2" t="s">
        <v>7806</v>
      </c>
      <c r="C722" s="2" t="n">
        <v>671.465729696</v>
      </c>
      <c r="D722" s="2" t="n">
        <v>2.7417468717893</v>
      </c>
      <c r="E722" s="2" t="s">
        <v>7807</v>
      </c>
      <c r="F722" s="2" t="s">
        <v>110</v>
      </c>
      <c r="G722" s="2" t="s">
        <v>7808</v>
      </c>
      <c r="H722" s="2" t="s">
        <v>7809</v>
      </c>
      <c r="I722" s="2" t="s">
        <v>7810</v>
      </c>
      <c r="J722" s="2" t="s">
        <v>7811</v>
      </c>
      <c r="K722" s="2" t="s">
        <v>7812</v>
      </c>
      <c r="L722" s="2" t="s">
        <v>7813</v>
      </c>
      <c r="M722" s="2" t="s">
        <v>7814</v>
      </c>
      <c r="N722" s="2" t="s">
        <v>7815</v>
      </c>
      <c r="O722" s="2" t="s">
        <v>29</v>
      </c>
      <c r="P722" s="2" t="s">
        <v>7816</v>
      </c>
      <c r="Q722" s="2" t="s">
        <v>7817</v>
      </c>
      <c r="R722" s="2" t="s">
        <v>1490</v>
      </c>
      <c r="S722" s="2" t="s">
        <v>4236</v>
      </c>
      <c r="T722" s="2" t="s">
        <v>5175</v>
      </c>
      <c r="U722" s="2" t="s">
        <v>39</v>
      </c>
      <c r="V722" s="2" t="n">
        <v>1</v>
      </c>
    </row>
    <row r="723">
      <c r="A723" s="2" t="n">
        <v>722</v>
      </c>
      <c r="B723" s="2" t="s">
        <v>7818</v>
      </c>
      <c r="C723" s="2" t="n">
        <v>675.140381098</v>
      </c>
      <c r="D723" s="2" t="n">
        <v>2.36775574479</v>
      </c>
      <c r="E723" s="2" t="s">
        <v>7819</v>
      </c>
      <c r="F723" s="2" t="s">
        <v>24</v>
      </c>
      <c r="G723" s="2" t="s">
        <v>7820</v>
      </c>
      <c r="H723" s="2" t="s">
        <v>7821</v>
      </c>
      <c r="I723" s="2" t="s">
        <v>7822</v>
      </c>
      <c r="J723" s="2" t="s">
        <v>7823</v>
      </c>
      <c r="K723" s="2" t="s">
        <v>29</v>
      </c>
      <c r="L723" s="2" t="s">
        <v>7824</v>
      </c>
      <c r="M723" s="2" t="s">
        <v>7825</v>
      </c>
      <c r="N723" s="2" t="s">
        <v>7826</v>
      </c>
      <c r="O723" s="2" t="s">
        <v>7827</v>
      </c>
      <c r="P723" s="2" t="s">
        <v>7828</v>
      </c>
      <c r="Q723" s="2" t="s">
        <v>7829</v>
      </c>
      <c r="R723" s="2" t="s">
        <v>2590</v>
      </c>
      <c r="S723" s="2" t="s">
        <v>4599</v>
      </c>
      <c r="T723" s="2" t="s">
        <v>7467</v>
      </c>
      <c r="U723" s="2" t="s">
        <v>39</v>
      </c>
      <c r="V723" s="2" t="n">
        <v>1</v>
      </c>
    </row>
    <row r="724">
      <c r="A724" s="2" t="n">
        <v>723</v>
      </c>
      <c r="B724" s="2" t="s">
        <v>7830</v>
      </c>
      <c r="C724" s="2" t="n">
        <v>675.212807634</v>
      </c>
      <c r="D724" s="2" t="n">
        <v>3.86020650729131</v>
      </c>
      <c r="E724" s="2" t="s">
        <v>7831</v>
      </c>
      <c r="F724" s="2" t="s">
        <v>1019</v>
      </c>
      <c r="G724" s="2" t="s">
        <v>7832</v>
      </c>
      <c r="H724" s="2" t="s">
        <v>7833</v>
      </c>
      <c r="I724" s="2" t="s">
        <v>7834</v>
      </c>
      <c r="J724" s="2" t="s">
        <v>7835</v>
      </c>
      <c r="K724" s="2" t="s">
        <v>29</v>
      </c>
      <c r="L724" s="2" t="s">
        <v>29</v>
      </c>
      <c r="M724" s="2" t="s">
        <v>7836</v>
      </c>
      <c r="N724" s="2" t="s">
        <v>7837</v>
      </c>
      <c r="O724" s="2" t="s">
        <v>29</v>
      </c>
      <c r="P724" s="2" t="s">
        <v>7838</v>
      </c>
      <c r="Q724" s="2" t="s">
        <v>7839</v>
      </c>
      <c r="R724" s="2" t="s">
        <v>355</v>
      </c>
      <c r="S724" s="2" t="s">
        <v>356</v>
      </c>
      <c r="T724" s="2" t="s">
        <v>3625</v>
      </c>
      <c r="U724" s="2" t="s">
        <v>29</v>
      </c>
      <c r="V724" s="2" t="n">
        <v>1</v>
      </c>
    </row>
    <row r="725">
      <c r="A725" s="2" t="n">
        <v>724</v>
      </c>
      <c r="B725" s="2" t="s">
        <v>7840</v>
      </c>
      <c r="C725" s="2" t="n">
        <v>676.179417089</v>
      </c>
      <c r="D725" s="2" t="n">
        <v>3.61206762112471</v>
      </c>
      <c r="E725" s="2" t="s">
        <v>7841</v>
      </c>
      <c r="F725" s="2" t="s">
        <v>42</v>
      </c>
      <c r="G725" s="2" t="s">
        <v>7842</v>
      </c>
      <c r="H725" s="2" t="s">
        <v>7843</v>
      </c>
      <c r="I725" s="2" t="s">
        <v>7844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7845</v>
      </c>
      <c r="O725" s="2" t="s">
        <v>29</v>
      </c>
      <c r="P725" s="2" t="s">
        <v>7846</v>
      </c>
      <c r="Q725" s="2" t="s">
        <v>7847</v>
      </c>
      <c r="R725" s="2" t="s">
        <v>355</v>
      </c>
      <c r="S725" s="2" t="s">
        <v>4796</v>
      </c>
      <c r="T725" s="2" t="s">
        <v>4797</v>
      </c>
      <c r="U725" s="2" t="s">
        <v>29</v>
      </c>
      <c r="V725" s="2" t="n">
        <v>1</v>
      </c>
    </row>
    <row r="726">
      <c r="A726" s="2" t="n">
        <v>725</v>
      </c>
      <c r="B726" s="2" t="s">
        <v>7848</v>
      </c>
      <c r="C726" s="2" t="n">
        <v>681.15646618</v>
      </c>
      <c r="D726" s="2" t="n">
        <v>2.64347813804934</v>
      </c>
      <c r="E726" s="2" t="s">
        <v>7849</v>
      </c>
      <c r="F726" s="2" t="s">
        <v>1019</v>
      </c>
      <c r="G726" s="2" t="s">
        <v>7850</v>
      </c>
      <c r="H726" s="2" t="s">
        <v>7851</v>
      </c>
      <c r="I726" s="2" t="s">
        <v>7852</v>
      </c>
      <c r="J726" s="2" t="s">
        <v>7853</v>
      </c>
      <c r="K726" s="2" t="s">
        <v>72</v>
      </c>
      <c r="L726" s="2" t="s">
        <v>72</v>
      </c>
      <c r="M726" s="2" t="s">
        <v>72</v>
      </c>
      <c r="N726" s="2" t="s">
        <v>7854</v>
      </c>
      <c r="O726" s="2" t="s">
        <v>7855</v>
      </c>
      <c r="P726" s="2" t="s">
        <v>7856</v>
      </c>
      <c r="Q726" s="2" t="s">
        <v>7857</v>
      </c>
      <c r="R726" s="2" t="s">
        <v>537</v>
      </c>
      <c r="S726" s="2" t="s">
        <v>7858</v>
      </c>
      <c r="T726" s="2" t="s">
        <v>7859</v>
      </c>
      <c r="U726" s="2" t="s">
        <v>29</v>
      </c>
      <c r="V726" s="2" t="n">
        <v>2</v>
      </c>
    </row>
    <row r="727">
      <c r="A727" s="2" t="n">
        <v>726</v>
      </c>
      <c r="B727" s="2" t="s">
        <v>7860</v>
      </c>
      <c r="C727" s="2" t="n">
        <v>682.165674299</v>
      </c>
      <c r="D727" s="2" t="n">
        <v>6.80380134480102</v>
      </c>
      <c r="E727" s="2" t="s">
        <v>7861</v>
      </c>
      <c r="F727" s="2" t="s">
        <v>24</v>
      </c>
      <c r="G727" s="2" t="s">
        <v>7862</v>
      </c>
      <c r="H727" s="2" t="s">
        <v>7863</v>
      </c>
      <c r="I727" s="2" t="s">
        <v>7864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7865</v>
      </c>
      <c r="O727" s="2" t="s">
        <v>29</v>
      </c>
      <c r="P727" s="2" t="s">
        <v>7866</v>
      </c>
      <c r="Q727" s="2" t="s">
        <v>7867</v>
      </c>
      <c r="R727" s="2" t="s">
        <v>502</v>
      </c>
      <c r="S727" s="2" t="s">
        <v>503</v>
      </c>
      <c r="T727" s="2" t="s">
        <v>3450</v>
      </c>
      <c r="U727" s="2" t="s">
        <v>29</v>
      </c>
      <c r="V727" s="2" t="n">
        <v>1</v>
      </c>
    </row>
    <row r="728">
      <c r="A728" s="2" t="n">
        <v>727</v>
      </c>
      <c r="B728" s="2" t="s">
        <v>7868</v>
      </c>
      <c r="C728" s="2" t="n">
        <v>683.47397239</v>
      </c>
      <c r="D728" s="2" t="n">
        <v>0.120244584924768</v>
      </c>
      <c r="E728" s="2" t="s">
        <v>7869</v>
      </c>
      <c r="F728" s="2" t="s">
        <v>1019</v>
      </c>
      <c r="G728" s="2" t="s">
        <v>7870</v>
      </c>
      <c r="H728" s="2" t="s">
        <v>7871</v>
      </c>
      <c r="I728" s="2" t="s">
        <v>7872</v>
      </c>
      <c r="J728" s="2" t="s">
        <v>7873</v>
      </c>
      <c r="K728" s="2" t="s">
        <v>7874</v>
      </c>
      <c r="L728" s="2" t="s">
        <v>72</v>
      </c>
      <c r="M728" s="2" t="s">
        <v>72</v>
      </c>
      <c r="N728" s="2" t="s">
        <v>7875</v>
      </c>
      <c r="O728" s="2" t="s">
        <v>7876</v>
      </c>
      <c r="P728" s="2" t="s">
        <v>7877</v>
      </c>
      <c r="Q728" s="2" t="s">
        <v>7878</v>
      </c>
      <c r="R728" s="2" t="s">
        <v>575</v>
      </c>
      <c r="S728" s="2" t="s">
        <v>576</v>
      </c>
      <c r="T728" s="2" t="s">
        <v>7879</v>
      </c>
      <c r="U728" s="2" t="s">
        <v>29</v>
      </c>
      <c r="V728" s="2" t="n">
        <v>2</v>
      </c>
    </row>
    <row r="729">
      <c r="A729" s="2" t="n">
        <v>728</v>
      </c>
      <c r="B729" s="2" t="s">
        <v>7880</v>
      </c>
      <c r="C729" s="2" t="n">
        <v>684.083788631</v>
      </c>
      <c r="D729" s="2" t="n">
        <v>6.88308342351639</v>
      </c>
      <c r="E729" s="2" t="s">
        <v>7881</v>
      </c>
      <c r="F729" s="2" t="s">
        <v>360</v>
      </c>
      <c r="G729" s="2" t="s">
        <v>7882</v>
      </c>
      <c r="H729" s="2" t="s">
        <v>7883</v>
      </c>
      <c r="I729" s="2" t="s">
        <v>7884</v>
      </c>
      <c r="J729" s="2" t="s">
        <v>7885</v>
      </c>
      <c r="K729" s="2" t="s">
        <v>29</v>
      </c>
      <c r="L729" s="2" t="s">
        <v>7886</v>
      </c>
      <c r="M729" s="2" t="s">
        <v>7887</v>
      </c>
      <c r="N729" s="2" t="s">
        <v>7888</v>
      </c>
      <c r="O729" s="2" t="s">
        <v>7889</v>
      </c>
      <c r="P729" s="2" t="s">
        <v>7890</v>
      </c>
      <c r="Q729" s="2" t="s">
        <v>7891</v>
      </c>
      <c r="R729" s="2" t="s">
        <v>2590</v>
      </c>
      <c r="S729" s="2" t="s">
        <v>7892</v>
      </c>
      <c r="T729" s="2" t="s">
        <v>205</v>
      </c>
      <c r="U729" s="2" t="s">
        <v>39</v>
      </c>
      <c r="V729" s="2" t="n">
        <v>1</v>
      </c>
    </row>
    <row r="730">
      <c r="A730" s="2" t="n">
        <v>729</v>
      </c>
      <c r="B730" s="2" t="s">
        <v>7893</v>
      </c>
      <c r="C730" s="2" t="n">
        <v>684.220670051</v>
      </c>
      <c r="D730" s="2" t="n">
        <v>6.18873656655429</v>
      </c>
      <c r="E730" s="2" t="s">
        <v>7894</v>
      </c>
      <c r="F730" s="2" t="s">
        <v>42</v>
      </c>
      <c r="G730" s="2" t="s">
        <v>7895</v>
      </c>
      <c r="H730" s="2" t="s">
        <v>7896</v>
      </c>
      <c r="I730" s="2" t="s">
        <v>7897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7898</v>
      </c>
      <c r="O730" s="2" t="s">
        <v>29</v>
      </c>
      <c r="P730" s="2" t="s">
        <v>7899</v>
      </c>
      <c r="Q730" s="2" t="s">
        <v>7900</v>
      </c>
      <c r="R730" s="2" t="s">
        <v>355</v>
      </c>
      <c r="S730" s="2" t="s">
        <v>2424</v>
      </c>
      <c r="T730" s="2" t="s">
        <v>4246</v>
      </c>
      <c r="U730" s="2" t="s">
        <v>29</v>
      </c>
      <c r="V730" s="2" t="n">
        <v>1</v>
      </c>
    </row>
    <row r="731">
      <c r="A731" s="2" t="n">
        <v>730</v>
      </c>
      <c r="B731" s="2" t="s">
        <v>7901</v>
      </c>
      <c r="C731" s="2" t="n">
        <v>686.476628733</v>
      </c>
      <c r="D731" s="2" t="n">
        <v>2.4699791413155</v>
      </c>
      <c r="E731" s="2" t="s">
        <v>7902</v>
      </c>
      <c r="F731" s="2" t="s">
        <v>110</v>
      </c>
      <c r="G731" s="2" t="s">
        <v>7903</v>
      </c>
      <c r="H731" s="2" t="s">
        <v>7904</v>
      </c>
      <c r="I731" s="2" t="s">
        <v>7905</v>
      </c>
      <c r="J731" s="2" t="s">
        <v>7906</v>
      </c>
      <c r="K731" s="2" t="s">
        <v>7907</v>
      </c>
      <c r="L731" s="2" t="s">
        <v>7680</v>
      </c>
      <c r="M731" s="2" t="s">
        <v>29</v>
      </c>
      <c r="N731" s="2" t="s">
        <v>7908</v>
      </c>
      <c r="O731" s="2" t="s">
        <v>29</v>
      </c>
      <c r="P731" s="2" t="s">
        <v>7909</v>
      </c>
      <c r="Q731" s="2" t="s">
        <v>7910</v>
      </c>
      <c r="R731" s="2" t="s">
        <v>1490</v>
      </c>
      <c r="S731" s="2" t="s">
        <v>4236</v>
      </c>
      <c r="T731" s="2" t="s">
        <v>5369</v>
      </c>
      <c r="U731" s="2" t="s">
        <v>39</v>
      </c>
      <c r="V731" s="2" t="n">
        <v>1</v>
      </c>
    </row>
    <row r="732">
      <c r="A732" s="2" t="n">
        <v>731</v>
      </c>
      <c r="B732" s="2" t="s">
        <v>7911</v>
      </c>
      <c r="C732" s="2" t="n">
        <v>687.46301378</v>
      </c>
      <c r="D732" s="2" t="n">
        <v>8.9244140290878</v>
      </c>
      <c r="E732" s="2" t="s">
        <v>7912</v>
      </c>
      <c r="F732" s="2" t="s">
        <v>1019</v>
      </c>
      <c r="G732" s="2" t="s">
        <v>7913</v>
      </c>
      <c r="H732" s="2" t="s">
        <v>7914</v>
      </c>
      <c r="I732" s="2" t="s">
        <v>7915</v>
      </c>
      <c r="J732" s="2" t="s">
        <v>7916</v>
      </c>
      <c r="K732" s="2" t="s">
        <v>7917</v>
      </c>
      <c r="L732" s="2" t="s">
        <v>7918</v>
      </c>
      <c r="M732" s="2" t="s">
        <v>7919</v>
      </c>
      <c r="N732" s="2" t="s">
        <v>7920</v>
      </c>
      <c r="O732" s="2" t="s">
        <v>7921</v>
      </c>
      <c r="P732" s="2" t="s">
        <v>7922</v>
      </c>
      <c r="Q732" s="2" t="s">
        <v>7923</v>
      </c>
      <c r="R732" s="2" t="s">
        <v>105</v>
      </c>
      <c r="S732" s="2" t="s">
        <v>5580</v>
      </c>
      <c r="T732" s="2" t="s">
        <v>7924</v>
      </c>
      <c r="U732" s="2" t="s">
        <v>39</v>
      </c>
      <c r="V732" s="2" t="n">
        <v>3</v>
      </c>
    </row>
    <row r="733">
      <c r="A733" s="2" t="n">
        <v>732</v>
      </c>
      <c r="B733" s="2" t="s">
        <v>7925</v>
      </c>
      <c r="C733" s="2" t="n">
        <v>690.1909888</v>
      </c>
      <c r="D733" s="2" t="n">
        <v>0.360047032966412</v>
      </c>
      <c r="E733" s="2" t="s">
        <v>7926</v>
      </c>
      <c r="F733" s="2" t="s">
        <v>24</v>
      </c>
      <c r="G733" s="2" t="s">
        <v>7927</v>
      </c>
      <c r="H733" s="2" t="s">
        <v>7928</v>
      </c>
      <c r="I733" s="2" t="s">
        <v>7929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7930</v>
      </c>
      <c r="O733" s="2" t="s">
        <v>29</v>
      </c>
      <c r="P733" s="2" t="s">
        <v>7931</v>
      </c>
      <c r="Q733" s="2" t="s">
        <v>7932</v>
      </c>
      <c r="R733" s="2" t="s">
        <v>49</v>
      </c>
      <c r="S733" s="2" t="s">
        <v>165</v>
      </c>
      <c r="T733" s="2" t="s">
        <v>166</v>
      </c>
      <c r="U733" s="2" t="s">
        <v>29</v>
      </c>
      <c r="V733" s="2" t="n">
        <v>1</v>
      </c>
    </row>
    <row r="734">
      <c r="A734" s="2" t="n">
        <v>733</v>
      </c>
      <c r="B734" s="2" t="s">
        <v>7933</v>
      </c>
      <c r="C734" s="2" t="n">
        <v>691.179846284</v>
      </c>
      <c r="D734" s="2" t="n">
        <v>4.71758465163609</v>
      </c>
      <c r="E734" s="2" t="s">
        <v>7934</v>
      </c>
      <c r="F734" s="2" t="s">
        <v>250</v>
      </c>
      <c r="G734" s="2" t="s">
        <v>7935</v>
      </c>
      <c r="H734" s="2" t="s">
        <v>7936</v>
      </c>
      <c r="I734" s="2" t="s">
        <v>7937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7938</v>
      </c>
      <c r="O734" s="2" t="s">
        <v>29</v>
      </c>
      <c r="P734" s="2" t="s">
        <v>7939</v>
      </c>
      <c r="Q734" s="2" t="s">
        <v>7940</v>
      </c>
      <c r="R734" s="2" t="s">
        <v>355</v>
      </c>
      <c r="S734" s="2" t="s">
        <v>5788</v>
      </c>
      <c r="T734" s="2" t="s">
        <v>7941</v>
      </c>
      <c r="U734" s="2" t="s">
        <v>29</v>
      </c>
      <c r="V734" s="2" t="n">
        <v>1</v>
      </c>
    </row>
    <row r="735">
      <c r="A735" s="2" t="n">
        <v>734</v>
      </c>
      <c r="B735" s="2" t="s">
        <v>7942</v>
      </c>
      <c r="C735" s="2" t="n">
        <v>693.203623764</v>
      </c>
      <c r="D735" s="2" t="n">
        <v>5.01054446189872</v>
      </c>
      <c r="E735" s="2" t="s">
        <v>7943</v>
      </c>
      <c r="F735" s="2" t="s">
        <v>110</v>
      </c>
      <c r="G735" s="2" t="s">
        <v>7944</v>
      </c>
      <c r="H735" s="2" t="s">
        <v>7945</v>
      </c>
      <c r="I735" s="2" t="s">
        <v>7946</v>
      </c>
      <c r="J735" s="2" t="s">
        <v>7947</v>
      </c>
      <c r="K735" s="2" t="s">
        <v>226</v>
      </c>
      <c r="L735" s="2" t="s">
        <v>226</v>
      </c>
      <c r="M735" s="2" t="s">
        <v>7948</v>
      </c>
      <c r="N735" s="2" t="s">
        <v>7949</v>
      </c>
      <c r="O735" s="2" t="s">
        <v>7950</v>
      </c>
      <c r="P735" s="2" t="s">
        <v>7951</v>
      </c>
      <c r="Q735" s="2" t="s">
        <v>7952</v>
      </c>
      <c r="R735" s="2" t="s">
        <v>7953</v>
      </c>
      <c r="S735" s="2" t="s">
        <v>7954</v>
      </c>
      <c r="T735" s="2" t="s">
        <v>7955</v>
      </c>
      <c r="U735" s="2" t="s">
        <v>29</v>
      </c>
      <c r="V735" s="2" t="n">
        <v>3</v>
      </c>
    </row>
    <row r="736">
      <c r="A736" s="2" t="n">
        <v>735</v>
      </c>
      <c r="B736" s="2" t="s">
        <v>7956</v>
      </c>
      <c r="C736" s="2" t="n">
        <v>694.445329087</v>
      </c>
      <c r="D736" s="2" t="n">
        <v>7.94409895086981</v>
      </c>
      <c r="E736" s="2" t="s">
        <v>7957</v>
      </c>
      <c r="F736" s="2" t="s">
        <v>110</v>
      </c>
      <c r="G736" s="2" t="s">
        <v>7958</v>
      </c>
      <c r="H736" s="2" t="s">
        <v>7959</v>
      </c>
      <c r="I736" s="2" t="s">
        <v>7960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7961</v>
      </c>
      <c r="O736" s="2" t="s">
        <v>29</v>
      </c>
      <c r="P736" s="2" t="s">
        <v>7962</v>
      </c>
      <c r="Q736" s="2" t="s">
        <v>7963</v>
      </c>
      <c r="R736" s="2" t="s">
        <v>1490</v>
      </c>
      <c r="S736" s="2" t="s">
        <v>4236</v>
      </c>
      <c r="T736" s="2" t="s">
        <v>5369</v>
      </c>
      <c r="U736" s="2" t="s">
        <v>29</v>
      </c>
      <c r="V736" s="2" t="n">
        <v>1</v>
      </c>
    </row>
    <row r="737">
      <c r="A737" s="2" t="n">
        <v>736</v>
      </c>
      <c r="B737" s="2" t="s">
        <v>7964</v>
      </c>
      <c r="C737" s="2" t="n">
        <v>695.285316404</v>
      </c>
      <c r="D737" s="2" t="n">
        <v>3.73282812309452</v>
      </c>
      <c r="E737" s="2" t="s">
        <v>7965</v>
      </c>
      <c r="F737" s="2" t="s">
        <v>522</v>
      </c>
      <c r="G737" s="2" t="s">
        <v>7966</v>
      </c>
      <c r="H737" s="2" t="s">
        <v>7967</v>
      </c>
      <c r="I737" s="2" t="s">
        <v>7968</v>
      </c>
      <c r="J737" s="2" t="s">
        <v>7969</v>
      </c>
      <c r="K737" s="2" t="s">
        <v>72</v>
      </c>
      <c r="L737" s="2" t="s">
        <v>7970</v>
      </c>
      <c r="M737" s="2" t="s">
        <v>7971</v>
      </c>
      <c r="N737" s="2" t="s">
        <v>7972</v>
      </c>
      <c r="O737" s="2" t="s">
        <v>7973</v>
      </c>
      <c r="P737" s="2" t="s">
        <v>7974</v>
      </c>
      <c r="Q737" s="2" t="s">
        <v>7975</v>
      </c>
      <c r="R737" s="2" t="s">
        <v>537</v>
      </c>
      <c r="S737" s="2" t="s">
        <v>7976</v>
      </c>
      <c r="T737" s="2" t="s">
        <v>7977</v>
      </c>
      <c r="U737" s="2" t="s">
        <v>39</v>
      </c>
      <c r="V737" s="2" t="n">
        <v>2</v>
      </c>
    </row>
    <row r="738">
      <c r="A738" s="2" t="n">
        <v>737</v>
      </c>
      <c r="B738" s="2" t="s">
        <v>7978</v>
      </c>
      <c r="C738" s="2" t="n">
        <v>695.465729696</v>
      </c>
      <c r="D738" s="2" t="n">
        <v>1.05922951764827</v>
      </c>
      <c r="E738" s="2" t="s">
        <v>7979</v>
      </c>
      <c r="F738" s="2" t="s">
        <v>110</v>
      </c>
      <c r="G738" s="2" t="s">
        <v>7980</v>
      </c>
      <c r="H738" s="2" t="s">
        <v>7981</v>
      </c>
      <c r="I738" s="2" t="s">
        <v>7982</v>
      </c>
      <c r="J738" s="2" t="s">
        <v>7983</v>
      </c>
      <c r="K738" s="2" t="s">
        <v>7984</v>
      </c>
      <c r="L738" s="2" t="s">
        <v>226</v>
      </c>
      <c r="M738" s="2" t="s">
        <v>7985</v>
      </c>
      <c r="N738" s="2" t="s">
        <v>7986</v>
      </c>
      <c r="O738" s="2" t="s">
        <v>7987</v>
      </c>
      <c r="P738" s="2" t="s">
        <v>7988</v>
      </c>
      <c r="Q738" s="2" t="s">
        <v>7989</v>
      </c>
      <c r="R738" s="2" t="s">
        <v>105</v>
      </c>
      <c r="S738" s="2" t="s">
        <v>5723</v>
      </c>
      <c r="T738" s="2" t="s">
        <v>7990</v>
      </c>
      <c r="U738" s="2" t="s">
        <v>29</v>
      </c>
      <c r="V738" s="2" t="n">
        <v>3</v>
      </c>
    </row>
    <row r="739">
      <c r="A739" s="2" t="n">
        <v>738</v>
      </c>
      <c r="B739" s="2" t="s">
        <v>7991</v>
      </c>
      <c r="C739" s="2" t="n">
        <v>697.481380244</v>
      </c>
      <c r="D739" s="2" t="n">
        <v>6.20427120143099</v>
      </c>
      <c r="E739" s="2" t="s">
        <v>7992</v>
      </c>
      <c r="F739" s="2" t="s">
        <v>110</v>
      </c>
      <c r="G739" s="2" t="s">
        <v>7993</v>
      </c>
      <c r="H739" s="2" t="s">
        <v>7994</v>
      </c>
      <c r="I739" s="2" t="s">
        <v>7995</v>
      </c>
      <c r="J739" s="2" t="s">
        <v>7996</v>
      </c>
      <c r="K739" s="2" t="s">
        <v>7997</v>
      </c>
      <c r="L739" s="2" t="s">
        <v>72</v>
      </c>
      <c r="M739" s="2" t="s">
        <v>72</v>
      </c>
      <c r="N739" s="2" t="s">
        <v>7998</v>
      </c>
      <c r="O739" s="2" t="s">
        <v>72</v>
      </c>
      <c r="P739" s="2" t="s">
        <v>7999</v>
      </c>
      <c r="Q739" s="2" t="s">
        <v>8000</v>
      </c>
      <c r="R739" s="2" t="s">
        <v>575</v>
      </c>
      <c r="S739" s="2" t="s">
        <v>6260</v>
      </c>
      <c r="T739" s="2" t="s">
        <v>8001</v>
      </c>
      <c r="U739" s="2" t="s">
        <v>29</v>
      </c>
      <c r="V739" s="2" t="n">
        <v>2</v>
      </c>
    </row>
    <row r="740">
      <c r="A740" s="2" t="n">
        <v>739</v>
      </c>
      <c r="B740" s="2" t="s">
        <v>8002</v>
      </c>
      <c r="C740" s="2" t="n">
        <v>700.492278797</v>
      </c>
      <c r="D740" s="2" t="n">
        <v>7.53463020487666</v>
      </c>
      <c r="E740" s="2" t="s">
        <v>8003</v>
      </c>
      <c r="F740" s="2" t="s">
        <v>110</v>
      </c>
      <c r="G740" s="2" t="s">
        <v>8004</v>
      </c>
      <c r="H740" s="2" t="s">
        <v>8005</v>
      </c>
      <c r="I740" s="2" t="s">
        <v>8006</v>
      </c>
      <c r="J740" s="2" t="s">
        <v>8007</v>
      </c>
      <c r="K740" s="2" t="s">
        <v>8008</v>
      </c>
      <c r="L740" s="2" t="s">
        <v>8009</v>
      </c>
      <c r="M740" s="2" t="s">
        <v>8010</v>
      </c>
      <c r="N740" s="2" t="s">
        <v>8011</v>
      </c>
      <c r="O740" s="2" t="s">
        <v>72</v>
      </c>
      <c r="P740" s="2" t="s">
        <v>8012</v>
      </c>
      <c r="Q740" s="2" t="s">
        <v>8013</v>
      </c>
      <c r="R740" s="2" t="s">
        <v>575</v>
      </c>
      <c r="S740" s="2" t="s">
        <v>6260</v>
      </c>
      <c r="T740" s="2" t="s">
        <v>6261</v>
      </c>
      <c r="U740" s="2" t="s">
        <v>39</v>
      </c>
      <c r="V740" s="2" t="n">
        <v>2</v>
      </c>
    </row>
    <row r="741">
      <c r="A741" s="2" t="n">
        <v>740</v>
      </c>
      <c r="B741" s="2" t="s">
        <v>8014</v>
      </c>
      <c r="C741" s="2" t="n">
        <v>701.17929961</v>
      </c>
      <c r="D741" s="2" t="n">
        <v>5.58009477946337</v>
      </c>
      <c r="E741" s="2" t="s">
        <v>8015</v>
      </c>
      <c r="F741" s="2" t="s">
        <v>360</v>
      </c>
      <c r="G741" s="2" t="s">
        <v>8016</v>
      </c>
      <c r="H741" s="2" t="s">
        <v>8017</v>
      </c>
      <c r="I741" s="2" t="s">
        <v>8018</v>
      </c>
      <c r="J741" s="2" t="s">
        <v>8019</v>
      </c>
      <c r="K741" s="2" t="s">
        <v>72</v>
      </c>
      <c r="L741" s="2" t="s">
        <v>72</v>
      </c>
      <c r="M741" s="2" t="s">
        <v>72</v>
      </c>
      <c r="N741" s="2" t="s">
        <v>8020</v>
      </c>
      <c r="O741" s="2" t="s">
        <v>8021</v>
      </c>
      <c r="P741" s="2" t="s">
        <v>8022</v>
      </c>
      <c r="Q741" s="2" t="s">
        <v>8023</v>
      </c>
      <c r="R741" s="2" t="s">
        <v>3167</v>
      </c>
      <c r="S741" s="2" t="s">
        <v>8024</v>
      </c>
      <c r="T741" s="2" t="s">
        <v>247</v>
      </c>
      <c r="U741" s="2" t="s">
        <v>29</v>
      </c>
      <c r="V741" s="2" t="n">
        <v>2</v>
      </c>
    </row>
    <row r="742">
      <c r="A742" s="2" t="n">
        <v>741</v>
      </c>
      <c r="B742" s="2" t="s">
        <v>8025</v>
      </c>
      <c r="C742" s="2" t="n">
        <v>701.45461518</v>
      </c>
      <c r="D742" s="2" t="n">
        <v>9.14225044369677</v>
      </c>
      <c r="E742" s="2" t="s">
        <v>8026</v>
      </c>
      <c r="F742" s="2" t="s">
        <v>42</v>
      </c>
      <c r="G742" s="2" t="s">
        <v>8027</v>
      </c>
      <c r="H742" s="2" t="s">
        <v>8028</v>
      </c>
      <c r="I742" s="2" t="s">
        <v>8029</v>
      </c>
      <c r="J742" s="2" t="s">
        <v>8030</v>
      </c>
      <c r="K742" s="2" t="s">
        <v>8031</v>
      </c>
      <c r="L742" s="2" t="s">
        <v>72</v>
      </c>
      <c r="M742" s="2" t="s">
        <v>8032</v>
      </c>
      <c r="N742" s="2" t="s">
        <v>8033</v>
      </c>
      <c r="O742" s="2" t="s">
        <v>72</v>
      </c>
      <c r="P742" s="2" t="s">
        <v>8034</v>
      </c>
      <c r="Q742" s="2" t="s">
        <v>8035</v>
      </c>
      <c r="R742" s="2" t="s">
        <v>575</v>
      </c>
      <c r="S742" s="2" t="s">
        <v>6260</v>
      </c>
      <c r="T742" s="2" t="s">
        <v>8001</v>
      </c>
      <c r="U742" s="2" t="s">
        <v>29</v>
      </c>
      <c r="V742" s="2" t="n">
        <v>2</v>
      </c>
    </row>
    <row r="743">
      <c r="A743" s="2" t="n">
        <v>742</v>
      </c>
      <c r="B743" s="2" t="s">
        <v>8036</v>
      </c>
      <c r="C743" s="2" t="n">
        <v>702.175883998</v>
      </c>
      <c r="D743" s="2" t="n">
        <v>5.72742398306523</v>
      </c>
      <c r="E743" s="2" t="s">
        <v>8037</v>
      </c>
      <c r="F743" s="2" t="s">
        <v>522</v>
      </c>
      <c r="G743" s="2" t="s">
        <v>8038</v>
      </c>
      <c r="H743" s="2" t="s">
        <v>8039</v>
      </c>
      <c r="I743" s="2" t="s">
        <v>8040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8041</v>
      </c>
      <c r="Q743" s="2" t="s">
        <v>8042</v>
      </c>
      <c r="R743" s="2" t="s">
        <v>502</v>
      </c>
      <c r="S743" s="2" t="s">
        <v>503</v>
      </c>
      <c r="T743" s="2" t="s">
        <v>7641</v>
      </c>
      <c r="U743" s="2" t="s">
        <v>29</v>
      </c>
      <c r="V743" s="2" t="n">
        <v>1</v>
      </c>
    </row>
    <row r="744">
      <c r="A744" s="2" t="n">
        <v>743</v>
      </c>
      <c r="B744" s="2" t="s">
        <v>8043</v>
      </c>
      <c r="C744" s="2" t="n">
        <v>703.2320311</v>
      </c>
      <c r="D744" s="2" t="n">
        <v>2.6923421822461</v>
      </c>
      <c r="E744" s="2" t="s">
        <v>8044</v>
      </c>
      <c r="F744" s="2" t="s">
        <v>110</v>
      </c>
      <c r="G744" s="2" t="s">
        <v>8045</v>
      </c>
      <c r="H744" s="2" t="s">
        <v>8046</v>
      </c>
      <c r="I744" s="2" t="s">
        <v>8047</v>
      </c>
      <c r="J744" s="2" t="s">
        <v>72</v>
      </c>
      <c r="K744" s="2" t="s">
        <v>72</v>
      </c>
      <c r="L744" s="2" t="s">
        <v>72</v>
      </c>
      <c r="M744" s="2" t="s">
        <v>8048</v>
      </c>
      <c r="N744" s="2" t="s">
        <v>8049</v>
      </c>
      <c r="O744" s="2" t="s">
        <v>8050</v>
      </c>
      <c r="P744" s="2" t="s">
        <v>8051</v>
      </c>
      <c r="Q744" s="2" t="s">
        <v>8052</v>
      </c>
      <c r="R744" s="2" t="s">
        <v>537</v>
      </c>
      <c r="S744" s="2" t="s">
        <v>8053</v>
      </c>
      <c r="T744" s="2" t="s">
        <v>8054</v>
      </c>
      <c r="U744" s="2" t="s">
        <v>29</v>
      </c>
      <c r="V744" s="2" t="n">
        <v>2</v>
      </c>
    </row>
    <row r="745">
      <c r="A745" s="2" t="n">
        <v>744</v>
      </c>
      <c r="B745" s="2" t="s">
        <v>8055</v>
      </c>
      <c r="C745" s="2" t="n">
        <v>703.45555942</v>
      </c>
      <c r="D745" s="2" t="n">
        <v>3.58604513175758</v>
      </c>
      <c r="E745" s="2" t="s">
        <v>8056</v>
      </c>
      <c r="F745" s="2" t="s">
        <v>110</v>
      </c>
      <c r="G745" s="2" t="s">
        <v>8057</v>
      </c>
      <c r="H745" s="2" t="s">
        <v>8058</v>
      </c>
      <c r="I745" s="2" t="s">
        <v>8059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8060</v>
      </c>
      <c r="O745" s="2" t="s">
        <v>29</v>
      </c>
      <c r="P745" s="2" t="s">
        <v>8061</v>
      </c>
      <c r="Q745" s="2" t="s">
        <v>8062</v>
      </c>
      <c r="R745" s="2" t="s">
        <v>1490</v>
      </c>
      <c r="S745" s="2" t="s">
        <v>4236</v>
      </c>
      <c r="T745" s="2" t="s">
        <v>8063</v>
      </c>
      <c r="U745" s="2" t="s">
        <v>29</v>
      </c>
      <c r="V745" s="2" t="n">
        <v>1</v>
      </c>
    </row>
    <row r="746">
      <c r="A746" s="2" t="n">
        <v>745</v>
      </c>
      <c r="B746" s="2" t="s">
        <v>8064</v>
      </c>
      <c r="C746" s="2" t="n">
        <v>707.182338034</v>
      </c>
      <c r="D746" s="2" t="n">
        <v>0.664322503201102</v>
      </c>
      <c r="E746" s="2" t="s">
        <v>8065</v>
      </c>
      <c r="F746" s="2" t="s">
        <v>42</v>
      </c>
      <c r="G746" s="2" t="s">
        <v>8066</v>
      </c>
      <c r="H746" s="2" t="s">
        <v>8067</v>
      </c>
      <c r="I746" s="2" t="s">
        <v>8068</v>
      </c>
      <c r="J746" s="2" t="s">
        <v>8069</v>
      </c>
      <c r="K746" s="2" t="s">
        <v>226</v>
      </c>
      <c r="L746" s="2" t="s">
        <v>226</v>
      </c>
      <c r="M746" s="2" t="s">
        <v>226</v>
      </c>
      <c r="N746" s="2" t="s">
        <v>8070</v>
      </c>
      <c r="O746" s="2" t="s">
        <v>8071</v>
      </c>
      <c r="P746" s="2" t="s">
        <v>8072</v>
      </c>
      <c r="Q746" s="2" t="s">
        <v>8073</v>
      </c>
      <c r="R746" s="2" t="s">
        <v>5230</v>
      </c>
      <c r="S746" s="2" t="s">
        <v>5231</v>
      </c>
      <c r="T746" s="2" t="s">
        <v>8074</v>
      </c>
      <c r="U746" s="2" t="s">
        <v>29</v>
      </c>
      <c r="V746" s="2" t="n">
        <v>3</v>
      </c>
    </row>
    <row r="747">
      <c r="A747" s="2" t="n">
        <v>746</v>
      </c>
      <c r="B747" s="2" t="s">
        <v>8075</v>
      </c>
      <c r="C747" s="2" t="n">
        <v>707.46590653</v>
      </c>
      <c r="D747" s="2" t="n">
        <v>6.44164098511487</v>
      </c>
      <c r="E747" s="2" t="s">
        <v>8076</v>
      </c>
      <c r="F747" s="2" t="s">
        <v>522</v>
      </c>
      <c r="G747" s="2" t="s">
        <v>8077</v>
      </c>
      <c r="H747" s="2" t="s">
        <v>8078</v>
      </c>
      <c r="I747" s="2" t="s">
        <v>8079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8080</v>
      </c>
      <c r="Q747" s="2" t="s">
        <v>8081</v>
      </c>
      <c r="R747" s="2" t="s">
        <v>1490</v>
      </c>
      <c r="S747" s="2" t="s">
        <v>1491</v>
      </c>
      <c r="T747" s="2" t="s">
        <v>1492</v>
      </c>
      <c r="U747" s="2" t="s">
        <v>29</v>
      </c>
      <c r="V747" s="2" t="n">
        <v>1</v>
      </c>
    </row>
    <row r="748">
      <c r="A748" s="2" t="n">
        <v>747</v>
      </c>
      <c r="B748" s="2" t="s">
        <v>8082</v>
      </c>
      <c r="C748" s="2" t="n">
        <v>709.190410968</v>
      </c>
      <c r="D748" s="2" t="n">
        <v>3.06039024591803</v>
      </c>
      <c r="E748" s="2" t="s">
        <v>8083</v>
      </c>
      <c r="F748" s="2" t="s">
        <v>250</v>
      </c>
      <c r="G748" s="2" t="s">
        <v>8084</v>
      </c>
      <c r="H748" s="2" t="s">
        <v>8085</v>
      </c>
      <c r="I748" s="2" t="s">
        <v>8086</v>
      </c>
      <c r="J748" s="2" t="s">
        <v>8087</v>
      </c>
      <c r="K748" s="2" t="s">
        <v>72</v>
      </c>
      <c r="L748" s="2" t="s">
        <v>72</v>
      </c>
      <c r="M748" s="2" t="s">
        <v>72</v>
      </c>
      <c r="N748" s="2" t="s">
        <v>8088</v>
      </c>
      <c r="O748" s="2" t="s">
        <v>8089</v>
      </c>
      <c r="P748" s="2" t="s">
        <v>8090</v>
      </c>
      <c r="Q748" s="2" t="s">
        <v>8091</v>
      </c>
      <c r="R748" s="2" t="s">
        <v>4390</v>
      </c>
      <c r="S748" s="2" t="s">
        <v>8092</v>
      </c>
      <c r="T748" s="2" t="s">
        <v>8093</v>
      </c>
      <c r="U748" s="2" t="s">
        <v>29</v>
      </c>
      <c r="V748" s="2" t="n">
        <v>2</v>
      </c>
    </row>
    <row r="749">
      <c r="A749" s="2" t="n">
        <v>748</v>
      </c>
      <c r="B749" s="2" t="s">
        <v>8094</v>
      </c>
      <c r="C749" s="2" t="n">
        <v>709.469230077</v>
      </c>
      <c r="D749" s="2" t="n">
        <v>6.58296681809998</v>
      </c>
      <c r="E749" s="2" t="s">
        <v>8095</v>
      </c>
      <c r="F749" s="2" t="s">
        <v>250</v>
      </c>
      <c r="G749" s="2" t="s">
        <v>8096</v>
      </c>
      <c r="H749" s="2" t="s">
        <v>8097</v>
      </c>
      <c r="I749" s="2" t="s">
        <v>8098</v>
      </c>
      <c r="J749" s="2" t="s">
        <v>8099</v>
      </c>
      <c r="K749" s="2" t="s">
        <v>8100</v>
      </c>
      <c r="L749" s="2" t="s">
        <v>72</v>
      </c>
      <c r="M749" s="2" t="s">
        <v>72</v>
      </c>
      <c r="N749" s="2" t="s">
        <v>8101</v>
      </c>
      <c r="O749" s="2" t="s">
        <v>8102</v>
      </c>
      <c r="P749" s="2" t="s">
        <v>8103</v>
      </c>
      <c r="Q749" s="2" t="s">
        <v>8104</v>
      </c>
      <c r="R749" s="2" t="s">
        <v>575</v>
      </c>
      <c r="S749" s="2" t="s">
        <v>8105</v>
      </c>
      <c r="T749" s="2" t="s">
        <v>8106</v>
      </c>
      <c r="U749" s="2" t="s">
        <v>29</v>
      </c>
      <c r="V749" s="2" t="n">
        <v>2</v>
      </c>
    </row>
    <row r="750">
      <c r="A750" s="2" t="n">
        <v>749</v>
      </c>
      <c r="B750" s="2" t="s">
        <v>8107</v>
      </c>
      <c r="C750" s="2" t="n">
        <v>710.248534977</v>
      </c>
      <c r="D750" s="2" t="n">
        <v>5.34156105599033</v>
      </c>
      <c r="E750" s="2" t="s">
        <v>8108</v>
      </c>
      <c r="F750" s="2" t="s">
        <v>250</v>
      </c>
      <c r="G750" s="2" t="s">
        <v>8109</v>
      </c>
      <c r="H750" s="2" t="s">
        <v>8110</v>
      </c>
      <c r="I750" s="2" t="s">
        <v>8111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8112</v>
      </c>
      <c r="O750" s="2" t="s">
        <v>29</v>
      </c>
      <c r="P750" s="2" t="s">
        <v>8113</v>
      </c>
      <c r="Q750" s="2" t="s">
        <v>8114</v>
      </c>
      <c r="R750" s="2" t="s">
        <v>2509</v>
      </c>
      <c r="S750" s="2" t="s">
        <v>4528</v>
      </c>
      <c r="T750" s="2" t="s">
        <v>4529</v>
      </c>
      <c r="U750" s="2" t="s">
        <v>29</v>
      </c>
      <c r="V750" s="2" t="n">
        <v>1</v>
      </c>
    </row>
    <row r="751">
      <c r="A751" s="2" t="n">
        <v>750</v>
      </c>
      <c r="B751" s="2" t="s">
        <v>8115</v>
      </c>
      <c r="C751" s="2" t="n">
        <v>710.476628733</v>
      </c>
      <c r="D751" s="2" t="n">
        <v>1.79723961252603</v>
      </c>
      <c r="E751" s="2" t="s">
        <v>8116</v>
      </c>
      <c r="F751" s="2" t="s">
        <v>110</v>
      </c>
      <c r="G751" s="2" t="s">
        <v>8117</v>
      </c>
      <c r="H751" s="2" t="s">
        <v>8118</v>
      </c>
      <c r="I751" s="2" t="s">
        <v>8119</v>
      </c>
      <c r="J751" s="2" t="s">
        <v>8120</v>
      </c>
      <c r="K751" s="2" t="s">
        <v>8121</v>
      </c>
      <c r="L751" s="2" t="s">
        <v>7680</v>
      </c>
      <c r="M751" s="2" t="s">
        <v>29</v>
      </c>
      <c r="N751" s="2" t="s">
        <v>8122</v>
      </c>
      <c r="O751" s="2" t="s">
        <v>29</v>
      </c>
      <c r="P751" s="2" t="s">
        <v>8123</v>
      </c>
      <c r="Q751" s="2" t="s">
        <v>8124</v>
      </c>
      <c r="R751" s="2" t="s">
        <v>1490</v>
      </c>
      <c r="S751" s="2" t="s">
        <v>4236</v>
      </c>
      <c r="T751" s="2" t="s">
        <v>5369</v>
      </c>
      <c r="U751" s="2" t="s">
        <v>39</v>
      </c>
      <c r="V751" s="2" t="n">
        <v>1</v>
      </c>
    </row>
    <row r="752">
      <c r="A752" s="2" t="n">
        <v>751</v>
      </c>
      <c r="B752" s="2" t="s">
        <v>8125</v>
      </c>
      <c r="C752" s="2" t="n">
        <v>711.257234277</v>
      </c>
      <c r="D752" s="2" t="n">
        <v>3.46471722033375</v>
      </c>
      <c r="E752" s="2" t="s">
        <v>8126</v>
      </c>
      <c r="F752" s="2" t="s">
        <v>42</v>
      </c>
      <c r="G752" s="2" t="s">
        <v>8127</v>
      </c>
      <c r="H752" s="2" t="s">
        <v>8128</v>
      </c>
      <c r="I752" s="2" t="s">
        <v>8129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8130</v>
      </c>
      <c r="O752" s="2" t="s">
        <v>29</v>
      </c>
      <c r="P752" s="2" t="s">
        <v>8131</v>
      </c>
      <c r="Q752" s="2" t="s">
        <v>8132</v>
      </c>
      <c r="R752" s="2" t="s">
        <v>49</v>
      </c>
      <c r="S752" s="2" t="s">
        <v>165</v>
      </c>
      <c r="T752" s="2" t="s">
        <v>166</v>
      </c>
      <c r="U752" s="2" t="s">
        <v>29</v>
      </c>
      <c r="V752" s="2" t="n">
        <v>1</v>
      </c>
    </row>
    <row r="753">
      <c r="A753" s="2" t="n">
        <v>752</v>
      </c>
      <c r="B753" s="2" t="s">
        <v>8133</v>
      </c>
      <c r="C753" s="2" t="n">
        <v>711.458124214</v>
      </c>
      <c r="D753" s="2" t="n">
        <v>5.83323977376647</v>
      </c>
      <c r="E753" s="2" t="s">
        <v>8134</v>
      </c>
      <c r="F753" s="2" t="s">
        <v>1019</v>
      </c>
      <c r="G753" s="2" t="s">
        <v>8135</v>
      </c>
      <c r="H753" s="2" t="s">
        <v>8136</v>
      </c>
      <c r="I753" s="2" t="s">
        <v>8137</v>
      </c>
      <c r="J753" s="2" t="s">
        <v>29</v>
      </c>
      <c r="K753" s="2" t="s">
        <v>29</v>
      </c>
      <c r="L753" s="2" t="s">
        <v>29</v>
      </c>
      <c r="M753" s="2" t="s">
        <v>8138</v>
      </c>
      <c r="N753" s="2" t="s">
        <v>8139</v>
      </c>
      <c r="O753" s="2" t="s">
        <v>29</v>
      </c>
      <c r="P753" s="2" t="s">
        <v>8140</v>
      </c>
      <c r="Q753" s="2" t="s">
        <v>8141</v>
      </c>
      <c r="R753" s="2" t="s">
        <v>64</v>
      </c>
      <c r="S753" s="2" t="s">
        <v>65</v>
      </c>
      <c r="T753" s="2" t="s">
        <v>91</v>
      </c>
      <c r="U753" s="2" t="s">
        <v>29</v>
      </c>
      <c r="V753" s="2" t="n">
        <v>1</v>
      </c>
    </row>
    <row r="754">
      <c r="A754" s="2" t="n">
        <v>753</v>
      </c>
      <c r="B754" s="2" t="s">
        <v>8142</v>
      </c>
      <c r="C754" s="2" t="n">
        <v>712.16315593</v>
      </c>
      <c r="D754" s="2" t="n">
        <v>1.63739373135379</v>
      </c>
      <c r="E754" s="2" t="s">
        <v>8143</v>
      </c>
      <c r="F754" s="2" t="s">
        <v>110</v>
      </c>
      <c r="G754" s="2" t="s">
        <v>8144</v>
      </c>
      <c r="H754" s="2" t="s">
        <v>8145</v>
      </c>
      <c r="I754" s="2" t="s">
        <v>8146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8147</v>
      </c>
      <c r="O754" s="2" t="s">
        <v>29</v>
      </c>
      <c r="P754" s="2" t="s">
        <v>8148</v>
      </c>
      <c r="Q754" s="2" t="s">
        <v>8149</v>
      </c>
      <c r="R754" s="2" t="s">
        <v>49</v>
      </c>
      <c r="S754" s="2" t="s">
        <v>165</v>
      </c>
      <c r="T754" s="2" t="s">
        <v>6223</v>
      </c>
      <c r="U754" s="2" t="s">
        <v>29</v>
      </c>
      <c r="V754" s="2" t="n">
        <v>1</v>
      </c>
    </row>
    <row r="755">
      <c r="A755" s="2" t="n">
        <v>754</v>
      </c>
      <c r="B755" s="2" t="s">
        <v>8150</v>
      </c>
      <c r="C755" s="2" t="n">
        <v>713.495770462</v>
      </c>
      <c r="D755" s="2" t="n">
        <v>0.146222166188373</v>
      </c>
      <c r="E755" s="2" t="s">
        <v>8151</v>
      </c>
      <c r="F755" s="2" t="s">
        <v>1019</v>
      </c>
      <c r="G755" s="2" t="s">
        <v>8152</v>
      </c>
      <c r="H755" s="2" t="s">
        <v>8153</v>
      </c>
      <c r="I755" s="2" t="s">
        <v>8154</v>
      </c>
      <c r="J755" s="2" t="s">
        <v>226</v>
      </c>
      <c r="K755" s="2" t="s">
        <v>8155</v>
      </c>
      <c r="L755" s="2" t="s">
        <v>226</v>
      </c>
      <c r="M755" s="2" t="s">
        <v>8156</v>
      </c>
      <c r="N755" s="2" t="s">
        <v>8157</v>
      </c>
      <c r="O755" s="2" t="s">
        <v>226</v>
      </c>
      <c r="P755" s="2" t="s">
        <v>8158</v>
      </c>
      <c r="Q755" s="2" t="s">
        <v>8159</v>
      </c>
      <c r="R755" s="2" t="s">
        <v>105</v>
      </c>
      <c r="S755" s="2" t="s">
        <v>106</v>
      </c>
      <c r="T755" s="2" t="s">
        <v>5339</v>
      </c>
      <c r="U755" s="2" t="s">
        <v>29</v>
      </c>
      <c r="V755" s="2" t="n">
        <v>3</v>
      </c>
    </row>
    <row r="756">
      <c r="A756" s="2" t="n">
        <v>755</v>
      </c>
      <c r="B756" s="2" t="s">
        <v>8160</v>
      </c>
      <c r="C756" s="2" t="n">
        <v>715.206696162</v>
      </c>
      <c r="D756" s="2" t="n">
        <v>1.23217056003772</v>
      </c>
      <c r="E756" s="2" t="s">
        <v>8161</v>
      </c>
      <c r="F756" s="2" t="s">
        <v>360</v>
      </c>
      <c r="G756" s="2" t="s">
        <v>8162</v>
      </c>
      <c r="H756" s="2" t="s">
        <v>8163</v>
      </c>
      <c r="I756" s="2" t="s">
        <v>8164</v>
      </c>
      <c r="J756" s="2" t="s">
        <v>8165</v>
      </c>
      <c r="K756" s="2" t="s">
        <v>29</v>
      </c>
      <c r="L756" s="2" t="s">
        <v>29</v>
      </c>
      <c r="M756" s="2" t="s">
        <v>29</v>
      </c>
      <c r="N756" s="2" t="s">
        <v>8166</v>
      </c>
      <c r="O756" s="2" t="s">
        <v>8167</v>
      </c>
      <c r="P756" s="2" t="s">
        <v>8168</v>
      </c>
      <c r="Q756" s="2" t="s">
        <v>8169</v>
      </c>
      <c r="R756" s="2" t="s">
        <v>64</v>
      </c>
      <c r="S756" s="2" t="s">
        <v>65</v>
      </c>
      <c r="T756" s="2" t="s">
        <v>66</v>
      </c>
      <c r="U756" s="2" t="s">
        <v>29</v>
      </c>
      <c r="V756" s="2" t="n">
        <v>1</v>
      </c>
    </row>
    <row r="757">
      <c r="A757" s="2" t="n">
        <v>756</v>
      </c>
      <c r="B757" s="2" t="s">
        <v>8170</v>
      </c>
      <c r="C757" s="2" t="n">
        <v>716.523578925</v>
      </c>
      <c r="D757" s="2" t="n">
        <v>6.66667482759543</v>
      </c>
      <c r="E757" s="2" t="s">
        <v>8171</v>
      </c>
      <c r="F757" s="2" t="s">
        <v>110</v>
      </c>
      <c r="G757" s="2" t="s">
        <v>8172</v>
      </c>
      <c r="H757" s="2" t="s">
        <v>8173</v>
      </c>
      <c r="I757" s="2" t="s">
        <v>8174</v>
      </c>
      <c r="J757" s="2" t="s">
        <v>8175</v>
      </c>
      <c r="K757" s="2" t="s">
        <v>8176</v>
      </c>
      <c r="L757" s="2" t="s">
        <v>8177</v>
      </c>
      <c r="M757" s="2" t="s">
        <v>72</v>
      </c>
      <c r="N757" s="2" t="s">
        <v>8178</v>
      </c>
      <c r="O757" s="2" t="s">
        <v>72</v>
      </c>
      <c r="P757" s="2" t="s">
        <v>8179</v>
      </c>
      <c r="Q757" s="2" t="s">
        <v>8180</v>
      </c>
      <c r="R757" s="2" t="s">
        <v>575</v>
      </c>
      <c r="S757" s="2" t="s">
        <v>6260</v>
      </c>
      <c r="T757" s="2" t="s">
        <v>7805</v>
      </c>
      <c r="U757" s="2" t="s">
        <v>39</v>
      </c>
      <c r="V757" s="2" t="n">
        <v>2</v>
      </c>
    </row>
    <row r="758">
      <c r="A758" s="2" t="n">
        <v>757</v>
      </c>
      <c r="B758" s="2" t="s">
        <v>8181</v>
      </c>
      <c r="C758" s="2" t="n">
        <v>717.143916284</v>
      </c>
      <c r="D758" s="2" t="n">
        <v>2.14134829253355</v>
      </c>
      <c r="E758" s="2" t="s">
        <v>8182</v>
      </c>
      <c r="F758" s="2" t="s">
        <v>522</v>
      </c>
      <c r="G758" s="2" t="s">
        <v>8183</v>
      </c>
      <c r="H758" s="2" t="s">
        <v>8184</v>
      </c>
      <c r="I758" s="2" t="s">
        <v>8185</v>
      </c>
      <c r="J758" s="2" t="s">
        <v>8186</v>
      </c>
      <c r="K758" s="2" t="s">
        <v>29</v>
      </c>
      <c r="L758" s="2" t="s">
        <v>29</v>
      </c>
      <c r="M758" s="2" t="s">
        <v>8187</v>
      </c>
      <c r="N758" s="2" t="s">
        <v>8188</v>
      </c>
      <c r="O758" s="2" t="s">
        <v>8189</v>
      </c>
      <c r="P758" s="2" t="s">
        <v>8190</v>
      </c>
      <c r="Q758" s="2" t="s">
        <v>8191</v>
      </c>
      <c r="R758" s="2" t="s">
        <v>2509</v>
      </c>
      <c r="S758" s="2" t="s">
        <v>5520</v>
      </c>
      <c r="T758" s="2" t="s">
        <v>5664</v>
      </c>
      <c r="U758" s="2" t="s">
        <v>29</v>
      </c>
      <c r="V758" s="2" t="n">
        <v>1</v>
      </c>
    </row>
    <row r="759">
      <c r="A759" s="2" t="n">
        <v>758</v>
      </c>
      <c r="B759" s="2" t="s">
        <v>8192</v>
      </c>
      <c r="C759" s="2" t="n">
        <v>719.452843024</v>
      </c>
      <c r="D759" s="2" t="n">
        <v>1.11903439792227</v>
      </c>
      <c r="E759" s="2" t="s">
        <v>8193</v>
      </c>
      <c r="F759" s="2" t="s">
        <v>1019</v>
      </c>
      <c r="G759" s="2" t="s">
        <v>8194</v>
      </c>
      <c r="H759" s="2" t="s">
        <v>8195</v>
      </c>
      <c r="I759" s="2" t="s">
        <v>8196</v>
      </c>
      <c r="J759" s="2" t="s">
        <v>8197</v>
      </c>
      <c r="K759" s="2" t="s">
        <v>8198</v>
      </c>
      <c r="L759" s="2" t="s">
        <v>226</v>
      </c>
      <c r="M759" s="2" t="s">
        <v>8199</v>
      </c>
      <c r="N759" s="2" t="s">
        <v>8200</v>
      </c>
      <c r="O759" s="2" t="s">
        <v>8201</v>
      </c>
      <c r="P759" s="2" t="s">
        <v>8202</v>
      </c>
      <c r="Q759" s="2" t="s">
        <v>8203</v>
      </c>
      <c r="R759" s="2" t="s">
        <v>8204</v>
      </c>
      <c r="S759" s="2" t="s">
        <v>8205</v>
      </c>
      <c r="T759" s="2" t="s">
        <v>8206</v>
      </c>
      <c r="U759" s="2" t="s">
        <v>29</v>
      </c>
      <c r="V759" s="2" t="n">
        <v>3</v>
      </c>
    </row>
    <row r="760">
      <c r="A760" s="2" t="n">
        <v>759</v>
      </c>
      <c r="B760" s="2" t="s">
        <v>8207</v>
      </c>
      <c r="C760" s="2" t="n">
        <v>721.197988098</v>
      </c>
      <c r="D760" s="2" t="n">
        <v>0.122445023564537</v>
      </c>
      <c r="E760" s="2" t="s">
        <v>8208</v>
      </c>
      <c r="F760" s="2" t="s">
        <v>42</v>
      </c>
      <c r="G760" s="2" t="s">
        <v>8209</v>
      </c>
      <c r="H760" s="2" t="s">
        <v>8210</v>
      </c>
      <c r="I760" s="2" t="s">
        <v>8211</v>
      </c>
      <c r="J760" s="2" t="s">
        <v>29</v>
      </c>
      <c r="K760" s="2" t="s">
        <v>8212</v>
      </c>
      <c r="L760" s="2" t="s">
        <v>8213</v>
      </c>
      <c r="M760" s="2" t="s">
        <v>8214</v>
      </c>
      <c r="N760" s="2" t="s">
        <v>8215</v>
      </c>
      <c r="O760" s="2" t="s">
        <v>29</v>
      </c>
      <c r="P760" s="2" t="s">
        <v>8216</v>
      </c>
      <c r="Q760" s="2" t="s">
        <v>8217</v>
      </c>
      <c r="R760" s="2" t="s">
        <v>2509</v>
      </c>
      <c r="S760" s="2" t="s">
        <v>5520</v>
      </c>
      <c r="T760" s="2" t="s">
        <v>5664</v>
      </c>
      <c r="U760" s="2" t="s">
        <v>39</v>
      </c>
      <c r="V760" s="2" t="n">
        <v>1</v>
      </c>
    </row>
    <row r="761">
      <c r="A761" s="2" t="n">
        <v>760</v>
      </c>
      <c r="B761" s="2" t="s">
        <v>8218</v>
      </c>
      <c r="C761" s="2" t="n">
        <v>721.502509613</v>
      </c>
      <c r="D761" s="2" t="n">
        <v>5.46153709756556</v>
      </c>
      <c r="E761" s="2" t="s">
        <v>8219</v>
      </c>
      <c r="F761" s="2" t="s">
        <v>110</v>
      </c>
      <c r="G761" s="2" t="s">
        <v>8220</v>
      </c>
      <c r="H761" s="2" t="s">
        <v>8221</v>
      </c>
      <c r="I761" s="2" t="s">
        <v>8222</v>
      </c>
      <c r="J761" s="2" t="s">
        <v>8223</v>
      </c>
      <c r="K761" s="2" t="s">
        <v>8224</v>
      </c>
      <c r="L761" s="2" t="s">
        <v>72</v>
      </c>
      <c r="M761" s="2" t="s">
        <v>8225</v>
      </c>
      <c r="N761" s="2" t="s">
        <v>8226</v>
      </c>
      <c r="O761" s="2" t="s">
        <v>72</v>
      </c>
      <c r="P761" s="2" t="s">
        <v>8227</v>
      </c>
      <c r="Q761" s="2" t="s">
        <v>8228</v>
      </c>
      <c r="R761" s="2" t="s">
        <v>575</v>
      </c>
      <c r="S761" s="2" t="s">
        <v>6260</v>
      </c>
      <c r="T761" s="2" t="s">
        <v>8229</v>
      </c>
      <c r="U761" s="2" t="s">
        <v>29</v>
      </c>
      <c r="V761" s="2" t="n">
        <v>2</v>
      </c>
    </row>
    <row r="762">
      <c r="A762" s="2" t="n">
        <v>761</v>
      </c>
      <c r="B762" s="2" t="s">
        <v>8230</v>
      </c>
      <c r="C762" s="2" t="n">
        <v>722.299708221</v>
      </c>
      <c r="D762" s="2" t="n">
        <v>8.82922637533978</v>
      </c>
      <c r="E762" s="2" t="s">
        <v>8231</v>
      </c>
      <c r="F762" s="2" t="s">
        <v>42</v>
      </c>
      <c r="G762" s="2" t="s">
        <v>8232</v>
      </c>
      <c r="H762" s="2" t="s">
        <v>8233</v>
      </c>
      <c r="I762" s="2" t="s">
        <v>8234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8235</v>
      </c>
      <c r="O762" s="2" t="s">
        <v>29</v>
      </c>
      <c r="P762" s="2" t="s">
        <v>8236</v>
      </c>
      <c r="Q762" s="2" t="s">
        <v>8237</v>
      </c>
      <c r="R762" s="2" t="s">
        <v>49</v>
      </c>
      <c r="S762" s="2" t="s">
        <v>165</v>
      </c>
      <c r="T762" s="2" t="s">
        <v>166</v>
      </c>
      <c r="U762" s="2" t="s">
        <v>29</v>
      </c>
      <c r="V762" s="2" t="n">
        <v>1</v>
      </c>
    </row>
    <row r="763">
      <c r="A763" s="2" t="n">
        <v>762</v>
      </c>
      <c r="B763" s="2" t="s">
        <v>8238</v>
      </c>
      <c r="C763" s="2" t="n">
        <v>722.510607303</v>
      </c>
      <c r="D763" s="2" t="n">
        <v>9.16622936077819</v>
      </c>
      <c r="E763" s="2" t="s">
        <v>8239</v>
      </c>
      <c r="F763" s="2" t="s">
        <v>360</v>
      </c>
      <c r="G763" s="2" t="s">
        <v>8240</v>
      </c>
      <c r="H763" s="2" t="s">
        <v>8241</v>
      </c>
      <c r="I763" s="2" t="s">
        <v>8242</v>
      </c>
      <c r="J763" s="2" t="s">
        <v>8243</v>
      </c>
      <c r="K763" s="2" t="s">
        <v>29</v>
      </c>
      <c r="L763" s="2" t="s">
        <v>7680</v>
      </c>
      <c r="M763" s="2" t="s">
        <v>8244</v>
      </c>
      <c r="N763" s="2" t="s">
        <v>8245</v>
      </c>
      <c r="O763" s="2" t="s">
        <v>29</v>
      </c>
      <c r="P763" s="2" t="s">
        <v>8246</v>
      </c>
      <c r="Q763" s="2" t="s">
        <v>8247</v>
      </c>
      <c r="R763" s="2" t="s">
        <v>1490</v>
      </c>
      <c r="S763" s="2" t="s">
        <v>4236</v>
      </c>
      <c r="T763" s="2" t="s">
        <v>5369</v>
      </c>
      <c r="U763" s="2" t="s">
        <v>39</v>
      </c>
      <c r="V763" s="2" t="n">
        <v>1</v>
      </c>
    </row>
    <row r="764">
      <c r="A764" s="2" t="n">
        <v>763</v>
      </c>
      <c r="B764" s="2" t="s">
        <v>8248</v>
      </c>
      <c r="C764" s="2" t="n">
        <v>723.292455267</v>
      </c>
      <c r="D764" s="2" t="n">
        <v>5.61095721427082</v>
      </c>
      <c r="E764" s="2" t="s">
        <v>8249</v>
      </c>
      <c r="F764" s="2" t="s">
        <v>42</v>
      </c>
      <c r="G764" s="2" t="s">
        <v>8250</v>
      </c>
      <c r="H764" s="2" t="s">
        <v>8251</v>
      </c>
      <c r="I764" s="2" t="s">
        <v>8252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8253</v>
      </c>
      <c r="O764" s="2" t="s">
        <v>29</v>
      </c>
      <c r="P764" s="2" t="s">
        <v>8254</v>
      </c>
      <c r="Q764" s="2" t="s">
        <v>8255</v>
      </c>
      <c r="R764" s="2" t="s">
        <v>2590</v>
      </c>
      <c r="S764" s="2" t="s">
        <v>2591</v>
      </c>
      <c r="T764" s="2" t="s">
        <v>8256</v>
      </c>
      <c r="U764" s="2" t="s">
        <v>29</v>
      </c>
      <c r="V764" s="2" t="n">
        <v>1</v>
      </c>
    </row>
    <row r="765">
      <c r="A765" s="2" t="n">
        <v>764</v>
      </c>
      <c r="B765" s="2" t="s">
        <v>8257</v>
      </c>
      <c r="C765" s="2" t="n">
        <v>723.483592834</v>
      </c>
      <c r="D765" s="2" t="n">
        <v>4.10313537358674</v>
      </c>
      <c r="E765" s="2" t="s">
        <v>8258</v>
      </c>
      <c r="F765" s="2" t="s">
        <v>42</v>
      </c>
      <c r="G765" s="2" t="s">
        <v>8259</v>
      </c>
      <c r="H765" s="2" t="s">
        <v>8260</v>
      </c>
      <c r="I765" s="2" t="s">
        <v>8261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8262</v>
      </c>
      <c r="O765" s="2" t="s">
        <v>29</v>
      </c>
      <c r="P765" s="2" t="s">
        <v>8263</v>
      </c>
      <c r="Q765" s="2" t="s">
        <v>8264</v>
      </c>
      <c r="R765" s="2" t="s">
        <v>1490</v>
      </c>
      <c r="S765" s="2" t="s">
        <v>4971</v>
      </c>
      <c r="T765" s="2" t="s">
        <v>8265</v>
      </c>
      <c r="U765" s="2" t="s">
        <v>29</v>
      </c>
      <c r="V765" s="2" t="n">
        <v>1</v>
      </c>
    </row>
    <row r="766">
      <c r="A766" s="2" t="n">
        <v>765</v>
      </c>
      <c r="B766" s="2" t="s">
        <v>8266</v>
      </c>
      <c r="C766" s="2" t="n">
        <v>724.277672616</v>
      </c>
      <c r="D766" s="2" t="n">
        <v>4.78176314318441</v>
      </c>
      <c r="E766" s="2" t="s">
        <v>8267</v>
      </c>
      <c r="F766" s="2" t="s">
        <v>110</v>
      </c>
      <c r="G766" s="2" t="s">
        <v>8268</v>
      </c>
      <c r="H766" s="2" t="s">
        <v>8269</v>
      </c>
      <c r="I766" s="2" t="s">
        <v>8270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8271</v>
      </c>
      <c r="O766" s="2" t="s">
        <v>29</v>
      </c>
      <c r="P766" s="2" t="s">
        <v>8272</v>
      </c>
      <c r="Q766" s="2" t="s">
        <v>8273</v>
      </c>
      <c r="R766" s="2" t="s">
        <v>355</v>
      </c>
      <c r="S766" s="2" t="s">
        <v>3062</v>
      </c>
      <c r="T766" s="2" t="s">
        <v>3063</v>
      </c>
      <c r="U766" s="2" t="s">
        <v>29</v>
      </c>
      <c r="V766" s="2" t="n">
        <v>1</v>
      </c>
    </row>
    <row r="767">
      <c r="A767" s="2" t="n">
        <v>766</v>
      </c>
      <c r="B767" s="2" t="s">
        <v>8274</v>
      </c>
      <c r="C767" s="2" t="n">
        <v>724.479392125</v>
      </c>
      <c r="D767" s="2" t="n">
        <v>5.46379704880205</v>
      </c>
      <c r="E767" s="2" t="s">
        <v>8275</v>
      </c>
      <c r="F767" s="2" t="s">
        <v>110</v>
      </c>
      <c r="G767" s="2" t="s">
        <v>8276</v>
      </c>
      <c r="H767" s="2" t="s">
        <v>8277</v>
      </c>
      <c r="I767" s="2" t="s">
        <v>8278</v>
      </c>
      <c r="J767" s="2" t="s">
        <v>8279</v>
      </c>
      <c r="K767" s="2" t="s">
        <v>29</v>
      </c>
      <c r="L767" s="2" t="s">
        <v>29</v>
      </c>
      <c r="M767" s="2" t="s">
        <v>29</v>
      </c>
      <c r="N767" s="2" t="s">
        <v>8280</v>
      </c>
      <c r="O767" s="2" t="s">
        <v>8281</v>
      </c>
      <c r="P767" s="2" t="s">
        <v>8282</v>
      </c>
      <c r="Q767" s="2" t="s">
        <v>8283</v>
      </c>
      <c r="R767" s="2" t="s">
        <v>1490</v>
      </c>
      <c r="S767" s="2" t="s">
        <v>4971</v>
      </c>
      <c r="T767" s="2" t="s">
        <v>8265</v>
      </c>
      <c r="U767" s="2" t="s">
        <v>29</v>
      </c>
      <c r="V767" s="2" t="n">
        <v>1</v>
      </c>
    </row>
    <row r="768">
      <c r="A768" s="2" t="n">
        <v>767</v>
      </c>
      <c r="B768" s="2" t="s">
        <v>8284</v>
      </c>
      <c r="C768" s="2" t="n">
        <v>726.437523003</v>
      </c>
      <c r="D768" s="2" t="n">
        <v>6.91853676494942</v>
      </c>
      <c r="E768" s="2" t="s">
        <v>8285</v>
      </c>
      <c r="F768" s="2" t="s">
        <v>24</v>
      </c>
      <c r="G768" s="2" t="s">
        <v>8286</v>
      </c>
      <c r="H768" s="2" t="s">
        <v>8287</v>
      </c>
      <c r="I768" s="2" t="s">
        <v>8288</v>
      </c>
      <c r="J768" s="2" t="s">
        <v>8289</v>
      </c>
      <c r="K768" s="2" t="s">
        <v>29</v>
      </c>
      <c r="L768" s="2" t="s">
        <v>29</v>
      </c>
      <c r="M768" s="2" t="s">
        <v>8290</v>
      </c>
      <c r="N768" s="2" t="s">
        <v>8291</v>
      </c>
      <c r="O768" s="2" t="s">
        <v>8292</v>
      </c>
      <c r="P768" s="2" t="s">
        <v>8293</v>
      </c>
      <c r="Q768" s="2" t="s">
        <v>8294</v>
      </c>
      <c r="R768" s="2" t="s">
        <v>502</v>
      </c>
      <c r="S768" s="2" t="s">
        <v>503</v>
      </c>
      <c r="T768" s="2" t="s">
        <v>2174</v>
      </c>
      <c r="U768" s="2" t="s">
        <v>29</v>
      </c>
      <c r="V768" s="2" t="n">
        <v>1</v>
      </c>
    </row>
    <row r="769">
      <c r="A769" s="2" t="n">
        <v>768</v>
      </c>
      <c r="B769" s="2" t="s">
        <v>8295</v>
      </c>
      <c r="C769" s="2" t="n">
        <v>727.455555115</v>
      </c>
      <c r="D769" s="2" t="n">
        <v>1.44460513981855</v>
      </c>
      <c r="E769" s="2" t="s">
        <v>8296</v>
      </c>
      <c r="F769" s="2" t="s">
        <v>24</v>
      </c>
      <c r="G769" s="2" t="s">
        <v>8297</v>
      </c>
      <c r="H769" s="2" t="s">
        <v>8298</v>
      </c>
      <c r="I769" s="2" t="s">
        <v>8299</v>
      </c>
      <c r="J769" s="2" t="s">
        <v>8300</v>
      </c>
      <c r="K769" s="2" t="s">
        <v>8301</v>
      </c>
      <c r="L769" s="2" t="s">
        <v>29</v>
      </c>
      <c r="M769" s="2" t="s">
        <v>29</v>
      </c>
      <c r="N769" s="2" t="s">
        <v>8302</v>
      </c>
      <c r="O769" s="2" t="s">
        <v>29</v>
      </c>
      <c r="P769" s="2" t="s">
        <v>8303</v>
      </c>
      <c r="Q769" s="2" t="s">
        <v>8304</v>
      </c>
      <c r="R769" s="2" t="s">
        <v>1490</v>
      </c>
      <c r="S769" s="2" t="s">
        <v>4236</v>
      </c>
      <c r="T769" s="2" t="s">
        <v>5175</v>
      </c>
      <c r="U769" s="2" t="s">
        <v>29</v>
      </c>
      <c r="V769" s="2" t="n">
        <v>1</v>
      </c>
    </row>
    <row r="770">
      <c r="A770" s="2" t="n">
        <v>769</v>
      </c>
      <c r="B770" s="2" t="s">
        <v>8305</v>
      </c>
      <c r="C770" s="2" t="n">
        <v>728.220192422</v>
      </c>
      <c r="D770" s="2" t="n">
        <v>0.115963743589023</v>
      </c>
      <c r="E770" s="2" t="s">
        <v>8306</v>
      </c>
      <c r="F770" s="2" t="s">
        <v>360</v>
      </c>
      <c r="G770" s="2" t="s">
        <v>8307</v>
      </c>
      <c r="H770" s="2" t="s">
        <v>8308</v>
      </c>
      <c r="I770" s="2" t="s">
        <v>8309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8310</v>
      </c>
      <c r="Q770" s="2" t="s">
        <v>8311</v>
      </c>
      <c r="R770" s="2" t="s">
        <v>49</v>
      </c>
      <c r="S770" s="2" t="s">
        <v>165</v>
      </c>
      <c r="T770" s="2" t="s">
        <v>5751</v>
      </c>
      <c r="U770" s="2" t="s">
        <v>29</v>
      </c>
      <c r="V770" s="2" t="n">
        <v>1</v>
      </c>
    </row>
    <row r="771">
      <c r="A771" s="2" t="n">
        <v>770</v>
      </c>
      <c r="B771" s="2" t="s">
        <v>8312</v>
      </c>
      <c r="C771" s="2" t="n">
        <v>729.465968114</v>
      </c>
      <c r="D771" s="2" t="n">
        <v>0.708211783828908</v>
      </c>
      <c r="E771" s="2" t="s">
        <v>8313</v>
      </c>
      <c r="F771" s="2" t="s">
        <v>1019</v>
      </c>
      <c r="G771" s="2" t="s">
        <v>8314</v>
      </c>
      <c r="H771" s="2" t="s">
        <v>8315</v>
      </c>
      <c r="I771" s="2" t="s">
        <v>8316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8317</v>
      </c>
      <c r="O771" s="2" t="s">
        <v>29</v>
      </c>
      <c r="P771" s="2" t="s">
        <v>8318</v>
      </c>
      <c r="Q771" s="2" t="s">
        <v>8319</v>
      </c>
      <c r="R771" s="2" t="s">
        <v>355</v>
      </c>
      <c r="S771" s="2" t="s">
        <v>8320</v>
      </c>
      <c r="T771" s="2" t="s">
        <v>205</v>
      </c>
      <c r="U771" s="2" t="s">
        <v>29</v>
      </c>
      <c r="V771" s="2" t="n">
        <v>1</v>
      </c>
    </row>
    <row r="772">
      <c r="A772" s="2" t="n">
        <v>771</v>
      </c>
      <c r="B772" s="2" t="s">
        <v>8321</v>
      </c>
      <c r="C772" s="2" t="n">
        <v>737.112401848</v>
      </c>
      <c r="D772" s="2" t="n">
        <v>1.55178834940059</v>
      </c>
      <c r="E772" s="2" t="s">
        <v>8322</v>
      </c>
      <c r="F772" s="2" t="s">
        <v>360</v>
      </c>
      <c r="G772" s="2" t="s">
        <v>8323</v>
      </c>
      <c r="H772" s="2" t="s">
        <v>8324</v>
      </c>
      <c r="I772" s="2" t="s">
        <v>8325</v>
      </c>
      <c r="J772" s="2" t="s">
        <v>8326</v>
      </c>
      <c r="K772" s="2" t="s">
        <v>226</v>
      </c>
      <c r="L772" s="2" t="s">
        <v>226</v>
      </c>
      <c r="M772" s="2" t="s">
        <v>226</v>
      </c>
      <c r="N772" s="2" t="s">
        <v>8327</v>
      </c>
      <c r="O772" s="2" t="s">
        <v>8328</v>
      </c>
      <c r="P772" s="2" t="s">
        <v>8329</v>
      </c>
      <c r="Q772" s="2" t="s">
        <v>8330</v>
      </c>
      <c r="R772" s="2" t="s">
        <v>5230</v>
      </c>
      <c r="S772" s="2" t="s">
        <v>5231</v>
      </c>
      <c r="T772" s="2" t="s">
        <v>5232</v>
      </c>
      <c r="U772" s="2" t="s">
        <v>29</v>
      </c>
      <c r="V772" s="2" t="n">
        <v>3</v>
      </c>
    </row>
    <row r="773">
      <c r="A773" s="2" t="n">
        <v>772</v>
      </c>
      <c r="B773" s="2" t="s">
        <v>8331</v>
      </c>
      <c r="C773" s="2" t="n">
        <v>739.505008437</v>
      </c>
      <c r="D773" s="2" t="n">
        <v>1.31933028976851</v>
      </c>
      <c r="E773" s="2" t="s">
        <v>8332</v>
      </c>
      <c r="F773" s="2" t="s">
        <v>522</v>
      </c>
      <c r="G773" s="2" t="s">
        <v>8333</v>
      </c>
      <c r="H773" s="2" t="s">
        <v>8334</v>
      </c>
      <c r="I773" s="2" t="s">
        <v>8335</v>
      </c>
      <c r="J773" s="2" t="s">
        <v>8336</v>
      </c>
      <c r="K773" s="2" t="s">
        <v>8337</v>
      </c>
      <c r="L773" s="2" t="s">
        <v>29</v>
      </c>
      <c r="M773" s="2" t="s">
        <v>29</v>
      </c>
      <c r="N773" s="2" t="s">
        <v>8338</v>
      </c>
      <c r="O773" s="2" t="s">
        <v>29</v>
      </c>
      <c r="P773" s="2" t="s">
        <v>8339</v>
      </c>
      <c r="Q773" s="2" t="s">
        <v>8340</v>
      </c>
      <c r="R773" s="2" t="s">
        <v>1490</v>
      </c>
      <c r="S773" s="2" t="s">
        <v>4236</v>
      </c>
      <c r="T773" s="2" t="s">
        <v>5175</v>
      </c>
      <c r="U773" s="2" t="s">
        <v>29</v>
      </c>
      <c r="V773" s="2" t="n">
        <v>1</v>
      </c>
    </row>
    <row r="774">
      <c r="A774" s="2" t="n">
        <v>773</v>
      </c>
      <c r="B774" s="2" t="s">
        <v>8341</v>
      </c>
      <c r="C774" s="2" t="n">
        <v>741.44255311</v>
      </c>
      <c r="D774" s="2" t="n">
        <v>9.72306557933978</v>
      </c>
      <c r="E774" s="2" t="s">
        <v>8342</v>
      </c>
      <c r="F774" s="2" t="s">
        <v>1019</v>
      </c>
      <c r="G774" s="2" t="s">
        <v>8343</v>
      </c>
      <c r="H774" s="2" t="s">
        <v>8344</v>
      </c>
      <c r="I774" s="2" t="s">
        <v>8345</v>
      </c>
      <c r="J774" s="2" t="s">
        <v>8346</v>
      </c>
      <c r="K774" s="2" t="s">
        <v>29</v>
      </c>
      <c r="L774" s="2" t="s">
        <v>8347</v>
      </c>
      <c r="M774" s="2" t="s">
        <v>8348</v>
      </c>
      <c r="N774" s="2" t="s">
        <v>8349</v>
      </c>
      <c r="O774" s="2" t="s">
        <v>8350</v>
      </c>
      <c r="P774" s="2" t="s">
        <v>8351</v>
      </c>
      <c r="Q774" s="2" t="s">
        <v>8352</v>
      </c>
      <c r="R774" s="2" t="s">
        <v>2509</v>
      </c>
      <c r="S774" s="2" t="s">
        <v>4367</v>
      </c>
      <c r="T774" s="2" t="s">
        <v>205</v>
      </c>
      <c r="U774" s="2" t="s">
        <v>39</v>
      </c>
      <c r="V774" s="2" t="n">
        <v>1</v>
      </c>
    </row>
    <row r="775">
      <c r="A775" s="2" t="n">
        <v>774</v>
      </c>
      <c r="B775" s="2" t="s">
        <v>8353</v>
      </c>
      <c r="C775" s="2" t="n">
        <v>742.177543215</v>
      </c>
      <c r="D775" s="2" t="n">
        <v>0.37256835614241</v>
      </c>
      <c r="E775" s="2" t="s">
        <v>8354</v>
      </c>
      <c r="F775" s="2" t="s">
        <v>360</v>
      </c>
      <c r="G775" s="2" t="s">
        <v>8355</v>
      </c>
      <c r="H775" s="2" t="s">
        <v>8356</v>
      </c>
      <c r="I775" s="2" t="s">
        <v>8357</v>
      </c>
      <c r="J775" s="2" t="s">
        <v>29</v>
      </c>
      <c r="K775" s="2" t="s">
        <v>29</v>
      </c>
      <c r="L775" s="2" t="s">
        <v>29</v>
      </c>
      <c r="M775" s="2" t="s">
        <v>8358</v>
      </c>
      <c r="N775" s="2" t="s">
        <v>8359</v>
      </c>
      <c r="O775" s="2" t="s">
        <v>29</v>
      </c>
      <c r="P775" s="2" t="s">
        <v>8360</v>
      </c>
      <c r="Q775" s="2" t="s">
        <v>8361</v>
      </c>
      <c r="R775" s="2" t="s">
        <v>355</v>
      </c>
      <c r="S775" s="2" t="s">
        <v>5131</v>
      </c>
      <c r="T775" s="2" t="s">
        <v>5132</v>
      </c>
      <c r="U775" s="2" t="s">
        <v>29</v>
      </c>
      <c r="V775" s="2" t="n">
        <v>1</v>
      </c>
    </row>
    <row r="776">
      <c r="A776" s="2" t="n">
        <v>775</v>
      </c>
      <c r="B776" s="2" t="s">
        <v>8362</v>
      </c>
      <c r="C776" s="2" t="n">
        <v>743.19227123</v>
      </c>
      <c r="D776" s="2" t="n">
        <v>6.62725923776444</v>
      </c>
      <c r="E776" s="2" t="s">
        <v>8363</v>
      </c>
      <c r="F776" s="2" t="s">
        <v>1019</v>
      </c>
      <c r="G776" s="2" t="s">
        <v>8364</v>
      </c>
      <c r="H776" s="2" t="s">
        <v>8365</v>
      </c>
      <c r="I776" s="2" t="s">
        <v>8366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8367</v>
      </c>
      <c r="O776" s="2" t="s">
        <v>29</v>
      </c>
      <c r="P776" s="2" t="s">
        <v>8368</v>
      </c>
      <c r="Q776" s="2" t="s">
        <v>8369</v>
      </c>
      <c r="R776" s="2" t="s">
        <v>502</v>
      </c>
      <c r="S776" s="2" t="s">
        <v>2413</v>
      </c>
      <c r="T776" s="2" t="s">
        <v>7796</v>
      </c>
      <c r="U776" s="2" t="s">
        <v>29</v>
      </c>
      <c r="V776" s="2" t="n">
        <v>1</v>
      </c>
    </row>
    <row r="777">
      <c r="A777" s="2" t="n">
        <v>776</v>
      </c>
      <c r="B777" s="2" t="s">
        <v>8370</v>
      </c>
      <c r="C777" s="2" t="n">
        <v>744.48210852</v>
      </c>
      <c r="D777" s="2" t="n">
        <v>2.74262933205483</v>
      </c>
      <c r="E777" s="2" t="s">
        <v>8371</v>
      </c>
      <c r="F777" s="2" t="s">
        <v>110</v>
      </c>
      <c r="G777" s="2" t="s">
        <v>8372</v>
      </c>
      <c r="H777" s="2" t="s">
        <v>8373</v>
      </c>
      <c r="I777" s="2" t="s">
        <v>8374</v>
      </c>
      <c r="J777" s="2" t="s">
        <v>8375</v>
      </c>
      <c r="K777" s="2" t="s">
        <v>8376</v>
      </c>
      <c r="L777" s="2" t="s">
        <v>29</v>
      </c>
      <c r="M777" s="2" t="s">
        <v>29</v>
      </c>
      <c r="N777" s="2" t="s">
        <v>8377</v>
      </c>
      <c r="O777" s="2" t="s">
        <v>29</v>
      </c>
      <c r="P777" s="2" t="s">
        <v>8378</v>
      </c>
      <c r="Q777" s="2" t="s">
        <v>8379</v>
      </c>
      <c r="R777" s="2" t="s">
        <v>1490</v>
      </c>
      <c r="S777" s="2" t="s">
        <v>4236</v>
      </c>
      <c r="T777" s="2" t="s">
        <v>8380</v>
      </c>
      <c r="U777" s="2" t="s">
        <v>29</v>
      </c>
      <c r="V777" s="2" t="n">
        <v>1</v>
      </c>
    </row>
    <row r="778">
      <c r="A778" s="2" t="n">
        <v>777</v>
      </c>
      <c r="B778" s="2" t="s">
        <v>8381</v>
      </c>
      <c r="C778" s="2" t="n">
        <v>745.502504824</v>
      </c>
      <c r="D778" s="2" t="n">
        <v>2.28139196735014</v>
      </c>
      <c r="E778" s="2" t="s">
        <v>8382</v>
      </c>
      <c r="F778" s="2" t="s">
        <v>24</v>
      </c>
      <c r="G778" s="2" t="s">
        <v>8383</v>
      </c>
      <c r="H778" s="2" t="s">
        <v>8384</v>
      </c>
      <c r="I778" s="2" t="s">
        <v>8385</v>
      </c>
      <c r="J778" s="2" t="s">
        <v>8386</v>
      </c>
      <c r="K778" s="2" t="s">
        <v>8387</v>
      </c>
      <c r="L778" s="2" t="s">
        <v>7813</v>
      </c>
      <c r="M778" s="2" t="s">
        <v>8388</v>
      </c>
      <c r="N778" s="2" t="s">
        <v>8389</v>
      </c>
      <c r="O778" s="2" t="s">
        <v>29</v>
      </c>
      <c r="P778" s="2" t="s">
        <v>8390</v>
      </c>
      <c r="Q778" s="2" t="s">
        <v>8391</v>
      </c>
      <c r="R778" s="2" t="s">
        <v>1490</v>
      </c>
      <c r="S778" s="2" t="s">
        <v>4236</v>
      </c>
      <c r="T778" s="2" t="s">
        <v>5175</v>
      </c>
      <c r="U778" s="2" t="s">
        <v>39</v>
      </c>
      <c r="V778" s="2" t="n">
        <v>1</v>
      </c>
    </row>
    <row r="779">
      <c r="A779" s="2" t="n">
        <v>778</v>
      </c>
      <c r="B779" s="2" t="s">
        <v>8392</v>
      </c>
      <c r="C779" s="2" t="n">
        <v>747.190866476</v>
      </c>
      <c r="D779" s="2" t="n">
        <v>3.8026560520012</v>
      </c>
      <c r="E779" s="2" t="s">
        <v>8393</v>
      </c>
      <c r="F779" s="2" t="s">
        <v>522</v>
      </c>
      <c r="G779" s="2" t="s">
        <v>8394</v>
      </c>
      <c r="H779" s="2" t="s">
        <v>8395</v>
      </c>
      <c r="I779" s="2" t="s">
        <v>8396</v>
      </c>
      <c r="J779" s="2" t="s">
        <v>8397</v>
      </c>
      <c r="K779" s="2" t="s">
        <v>29</v>
      </c>
      <c r="L779" s="2" t="s">
        <v>29</v>
      </c>
      <c r="M779" s="2" t="s">
        <v>29</v>
      </c>
      <c r="N779" s="2" t="s">
        <v>8398</v>
      </c>
      <c r="O779" s="2" t="s">
        <v>8399</v>
      </c>
      <c r="P779" s="2" t="s">
        <v>8400</v>
      </c>
      <c r="Q779" s="2" t="s">
        <v>8401</v>
      </c>
      <c r="R779" s="2" t="s">
        <v>2509</v>
      </c>
      <c r="S779" s="2" t="s">
        <v>5520</v>
      </c>
      <c r="T779" s="2" t="s">
        <v>5664</v>
      </c>
      <c r="U779" s="2" t="s">
        <v>29</v>
      </c>
      <c r="V779" s="2" t="n">
        <v>1</v>
      </c>
    </row>
    <row r="780">
      <c r="A780" s="2" t="n">
        <v>779</v>
      </c>
      <c r="B780" s="2" t="s">
        <v>8402</v>
      </c>
      <c r="C780" s="2" t="n">
        <v>747.518159196</v>
      </c>
      <c r="D780" s="2" t="n">
        <v>6.56998810309597</v>
      </c>
      <c r="E780" s="2" t="s">
        <v>8403</v>
      </c>
      <c r="F780" s="2" t="s">
        <v>110</v>
      </c>
      <c r="G780" s="2" t="s">
        <v>8404</v>
      </c>
      <c r="H780" s="2" t="s">
        <v>8405</v>
      </c>
      <c r="I780" s="2" t="s">
        <v>8406</v>
      </c>
      <c r="J780" s="2" t="s">
        <v>72</v>
      </c>
      <c r="K780" s="2" t="s">
        <v>8407</v>
      </c>
      <c r="L780" s="2" t="s">
        <v>72</v>
      </c>
      <c r="M780" s="2" t="s">
        <v>8408</v>
      </c>
      <c r="N780" s="2" t="s">
        <v>8409</v>
      </c>
      <c r="O780" s="2" t="s">
        <v>8410</v>
      </c>
      <c r="P780" s="2" t="s">
        <v>8411</v>
      </c>
      <c r="Q780" s="2" t="s">
        <v>8412</v>
      </c>
      <c r="R780" s="2" t="s">
        <v>575</v>
      </c>
      <c r="S780" s="2" t="s">
        <v>6260</v>
      </c>
      <c r="T780" s="2" t="s">
        <v>8229</v>
      </c>
      <c r="U780" s="2" t="s">
        <v>29</v>
      </c>
      <c r="V780" s="2" t="n">
        <v>2</v>
      </c>
    </row>
    <row r="781">
      <c r="A781" s="2" t="n">
        <v>780</v>
      </c>
      <c r="B781" s="2" t="s">
        <v>8413</v>
      </c>
      <c r="C781" s="2" t="n">
        <v>748.192282439</v>
      </c>
      <c r="D781" s="2" t="n">
        <v>6.09426034387487</v>
      </c>
      <c r="E781" s="2" t="s">
        <v>8414</v>
      </c>
      <c r="F781" s="2" t="s">
        <v>250</v>
      </c>
      <c r="G781" s="2" t="s">
        <v>8415</v>
      </c>
      <c r="H781" s="2" t="s">
        <v>8416</v>
      </c>
      <c r="I781" s="2" t="s">
        <v>8417</v>
      </c>
      <c r="J781" s="2" t="s">
        <v>8418</v>
      </c>
      <c r="K781" s="2" t="s">
        <v>29</v>
      </c>
      <c r="L781" s="2" t="s">
        <v>29</v>
      </c>
      <c r="M781" s="2" t="s">
        <v>29</v>
      </c>
      <c r="N781" s="2" t="s">
        <v>8419</v>
      </c>
      <c r="O781" s="2" t="s">
        <v>8420</v>
      </c>
      <c r="P781" s="2" t="s">
        <v>8421</v>
      </c>
      <c r="Q781" s="2" t="s">
        <v>8422</v>
      </c>
      <c r="R781" s="2" t="s">
        <v>502</v>
      </c>
      <c r="S781" s="2" t="s">
        <v>503</v>
      </c>
      <c r="T781" s="2" t="s">
        <v>8423</v>
      </c>
      <c r="U781" s="2" t="s">
        <v>29</v>
      </c>
      <c r="V781" s="2" t="n">
        <v>1</v>
      </c>
    </row>
    <row r="782">
      <c r="A782" s="2" t="n">
        <v>781</v>
      </c>
      <c r="B782" s="2" t="s">
        <v>8424</v>
      </c>
      <c r="C782" s="2" t="n">
        <v>748.513585003</v>
      </c>
      <c r="D782" s="2" t="n">
        <v>2.90914342445168</v>
      </c>
      <c r="E782" s="2" t="s">
        <v>8425</v>
      </c>
      <c r="F782" s="2" t="s">
        <v>522</v>
      </c>
      <c r="G782" s="2" t="s">
        <v>8426</v>
      </c>
      <c r="H782" s="2" t="s">
        <v>8427</v>
      </c>
      <c r="I782" s="2" t="s">
        <v>8428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8429</v>
      </c>
      <c r="O782" s="2" t="s">
        <v>8430</v>
      </c>
      <c r="P782" s="2" t="s">
        <v>8431</v>
      </c>
      <c r="Q782" s="2" t="s">
        <v>8432</v>
      </c>
      <c r="R782" s="2" t="s">
        <v>1490</v>
      </c>
      <c r="S782" s="2" t="s">
        <v>8433</v>
      </c>
      <c r="T782" s="2" t="s">
        <v>8434</v>
      </c>
      <c r="U782" s="2" t="s">
        <v>29</v>
      </c>
      <c r="V782" s="2" t="n">
        <v>1</v>
      </c>
    </row>
    <row r="783">
      <c r="A783" s="2" t="n">
        <v>782</v>
      </c>
      <c r="B783" s="2" t="s">
        <v>8435</v>
      </c>
      <c r="C783" s="2" t="n">
        <v>755.110117302</v>
      </c>
      <c r="D783" s="2" t="n">
        <v>4.74515600341563</v>
      </c>
      <c r="E783" s="2" t="s">
        <v>8436</v>
      </c>
      <c r="F783" s="2" t="s">
        <v>1019</v>
      </c>
      <c r="G783" s="2" t="s">
        <v>8437</v>
      </c>
      <c r="H783" s="2" t="s">
        <v>8438</v>
      </c>
      <c r="I783" s="2" t="s">
        <v>8439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8440</v>
      </c>
      <c r="O783" s="2" t="s">
        <v>29</v>
      </c>
      <c r="P783" s="2" t="s">
        <v>8441</v>
      </c>
      <c r="Q783" s="2" t="s">
        <v>8442</v>
      </c>
      <c r="R783" s="2" t="s">
        <v>64</v>
      </c>
      <c r="S783" s="2" t="s">
        <v>65</v>
      </c>
      <c r="T783" s="2" t="s">
        <v>66</v>
      </c>
      <c r="U783" s="2" t="s">
        <v>29</v>
      </c>
      <c r="V783" s="2" t="n">
        <v>1</v>
      </c>
    </row>
    <row r="784">
      <c r="A784" s="2" t="n">
        <v>783</v>
      </c>
      <c r="B784" s="2" t="s">
        <v>8443</v>
      </c>
      <c r="C784" s="2" t="n">
        <v>757.422211598</v>
      </c>
      <c r="D784" s="2" t="n">
        <v>7.1357529478488</v>
      </c>
      <c r="E784" s="2" t="s">
        <v>8444</v>
      </c>
      <c r="F784" s="2" t="s">
        <v>1019</v>
      </c>
      <c r="G784" s="2" t="s">
        <v>8445</v>
      </c>
      <c r="H784" s="2" t="s">
        <v>8446</v>
      </c>
      <c r="I784" s="2" t="s">
        <v>8447</v>
      </c>
      <c r="J784" s="2" t="s">
        <v>8448</v>
      </c>
      <c r="K784" s="2" t="s">
        <v>29</v>
      </c>
      <c r="L784" s="2" t="s">
        <v>29</v>
      </c>
      <c r="M784" s="2" t="s">
        <v>8449</v>
      </c>
      <c r="N784" s="2" t="s">
        <v>8450</v>
      </c>
      <c r="O784" s="2" t="s">
        <v>8451</v>
      </c>
      <c r="P784" s="2" t="s">
        <v>8452</v>
      </c>
      <c r="Q784" s="2" t="s">
        <v>8453</v>
      </c>
      <c r="R784" s="2" t="s">
        <v>355</v>
      </c>
      <c r="S784" s="2" t="s">
        <v>1580</v>
      </c>
      <c r="T784" s="2" t="s">
        <v>4428</v>
      </c>
      <c r="U784" s="2" t="s">
        <v>29</v>
      </c>
      <c r="V784" s="2" t="n">
        <v>1</v>
      </c>
    </row>
    <row r="785">
      <c r="A785" s="2" t="n">
        <v>784</v>
      </c>
      <c r="B785" s="2" t="s">
        <v>8454</v>
      </c>
      <c r="C785" s="2" t="n">
        <v>759.518155373</v>
      </c>
      <c r="D785" s="2" t="n">
        <v>0.67071597056929</v>
      </c>
      <c r="E785" s="2" t="s">
        <v>8455</v>
      </c>
      <c r="F785" s="2" t="s">
        <v>24</v>
      </c>
      <c r="G785" s="2" t="s">
        <v>8456</v>
      </c>
      <c r="H785" s="2" t="s">
        <v>8457</v>
      </c>
      <c r="I785" s="2" t="s">
        <v>8458</v>
      </c>
      <c r="J785" s="2" t="s">
        <v>8459</v>
      </c>
      <c r="K785" s="2" t="s">
        <v>8460</v>
      </c>
      <c r="L785" s="2" t="s">
        <v>29</v>
      </c>
      <c r="M785" s="2" t="s">
        <v>29</v>
      </c>
      <c r="N785" s="2" t="s">
        <v>8461</v>
      </c>
      <c r="O785" s="2" t="s">
        <v>29</v>
      </c>
      <c r="P785" s="2" t="s">
        <v>8462</v>
      </c>
      <c r="Q785" s="2" t="s">
        <v>8463</v>
      </c>
      <c r="R785" s="2" t="s">
        <v>1490</v>
      </c>
      <c r="S785" s="2" t="s">
        <v>4236</v>
      </c>
      <c r="T785" s="2" t="s">
        <v>5175</v>
      </c>
      <c r="U785" s="2" t="s">
        <v>29</v>
      </c>
      <c r="V785" s="2" t="n">
        <v>1</v>
      </c>
    </row>
    <row r="786">
      <c r="A786" s="2" t="n">
        <v>785</v>
      </c>
      <c r="B786" s="2" t="s">
        <v>8464</v>
      </c>
      <c r="C786" s="2" t="n">
        <v>761.20651654</v>
      </c>
      <c r="D786" s="2" t="n">
        <v>5.05204044061428</v>
      </c>
      <c r="E786" s="2" t="s">
        <v>8465</v>
      </c>
      <c r="F786" s="2" t="s">
        <v>522</v>
      </c>
      <c r="G786" s="2" t="s">
        <v>8466</v>
      </c>
      <c r="H786" s="2" t="s">
        <v>8467</v>
      </c>
      <c r="I786" s="2" t="s">
        <v>8468</v>
      </c>
      <c r="J786" s="2" t="s">
        <v>8469</v>
      </c>
      <c r="K786" s="2" t="s">
        <v>29</v>
      </c>
      <c r="L786" s="2" t="s">
        <v>29</v>
      </c>
      <c r="M786" s="2" t="s">
        <v>8470</v>
      </c>
      <c r="N786" s="2" t="s">
        <v>8471</v>
      </c>
      <c r="O786" s="2" t="s">
        <v>29</v>
      </c>
      <c r="P786" s="2" t="s">
        <v>8472</v>
      </c>
      <c r="Q786" s="2" t="s">
        <v>8473</v>
      </c>
      <c r="R786" s="2" t="s">
        <v>2509</v>
      </c>
      <c r="S786" s="2" t="s">
        <v>5520</v>
      </c>
      <c r="T786" s="2" t="s">
        <v>5664</v>
      </c>
      <c r="U786" s="2" t="s">
        <v>29</v>
      </c>
      <c r="V786" s="2" t="n">
        <v>1</v>
      </c>
    </row>
    <row r="787">
      <c r="A787" s="2" t="n">
        <v>786</v>
      </c>
      <c r="B787" s="2" t="s">
        <v>8474</v>
      </c>
      <c r="C787" s="2" t="n">
        <v>761.495770462</v>
      </c>
      <c r="D787" s="2" t="n">
        <v>3.84214412749543</v>
      </c>
      <c r="E787" s="2" t="s">
        <v>8475</v>
      </c>
      <c r="F787" s="2" t="s">
        <v>1019</v>
      </c>
      <c r="G787" s="2" t="s">
        <v>8476</v>
      </c>
      <c r="H787" s="2" t="s">
        <v>8477</v>
      </c>
      <c r="I787" s="2" t="s">
        <v>8478</v>
      </c>
      <c r="J787" s="2" t="s">
        <v>226</v>
      </c>
      <c r="K787" s="2" t="s">
        <v>226</v>
      </c>
      <c r="L787" s="2" t="s">
        <v>226</v>
      </c>
      <c r="M787" s="2" t="s">
        <v>226</v>
      </c>
      <c r="N787" s="2" t="s">
        <v>226</v>
      </c>
      <c r="O787" s="2" t="s">
        <v>226</v>
      </c>
      <c r="P787" s="2" t="s">
        <v>8479</v>
      </c>
      <c r="Q787" s="2" t="s">
        <v>8480</v>
      </c>
      <c r="R787" s="2" t="s">
        <v>105</v>
      </c>
      <c r="S787" s="2" t="s">
        <v>106</v>
      </c>
      <c r="T787" s="2" t="s">
        <v>5339</v>
      </c>
      <c r="U787" s="2" t="s">
        <v>29</v>
      </c>
      <c r="V787" s="2" t="n">
        <v>3</v>
      </c>
    </row>
    <row r="788">
      <c r="A788" s="2" t="n">
        <v>787</v>
      </c>
      <c r="B788" s="2" t="s">
        <v>8481</v>
      </c>
      <c r="C788" s="2" t="n">
        <v>762.484545303</v>
      </c>
      <c r="D788" s="2" t="n">
        <v>9.08641479146653</v>
      </c>
      <c r="E788" s="2" t="s">
        <v>8482</v>
      </c>
      <c r="F788" s="2" t="s">
        <v>250</v>
      </c>
      <c r="G788" s="2" t="s">
        <v>8483</v>
      </c>
      <c r="H788" s="2" t="s">
        <v>8484</v>
      </c>
      <c r="I788" s="2" t="s">
        <v>8485</v>
      </c>
      <c r="J788" s="2" t="s">
        <v>8486</v>
      </c>
      <c r="K788" s="2" t="s">
        <v>29</v>
      </c>
      <c r="L788" s="2" t="s">
        <v>7680</v>
      </c>
      <c r="M788" s="2" t="s">
        <v>8487</v>
      </c>
      <c r="N788" s="2" t="s">
        <v>8488</v>
      </c>
      <c r="O788" s="2" t="s">
        <v>29</v>
      </c>
      <c r="P788" s="2" t="s">
        <v>8489</v>
      </c>
      <c r="Q788" s="2" t="s">
        <v>8490</v>
      </c>
      <c r="R788" s="2" t="s">
        <v>1490</v>
      </c>
      <c r="S788" s="2" t="s">
        <v>4236</v>
      </c>
      <c r="T788" s="2" t="s">
        <v>5369</v>
      </c>
      <c r="U788" s="2" t="s">
        <v>39</v>
      </c>
      <c r="V788" s="2" t="n">
        <v>1</v>
      </c>
    </row>
    <row r="789">
      <c r="A789" s="2" t="n">
        <v>788</v>
      </c>
      <c r="B789" s="2" t="s">
        <v>8491</v>
      </c>
      <c r="C789" s="2" t="n">
        <v>765.187817342</v>
      </c>
      <c r="D789" s="2" t="n">
        <v>2.24950334332717</v>
      </c>
      <c r="E789" s="2" t="s">
        <v>8492</v>
      </c>
      <c r="F789" s="2" t="s">
        <v>42</v>
      </c>
      <c r="G789" s="2" t="s">
        <v>8493</v>
      </c>
      <c r="H789" s="2" t="s">
        <v>8494</v>
      </c>
      <c r="I789" s="2" t="s">
        <v>8495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8496</v>
      </c>
      <c r="Q789" s="2" t="s">
        <v>8497</v>
      </c>
      <c r="R789" s="2" t="s">
        <v>2509</v>
      </c>
      <c r="S789" s="2" t="s">
        <v>5520</v>
      </c>
      <c r="T789" s="2" t="s">
        <v>5664</v>
      </c>
      <c r="U789" s="2" t="s">
        <v>29</v>
      </c>
      <c r="V789" s="2" t="n">
        <v>1</v>
      </c>
    </row>
    <row r="790">
      <c r="A790" s="2" t="n">
        <v>789</v>
      </c>
      <c r="B790" s="2" t="s">
        <v>8498</v>
      </c>
      <c r="C790" s="2" t="n">
        <v>767.173505408</v>
      </c>
      <c r="D790" s="2" t="n">
        <v>3.8226766549423</v>
      </c>
      <c r="E790" s="2" t="s">
        <v>8499</v>
      </c>
      <c r="F790" s="2" t="s">
        <v>1019</v>
      </c>
      <c r="G790" s="2" t="s">
        <v>8500</v>
      </c>
      <c r="H790" s="2" t="s">
        <v>8501</v>
      </c>
      <c r="I790" s="2" t="s">
        <v>8502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8503</v>
      </c>
      <c r="Q790" s="2" t="s">
        <v>8504</v>
      </c>
      <c r="R790" s="2" t="s">
        <v>64</v>
      </c>
      <c r="S790" s="2" t="s">
        <v>65</v>
      </c>
      <c r="T790" s="2" t="s">
        <v>66</v>
      </c>
      <c r="U790" s="2" t="s">
        <v>29</v>
      </c>
      <c r="V790" s="2" t="n">
        <v>1</v>
      </c>
    </row>
    <row r="791">
      <c r="A791" s="2" t="n">
        <v>790</v>
      </c>
      <c r="B791" s="2" t="s">
        <v>8505</v>
      </c>
      <c r="C791" s="2" t="n">
        <v>767.525614036</v>
      </c>
      <c r="D791" s="2" t="n">
        <v>5.06710270389752</v>
      </c>
      <c r="E791" s="2" t="s">
        <v>8506</v>
      </c>
      <c r="F791" s="2" t="s">
        <v>1019</v>
      </c>
      <c r="G791" s="2" t="s">
        <v>8507</v>
      </c>
      <c r="H791" s="2" t="s">
        <v>8508</v>
      </c>
      <c r="I791" s="2" t="s">
        <v>8509</v>
      </c>
      <c r="J791" s="2" t="s">
        <v>226</v>
      </c>
      <c r="K791" s="2" t="s">
        <v>226</v>
      </c>
      <c r="L791" s="2" t="s">
        <v>226</v>
      </c>
      <c r="M791" s="2" t="s">
        <v>226</v>
      </c>
      <c r="N791" s="2" t="s">
        <v>8510</v>
      </c>
      <c r="O791" s="2" t="s">
        <v>8511</v>
      </c>
      <c r="P791" s="2" t="s">
        <v>8512</v>
      </c>
      <c r="Q791" s="2" t="s">
        <v>8513</v>
      </c>
      <c r="R791" s="2" t="s">
        <v>105</v>
      </c>
      <c r="S791" s="2" t="s">
        <v>8514</v>
      </c>
      <c r="T791" s="2" t="s">
        <v>8515</v>
      </c>
      <c r="U791" s="2" t="s">
        <v>29</v>
      </c>
      <c r="V791" s="2" t="n">
        <v>3</v>
      </c>
    </row>
    <row r="792">
      <c r="A792" s="2" t="n">
        <v>791</v>
      </c>
      <c r="B792" s="2" t="s">
        <v>8516</v>
      </c>
      <c r="C792" s="2" t="n">
        <v>768.245144</v>
      </c>
      <c r="D792" s="2" t="n">
        <v>6.62199251360934</v>
      </c>
      <c r="E792" s="2" t="s">
        <v>8517</v>
      </c>
      <c r="F792" s="2" t="s">
        <v>360</v>
      </c>
      <c r="G792" s="2" t="s">
        <v>8518</v>
      </c>
      <c r="H792" s="2" t="s">
        <v>8519</v>
      </c>
      <c r="I792" s="2" t="s">
        <v>8520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8521</v>
      </c>
      <c r="O792" s="2" t="s">
        <v>29</v>
      </c>
      <c r="P792" s="2" t="s">
        <v>8522</v>
      </c>
      <c r="Q792" s="2" t="s">
        <v>8523</v>
      </c>
      <c r="R792" s="2" t="s">
        <v>49</v>
      </c>
      <c r="S792" s="2" t="s">
        <v>165</v>
      </c>
      <c r="T792" s="2" t="s">
        <v>166</v>
      </c>
      <c r="U792" s="2" t="s">
        <v>29</v>
      </c>
      <c r="V792" s="2" t="n">
        <v>1</v>
      </c>
    </row>
    <row r="793">
      <c r="A793" s="2" t="n">
        <v>792</v>
      </c>
      <c r="B793" s="2" t="s">
        <v>8524</v>
      </c>
      <c r="C793" s="2" t="n">
        <v>769.25605329</v>
      </c>
      <c r="D793" s="2" t="n">
        <v>9.03991179687752</v>
      </c>
      <c r="E793" s="2" t="s">
        <v>8525</v>
      </c>
      <c r="F793" s="2" t="s">
        <v>110</v>
      </c>
      <c r="G793" s="2" t="s">
        <v>8526</v>
      </c>
      <c r="H793" s="2" t="s">
        <v>8527</v>
      </c>
      <c r="I793" s="2" t="s">
        <v>8528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8529</v>
      </c>
      <c r="O793" s="2" t="s">
        <v>8530</v>
      </c>
      <c r="P793" s="2" t="s">
        <v>8531</v>
      </c>
      <c r="Q793" s="2" t="s">
        <v>8532</v>
      </c>
      <c r="R793" s="2" t="s">
        <v>64</v>
      </c>
      <c r="S793" s="2" t="s">
        <v>65</v>
      </c>
      <c r="T793" s="2" t="s">
        <v>66</v>
      </c>
      <c r="U793" s="2" t="s">
        <v>29</v>
      </c>
      <c r="V793" s="2" t="n">
        <v>1</v>
      </c>
    </row>
    <row r="794">
      <c r="A794" s="2" t="n">
        <v>793</v>
      </c>
      <c r="B794" s="2" t="s">
        <v>8533</v>
      </c>
      <c r="C794" s="2" t="n">
        <v>769.516111982</v>
      </c>
      <c r="D794" s="2" t="n">
        <v>1.69629292089068</v>
      </c>
      <c r="E794" s="2" t="s">
        <v>8534</v>
      </c>
      <c r="F794" s="2" t="s">
        <v>1019</v>
      </c>
      <c r="G794" s="2" t="s">
        <v>8535</v>
      </c>
      <c r="H794" s="2" t="s">
        <v>8536</v>
      </c>
      <c r="I794" s="2" t="s">
        <v>8537</v>
      </c>
      <c r="J794" s="2" t="s">
        <v>8538</v>
      </c>
      <c r="K794" s="2" t="s">
        <v>72</v>
      </c>
      <c r="L794" s="2" t="s">
        <v>72</v>
      </c>
      <c r="M794" s="2" t="s">
        <v>72</v>
      </c>
      <c r="N794" s="2" t="s">
        <v>8539</v>
      </c>
      <c r="O794" s="2" t="s">
        <v>72</v>
      </c>
      <c r="P794" s="2" t="s">
        <v>8540</v>
      </c>
      <c r="Q794" s="2" t="s">
        <v>8541</v>
      </c>
      <c r="R794" s="2" t="s">
        <v>2014</v>
      </c>
      <c r="S794" s="2" t="s">
        <v>2015</v>
      </c>
      <c r="T794" s="2" t="s">
        <v>2016</v>
      </c>
      <c r="U794" s="2" t="s">
        <v>29</v>
      </c>
      <c r="V794" s="2" t="n">
        <v>2</v>
      </c>
    </row>
    <row r="795">
      <c r="A795" s="2" t="n">
        <v>794</v>
      </c>
      <c r="B795" s="2" t="s">
        <v>8542</v>
      </c>
      <c r="C795" s="2" t="n">
        <v>770.495351649</v>
      </c>
      <c r="D795" s="2" t="n">
        <v>4.66873948793058</v>
      </c>
      <c r="E795" s="2" t="s">
        <v>8543</v>
      </c>
      <c r="F795" s="2" t="s">
        <v>360</v>
      </c>
      <c r="G795" s="2" t="s">
        <v>8544</v>
      </c>
      <c r="H795" s="2" t="s">
        <v>8545</v>
      </c>
      <c r="I795" s="2" t="s">
        <v>8546</v>
      </c>
      <c r="J795" s="2" t="s">
        <v>8547</v>
      </c>
      <c r="K795" s="2" t="s">
        <v>8548</v>
      </c>
      <c r="L795" s="2" t="s">
        <v>29</v>
      </c>
      <c r="M795" s="2" t="s">
        <v>29</v>
      </c>
      <c r="N795" s="2" t="s">
        <v>8549</v>
      </c>
      <c r="O795" s="2" t="s">
        <v>29</v>
      </c>
      <c r="P795" s="2" t="s">
        <v>8550</v>
      </c>
      <c r="Q795" s="2" t="s">
        <v>8551</v>
      </c>
      <c r="R795" s="2" t="s">
        <v>1490</v>
      </c>
      <c r="S795" s="2" t="s">
        <v>4236</v>
      </c>
      <c r="T795" s="2" t="s">
        <v>8380</v>
      </c>
      <c r="U795" s="2" t="s">
        <v>29</v>
      </c>
      <c r="V795" s="2" t="n">
        <v>1</v>
      </c>
    </row>
    <row r="796">
      <c r="A796" s="2" t="n">
        <v>795</v>
      </c>
      <c r="B796" s="2" t="s">
        <v>8552</v>
      </c>
      <c r="C796" s="2" t="n">
        <v>771.518155373</v>
      </c>
      <c r="D796" s="2" t="n">
        <v>0.815331190282152</v>
      </c>
      <c r="E796" s="2" t="s">
        <v>8553</v>
      </c>
      <c r="F796" s="2" t="s">
        <v>24</v>
      </c>
      <c r="G796" s="2" t="s">
        <v>8554</v>
      </c>
      <c r="H796" s="2" t="s">
        <v>8555</v>
      </c>
      <c r="I796" s="2" t="s">
        <v>8556</v>
      </c>
      <c r="J796" s="2" t="s">
        <v>8557</v>
      </c>
      <c r="K796" s="2" t="s">
        <v>8558</v>
      </c>
      <c r="L796" s="2" t="s">
        <v>72</v>
      </c>
      <c r="M796" s="2" t="s">
        <v>72</v>
      </c>
      <c r="N796" s="2" t="s">
        <v>8559</v>
      </c>
      <c r="O796" s="2" t="s">
        <v>72</v>
      </c>
      <c r="P796" s="2" t="s">
        <v>8560</v>
      </c>
      <c r="Q796" s="2" t="s">
        <v>8561</v>
      </c>
      <c r="R796" s="2" t="s">
        <v>575</v>
      </c>
      <c r="S796" s="2" t="s">
        <v>6260</v>
      </c>
      <c r="T796" s="2" t="s">
        <v>8001</v>
      </c>
      <c r="U796" s="2" t="s">
        <v>29</v>
      </c>
      <c r="V796" s="2" t="n">
        <v>2</v>
      </c>
    </row>
    <row r="797">
      <c r="A797" s="2" t="n">
        <v>796</v>
      </c>
      <c r="B797" s="2" t="s">
        <v>8562</v>
      </c>
      <c r="C797" s="2" t="n">
        <v>773.533805437</v>
      </c>
      <c r="D797" s="2" t="n">
        <v>8.6608149484835</v>
      </c>
      <c r="E797" s="2" t="s">
        <v>8563</v>
      </c>
      <c r="F797" s="2" t="s">
        <v>24</v>
      </c>
      <c r="G797" s="2" t="s">
        <v>8564</v>
      </c>
      <c r="H797" s="2" t="s">
        <v>8565</v>
      </c>
      <c r="I797" s="2" t="s">
        <v>8566</v>
      </c>
      <c r="J797" s="2" t="s">
        <v>8567</v>
      </c>
      <c r="K797" s="2" t="s">
        <v>8568</v>
      </c>
      <c r="L797" s="2" t="s">
        <v>72</v>
      </c>
      <c r="M797" s="2" t="s">
        <v>72</v>
      </c>
      <c r="N797" s="2" t="s">
        <v>8569</v>
      </c>
      <c r="O797" s="2" t="s">
        <v>72</v>
      </c>
      <c r="P797" s="2" t="s">
        <v>8570</v>
      </c>
      <c r="Q797" s="2" t="s">
        <v>8571</v>
      </c>
      <c r="R797" s="2" t="s">
        <v>575</v>
      </c>
      <c r="S797" s="2" t="s">
        <v>6260</v>
      </c>
      <c r="T797" s="2" t="s">
        <v>8001</v>
      </c>
      <c r="U797" s="2" t="s">
        <v>29</v>
      </c>
      <c r="V797" s="2" t="n">
        <v>2</v>
      </c>
    </row>
    <row r="798">
      <c r="A798" s="2" t="n">
        <v>797</v>
      </c>
      <c r="B798" s="2" t="s">
        <v>8572</v>
      </c>
      <c r="C798" s="2" t="n">
        <v>774.2234986</v>
      </c>
      <c r="D798" s="2" t="n">
        <v>0.724581067407517</v>
      </c>
      <c r="E798" s="2" t="s">
        <v>8573</v>
      </c>
      <c r="F798" s="2" t="s">
        <v>250</v>
      </c>
      <c r="G798" s="2" t="s">
        <v>8574</v>
      </c>
      <c r="H798" s="2" t="s">
        <v>8575</v>
      </c>
      <c r="I798" s="2" t="s">
        <v>8576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8577</v>
      </c>
      <c r="O798" s="2" t="s">
        <v>29</v>
      </c>
      <c r="P798" s="2" t="s">
        <v>8578</v>
      </c>
      <c r="Q798" s="2" t="s">
        <v>8579</v>
      </c>
      <c r="R798" s="2" t="s">
        <v>2509</v>
      </c>
      <c r="S798" s="2" t="s">
        <v>8580</v>
      </c>
      <c r="T798" s="2" t="s">
        <v>205</v>
      </c>
      <c r="U798" s="2" t="s">
        <v>29</v>
      </c>
      <c r="V798" s="2" t="n">
        <v>1</v>
      </c>
    </row>
    <row r="799">
      <c r="A799" s="2" t="n">
        <v>798</v>
      </c>
      <c r="B799" s="2" t="s">
        <v>8581</v>
      </c>
      <c r="C799" s="2" t="n">
        <v>775.208227</v>
      </c>
      <c r="D799" s="2" t="n">
        <v>1.50489678177813</v>
      </c>
      <c r="E799" s="2" t="s">
        <v>8582</v>
      </c>
      <c r="F799" s="2" t="s">
        <v>1019</v>
      </c>
      <c r="G799" s="2" t="s">
        <v>8583</v>
      </c>
      <c r="H799" s="2" t="s">
        <v>8584</v>
      </c>
      <c r="I799" s="2" t="s">
        <v>8585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8586</v>
      </c>
      <c r="O799" s="2" t="s">
        <v>29</v>
      </c>
      <c r="P799" s="2" t="s">
        <v>8587</v>
      </c>
      <c r="Q799" s="2" t="s">
        <v>8588</v>
      </c>
      <c r="R799" s="2" t="s">
        <v>2509</v>
      </c>
      <c r="S799" s="2" t="s">
        <v>2840</v>
      </c>
      <c r="T799" s="2" t="s">
        <v>8589</v>
      </c>
      <c r="U799" s="2" t="s">
        <v>29</v>
      </c>
      <c r="V799" s="2" t="n">
        <v>1</v>
      </c>
    </row>
    <row r="800">
      <c r="A800" s="2" t="n">
        <v>799</v>
      </c>
      <c r="B800" s="2" t="s">
        <v>8590</v>
      </c>
      <c r="C800" s="2" t="n">
        <v>775.442672268</v>
      </c>
      <c r="D800" s="2" t="n">
        <v>1.35263981569655</v>
      </c>
      <c r="E800" s="2" t="s">
        <v>8591</v>
      </c>
      <c r="F800" s="2" t="s">
        <v>1019</v>
      </c>
      <c r="G800" s="2" t="s">
        <v>8592</v>
      </c>
      <c r="H800" s="2" t="s">
        <v>8593</v>
      </c>
      <c r="I800" s="2" t="s">
        <v>8594</v>
      </c>
      <c r="J800" s="2" t="s">
        <v>29</v>
      </c>
      <c r="K800" s="2" t="s">
        <v>29</v>
      </c>
      <c r="L800" s="2" t="s">
        <v>8595</v>
      </c>
      <c r="M800" s="2" t="s">
        <v>8596</v>
      </c>
      <c r="N800" s="2" t="s">
        <v>8597</v>
      </c>
      <c r="O800" s="2" t="s">
        <v>29</v>
      </c>
      <c r="P800" s="2" t="s">
        <v>8598</v>
      </c>
      <c r="Q800" s="2" t="s">
        <v>8599</v>
      </c>
      <c r="R800" s="2" t="s">
        <v>1490</v>
      </c>
      <c r="S800" s="2" t="s">
        <v>3546</v>
      </c>
      <c r="T800" s="2" t="s">
        <v>8600</v>
      </c>
      <c r="U800" s="2" t="s">
        <v>39</v>
      </c>
      <c r="V800" s="2" t="n">
        <v>1</v>
      </c>
    </row>
    <row r="801">
      <c r="A801" s="2" t="n">
        <v>800</v>
      </c>
      <c r="B801" s="2" t="s">
        <v>8601</v>
      </c>
      <c r="C801" s="2" t="n">
        <v>776.523578925</v>
      </c>
      <c r="D801" s="2" t="n">
        <v>4.53031130174705</v>
      </c>
      <c r="E801" s="2" t="s">
        <v>8602</v>
      </c>
      <c r="F801" s="2" t="s">
        <v>110</v>
      </c>
      <c r="G801" s="2" t="s">
        <v>8603</v>
      </c>
      <c r="H801" s="2" t="s">
        <v>8604</v>
      </c>
      <c r="I801" s="2" t="s">
        <v>8605</v>
      </c>
      <c r="J801" s="2" t="s">
        <v>8606</v>
      </c>
      <c r="K801" s="2" t="s">
        <v>8607</v>
      </c>
      <c r="L801" s="2" t="s">
        <v>8608</v>
      </c>
      <c r="M801" s="2" t="s">
        <v>8609</v>
      </c>
      <c r="N801" s="2" t="s">
        <v>8610</v>
      </c>
      <c r="O801" s="2" t="s">
        <v>29</v>
      </c>
      <c r="P801" s="2" t="s">
        <v>8611</v>
      </c>
      <c r="Q801" s="2" t="s">
        <v>8612</v>
      </c>
      <c r="R801" s="2" t="s">
        <v>1490</v>
      </c>
      <c r="S801" s="2" t="s">
        <v>4236</v>
      </c>
      <c r="T801" s="2" t="s">
        <v>8613</v>
      </c>
      <c r="U801" s="2" t="s">
        <v>39</v>
      </c>
      <c r="V801" s="2" t="n">
        <v>1</v>
      </c>
    </row>
    <row r="802">
      <c r="A802" s="2" t="n">
        <v>801</v>
      </c>
      <c r="B802" s="2" t="s">
        <v>8614</v>
      </c>
      <c r="C802" s="2" t="n">
        <v>777.2180247</v>
      </c>
      <c r="D802" s="2" t="n">
        <v>1.41337621807488</v>
      </c>
      <c r="E802" s="2" t="s">
        <v>8615</v>
      </c>
      <c r="F802" s="2" t="s">
        <v>522</v>
      </c>
      <c r="G802" s="2" t="s">
        <v>8616</v>
      </c>
      <c r="H802" s="2" t="s">
        <v>8617</v>
      </c>
      <c r="I802" s="2" t="s">
        <v>8618</v>
      </c>
      <c r="J802" s="2" t="s">
        <v>8619</v>
      </c>
      <c r="K802" s="2" t="s">
        <v>226</v>
      </c>
      <c r="L802" s="2" t="s">
        <v>226</v>
      </c>
      <c r="M802" s="2" t="s">
        <v>226</v>
      </c>
      <c r="N802" s="2" t="s">
        <v>226</v>
      </c>
      <c r="O802" s="2" t="s">
        <v>8620</v>
      </c>
      <c r="P802" s="2" t="s">
        <v>8621</v>
      </c>
      <c r="Q802" s="2" t="s">
        <v>8622</v>
      </c>
      <c r="R802" s="2" t="s">
        <v>230</v>
      </c>
      <c r="S802" s="2" t="s">
        <v>8623</v>
      </c>
      <c r="T802" s="2" t="s">
        <v>8624</v>
      </c>
      <c r="U802" s="2" t="s">
        <v>29</v>
      </c>
      <c r="V802" s="2" t="n">
        <v>3</v>
      </c>
    </row>
    <row r="803">
      <c r="A803" s="2" t="n">
        <v>802</v>
      </c>
      <c r="B803" s="2" t="s">
        <v>8625</v>
      </c>
      <c r="C803" s="2" t="n">
        <v>777.485915309</v>
      </c>
      <c r="D803" s="2" t="n">
        <v>3.3394377116355</v>
      </c>
      <c r="E803" s="2" t="s">
        <v>8626</v>
      </c>
      <c r="F803" s="2" t="s">
        <v>42</v>
      </c>
      <c r="G803" s="2" t="s">
        <v>8627</v>
      </c>
      <c r="H803" s="2" t="s">
        <v>8628</v>
      </c>
      <c r="I803" s="2" t="s">
        <v>8629</v>
      </c>
      <c r="J803" s="2" t="s">
        <v>8630</v>
      </c>
      <c r="K803" s="2" t="s">
        <v>8631</v>
      </c>
      <c r="L803" s="2" t="s">
        <v>29</v>
      </c>
      <c r="M803" s="2" t="s">
        <v>29</v>
      </c>
      <c r="N803" s="2" t="s">
        <v>8632</v>
      </c>
      <c r="O803" s="2" t="s">
        <v>29</v>
      </c>
      <c r="P803" s="2" t="s">
        <v>8633</v>
      </c>
      <c r="Q803" s="2" t="s">
        <v>8634</v>
      </c>
      <c r="R803" s="2" t="s">
        <v>1490</v>
      </c>
      <c r="S803" s="2" t="s">
        <v>4236</v>
      </c>
      <c r="T803" s="2" t="s">
        <v>5175</v>
      </c>
      <c r="U803" s="2" t="s">
        <v>29</v>
      </c>
      <c r="V803" s="2" t="n">
        <v>1</v>
      </c>
    </row>
    <row r="804">
      <c r="A804" s="2" t="n">
        <v>803</v>
      </c>
      <c r="B804" s="2" t="s">
        <v>8635</v>
      </c>
      <c r="C804" s="2" t="n">
        <v>778.127575141</v>
      </c>
      <c r="D804" s="2" t="n">
        <v>8.96521540166363</v>
      </c>
      <c r="E804" s="2" t="s">
        <v>8636</v>
      </c>
      <c r="F804" s="2" t="s">
        <v>250</v>
      </c>
      <c r="G804" s="2" t="s">
        <v>8637</v>
      </c>
      <c r="H804" s="2" t="s">
        <v>8638</v>
      </c>
      <c r="I804" s="2" t="s">
        <v>8639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8640</v>
      </c>
      <c r="O804" s="2" t="s">
        <v>29</v>
      </c>
      <c r="P804" s="2" t="s">
        <v>8641</v>
      </c>
      <c r="Q804" s="2" t="s">
        <v>8642</v>
      </c>
      <c r="R804" s="2" t="s">
        <v>2509</v>
      </c>
      <c r="S804" s="2" t="s">
        <v>4367</v>
      </c>
      <c r="T804" s="2" t="s">
        <v>205</v>
      </c>
      <c r="U804" s="2" t="s">
        <v>29</v>
      </c>
      <c r="V804" s="2" t="n">
        <v>1</v>
      </c>
    </row>
    <row r="805">
      <c r="A805" s="2" t="n">
        <v>804</v>
      </c>
      <c r="B805" s="2" t="s">
        <v>8643</v>
      </c>
      <c r="C805" s="2" t="n">
        <v>778.502843965</v>
      </c>
      <c r="D805" s="2" t="n">
        <v>3.75657833495334</v>
      </c>
      <c r="E805" s="2" t="s">
        <v>8644</v>
      </c>
      <c r="F805" s="2" t="s">
        <v>110</v>
      </c>
      <c r="G805" s="2" t="s">
        <v>8645</v>
      </c>
      <c r="H805" s="2" t="s">
        <v>8646</v>
      </c>
      <c r="I805" s="2" t="s">
        <v>8647</v>
      </c>
      <c r="J805" s="2" t="s">
        <v>8648</v>
      </c>
      <c r="K805" s="2" t="s">
        <v>8649</v>
      </c>
      <c r="L805" s="2" t="s">
        <v>29</v>
      </c>
      <c r="M805" s="2" t="s">
        <v>29</v>
      </c>
      <c r="N805" s="2" t="s">
        <v>8650</v>
      </c>
      <c r="O805" s="2" t="s">
        <v>29</v>
      </c>
      <c r="P805" s="2" t="s">
        <v>8651</v>
      </c>
      <c r="Q805" s="2" t="s">
        <v>8652</v>
      </c>
      <c r="R805" s="2" t="s">
        <v>1490</v>
      </c>
      <c r="S805" s="2" t="s">
        <v>4236</v>
      </c>
      <c r="T805" s="2" t="s">
        <v>5369</v>
      </c>
      <c r="U805" s="2" t="s">
        <v>29</v>
      </c>
      <c r="V805" s="2" t="n">
        <v>1</v>
      </c>
    </row>
    <row r="806">
      <c r="A806" s="2" t="n">
        <v>805</v>
      </c>
      <c r="B806" s="2" t="s">
        <v>8653</v>
      </c>
      <c r="C806" s="2" t="n">
        <v>783.161996522</v>
      </c>
      <c r="D806" s="2" t="n">
        <v>9.67828271119536</v>
      </c>
      <c r="E806" s="2" t="s">
        <v>8654</v>
      </c>
      <c r="F806" s="2" t="s">
        <v>42</v>
      </c>
      <c r="G806" s="2" t="s">
        <v>8655</v>
      </c>
      <c r="H806" s="2" t="s">
        <v>8656</v>
      </c>
      <c r="I806" s="2" t="s">
        <v>8657</v>
      </c>
      <c r="J806" s="2" t="s">
        <v>8658</v>
      </c>
      <c r="K806" s="2" t="s">
        <v>226</v>
      </c>
      <c r="L806" s="2" t="s">
        <v>226</v>
      </c>
      <c r="M806" s="2" t="s">
        <v>8659</v>
      </c>
      <c r="N806" s="2" t="s">
        <v>8660</v>
      </c>
      <c r="O806" s="2" t="s">
        <v>8661</v>
      </c>
      <c r="P806" s="2" t="s">
        <v>8662</v>
      </c>
      <c r="Q806" s="2" t="s">
        <v>8663</v>
      </c>
      <c r="R806" s="2" t="s">
        <v>5230</v>
      </c>
      <c r="S806" s="2" t="s">
        <v>5231</v>
      </c>
      <c r="T806" s="2" t="s">
        <v>8074</v>
      </c>
      <c r="U806" s="2" t="s">
        <v>29</v>
      </c>
      <c r="V806" s="2" t="n">
        <v>3</v>
      </c>
    </row>
    <row r="807">
      <c r="A807" s="2" t="n">
        <v>806</v>
      </c>
      <c r="B807" s="2" t="s">
        <v>8664</v>
      </c>
      <c r="C807" s="2" t="n">
        <v>785.144722426</v>
      </c>
      <c r="D807" s="2" t="n">
        <v>7.47560749399733</v>
      </c>
      <c r="E807" s="2" t="s">
        <v>8665</v>
      </c>
      <c r="F807" s="2" t="s">
        <v>24</v>
      </c>
      <c r="G807" s="2" t="s">
        <v>8666</v>
      </c>
      <c r="H807" s="2" t="s">
        <v>8667</v>
      </c>
      <c r="I807" s="2" t="s">
        <v>8668</v>
      </c>
      <c r="J807" s="2" t="s">
        <v>29</v>
      </c>
      <c r="K807" s="2" t="s">
        <v>29</v>
      </c>
      <c r="L807" s="2" t="s">
        <v>29</v>
      </c>
      <c r="M807" s="2" t="s">
        <v>8669</v>
      </c>
      <c r="N807" s="2" t="s">
        <v>8670</v>
      </c>
      <c r="O807" s="2" t="s">
        <v>29</v>
      </c>
      <c r="P807" s="2" t="s">
        <v>8671</v>
      </c>
      <c r="Q807" s="2" t="s">
        <v>8672</v>
      </c>
      <c r="R807" s="2" t="s">
        <v>355</v>
      </c>
      <c r="S807" s="2" t="s">
        <v>5537</v>
      </c>
      <c r="T807" s="2" t="s">
        <v>5538</v>
      </c>
      <c r="U807" s="2" t="s">
        <v>29</v>
      </c>
      <c r="V807" s="2" t="n">
        <v>1</v>
      </c>
    </row>
    <row r="808">
      <c r="A808" s="2" t="n">
        <v>807</v>
      </c>
      <c r="B808" s="2" t="s">
        <v>8673</v>
      </c>
      <c r="C808" s="2" t="n">
        <v>786.565439431</v>
      </c>
      <c r="D808" s="2" t="n">
        <v>6.34707605586655</v>
      </c>
      <c r="E808" s="2" t="s">
        <v>8674</v>
      </c>
      <c r="F808" s="2" t="s">
        <v>24</v>
      </c>
      <c r="G808" s="2" t="s">
        <v>8675</v>
      </c>
      <c r="H808" s="2" t="s">
        <v>8676</v>
      </c>
      <c r="I808" s="2" t="s">
        <v>8677</v>
      </c>
      <c r="J808" s="2" t="s">
        <v>8678</v>
      </c>
      <c r="K808" s="2" t="s">
        <v>29</v>
      </c>
      <c r="L808" s="2" t="s">
        <v>8608</v>
      </c>
      <c r="M808" s="2" t="s">
        <v>8679</v>
      </c>
      <c r="N808" s="2" t="s">
        <v>8680</v>
      </c>
      <c r="O808" s="2" t="s">
        <v>29</v>
      </c>
      <c r="P808" s="2" t="s">
        <v>8681</v>
      </c>
      <c r="Q808" s="2" t="s">
        <v>8682</v>
      </c>
      <c r="R808" s="2" t="s">
        <v>1490</v>
      </c>
      <c r="S808" s="2" t="s">
        <v>4236</v>
      </c>
      <c r="T808" s="2" t="s">
        <v>8613</v>
      </c>
      <c r="U808" s="2" t="s">
        <v>39</v>
      </c>
      <c r="V808" s="2" t="n">
        <v>1</v>
      </c>
    </row>
    <row r="809">
      <c r="A809" s="2" t="n">
        <v>808</v>
      </c>
      <c r="B809" s="2" t="s">
        <v>8683</v>
      </c>
      <c r="C809" s="2" t="n">
        <v>789.18030179</v>
      </c>
      <c r="D809" s="2" t="n">
        <v>2.69261735755446</v>
      </c>
      <c r="E809" s="2" t="s">
        <v>8684</v>
      </c>
      <c r="F809" s="2" t="s">
        <v>522</v>
      </c>
      <c r="G809" s="2" t="s">
        <v>8685</v>
      </c>
      <c r="H809" s="2" t="s">
        <v>8686</v>
      </c>
      <c r="I809" s="2" t="s">
        <v>8687</v>
      </c>
      <c r="J809" s="2" t="s">
        <v>8688</v>
      </c>
      <c r="K809" s="2" t="s">
        <v>29</v>
      </c>
      <c r="L809" s="2" t="s">
        <v>29</v>
      </c>
      <c r="M809" s="2" t="s">
        <v>29</v>
      </c>
      <c r="N809" s="2" t="s">
        <v>8689</v>
      </c>
      <c r="O809" s="2" t="s">
        <v>8690</v>
      </c>
      <c r="P809" s="2" t="s">
        <v>8691</v>
      </c>
      <c r="Q809" s="2" t="s">
        <v>8692</v>
      </c>
      <c r="R809" s="2" t="s">
        <v>2509</v>
      </c>
      <c r="S809" s="2" t="s">
        <v>5520</v>
      </c>
      <c r="T809" s="2" t="s">
        <v>5664</v>
      </c>
      <c r="U809" s="2" t="s">
        <v>29</v>
      </c>
      <c r="V809" s="2" t="n">
        <v>1</v>
      </c>
    </row>
    <row r="810">
      <c r="A810" s="2" t="n">
        <v>809</v>
      </c>
      <c r="B810" s="2" t="s">
        <v>8693</v>
      </c>
      <c r="C810" s="2" t="n">
        <v>791.527460211</v>
      </c>
      <c r="D810" s="2" t="n">
        <v>5.36562821322688</v>
      </c>
      <c r="E810" s="2" t="s">
        <v>8694</v>
      </c>
      <c r="F810" s="2" t="s">
        <v>24</v>
      </c>
      <c r="G810" s="2" t="s">
        <v>8695</v>
      </c>
      <c r="H810" s="2" t="s">
        <v>8696</v>
      </c>
      <c r="I810" s="2" t="s">
        <v>8697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8698</v>
      </c>
      <c r="O810" s="2" t="s">
        <v>29</v>
      </c>
      <c r="P810" s="2" t="s">
        <v>8699</v>
      </c>
      <c r="Q810" s="2" t="s">
        <v>8700</v>
      </c>
      <c r="R810" s="2" t="s">
        <v>64</v>
      </c>
      <c r="S810" s="2" t="s">
        <v>65</v>
      </c>
      <c r="T810" s="2" t="s">
        <v>66</v>
      </c>
      <c r="U810" s="2" t="s">
        <v>29</v>
      </c>
      <c r="V810" s="2" t="n">
        <v>1</v>
      </c>
    </row>
    <row r="811">
      <c r="A811" s="2" t="n">
        <v>810</v>
      </c>
      <c r="B811" s="2" t="s">
        <v>8701</v>
      </c>
      <c r="C811" s="2" t="n">
        <v>793.134317268</v>
      </c>
      <c r="D811" s="2" t="n">
        <v>4.96150033061461</v>
      </c>
      <c r="E811" s="2" t="s">
        <v>8702</v>
      </c>
      <c r="F811" s="2" t="s">
        <v>1019</v>
      </c>
      <c r="G811" s="2" t="s">
        <v>8703</v>
      </c>
      <c r="H811" s="2" t="s">
        <v>8704</v>
      </c>
      <c r="I811" s="2" t="s">
        <v>8705</v>
      </c>
      <c r="J811" s="2" t="s">
        <v>8706</v>
      </c>
      <c r="K811" s="2" t="s">
        <v>226</v>
      </c>
      <c r="L811" s="2" t="s">
        <v>226</v>
      </c>
      <c r="M811" s="2" t="s">
        <v>8707</v>
      </c>
      <c r="N811" s="2" t="s">
        <v>8708</v>
      </c>
      <c r="O811" s="2" t="s">
        <v>8709</v>
      </c>
      <c r="P811" s="2" t="s">
        <v>8710</v>
      </c>
      <c r="Q811" s="2" t="s">
        <v>8711</v>
      </c>
      <c r="R811" s="2" t="s">
        <v>230</v>
      </c>
      <c r="S811" s="2" t="s">
        <v>8712</v>
      </c>
      <c r="T811" s="2" t="s">
        <v>8713</v>
      </c>
      <c r="U811" s="2" t="s">
        <v>29</v>
      </c>
      <c r="V811" s="2" t="n">
        <v>3</v>
      </c>
    </row>
    <row r="812">
      <c r="A812" s="2" t="n">
        <v>811</v>
      </c>
      <c r="B812" s="2" t="s">
        <v>8714</v>
      </c>
      <c r="C812" s="2" t="n">
        <v>793.506724778</v>
      </c>
      <c r="D812" s="2" t="n">
        <v>1.71193252977611</v>
      </c>
      <c r="E812" s="2" t="s">
        <v>8715</v>
      </c>
      <c r="F812" s="2" t="s">
        <v>24</v>
      </c>
      <c r="G812" s="2" t="s">
        <v>8716</v>
      </c>
      <c r="H812" s="2" t="s">
        <v>8717</v>
      </c>
      <c r="I812" s="2" t="s">
        <v>8718</v>
      </c>
      <c r="J812" s="2" t="s">
        <v>29</v>
      </c>
      <c r="K812" s="2" t="s">
        <v>29</v>
      </c>
      <c r="L812" s="2" t="s">
        <v>8719</v>
      </c>
      <c r="M812" s="2" t="s">
        <v>8720</v>
      </c>
      <c r="N812" s="2" t="s">
        <v>8721</v>
      </c>
      <c r="O812" s="2" t="s">
        <v>8722</v>
      </c>
      <c r="P812" s="2" t="s">
        <v>8723</v>
      </c>
      <c r="Q812" s="2" t="s">
        <v>8724</v>
      </c>
      <c r="R812" s="2" t="s">
        <v>64</v>
      </c>
      <c r="S812" s="2" t="s">
        <v>65</v>
      </c>
      <c r="T812" s="2" t="s">
        <v>66</v>
      </c>
      <c r="U812" s="2" t="s">
        <v>39</v>
      </c>
      <c r="V812" s="2" t="n">
        <v>1</v>
      </c>
    </row>
    <row r="813">
      <c r="A813" s="2" t="n">
        <v>812</v>
      </c>
      <c r="B813" s="2" t="s">
        <v>8725</v>
      </c>
      <c r="C813" s="2" t="n">
        <v>794.512463925</v>
      </c>
      <c r="D813" s="2" t="n">
        <v>1.52923929514247</v>
      </c>
      <c r="E813" s="2" t="s">
        <v>8726</v>
      </c>
      <c r="F813" s="2" t="s">
        <v>42</v>
      </c>
      <c r="G813" s="2" t="s">
        <v>8727</v>
      </c>
      <c r="H813" s="2" t="s">
        <v>8728</v>
      </c>
      <c r="I813" s="2" t="s">
        <v>8729</v>
      </c>
      <c r="J813" s="2" t="s">
        <v>8730</v>
      </c>
      <c r="K813" s="2" t="s">
        <v>29</v>
      </c>
      <c r="L813" s="2" t="s">
        <v>7680</v>
      </c>
      <c r="M813" s="2" t="s">
        <v>29</v>
      </c>
      <c r="N813" s="2" t="s">
        <v>8731</v>
      </c>
      <c r="O813" s="2" t="s">
        <v>29</v>
      </c>
      <c r="P813" s="2" t="s">
        <v>8732</v>
      </c>
      <c r="Q813" s="2" t="s">
        <v>8733</v>
      </c>
      <c r="R813" s="2" t="s">
        <v>1490</v>
      </c>
      <c r="S813" s="2" t="s">
        <v>4236</v>
      </c>
      <c r="T813" s="2" t="s">
        <v>5369</v>
      </c>
      <c r="U813" s="2" t="s">
        <v>39</v>
      </c>
      <c r="V813" s="2" t="n">
        <v>1</v>
      </c>
    </row>
    <row r="814">
      <c r="A814" s="2" t="n">
        <v>813</v>
      </c>
      <c r="B814" s="2" t="s">
        <v>8734</v>
      </c>
      <c r="C814" s="2" t="n">
        <v>795.141264</v>
      </c>
      <c r="D814" s="2" t="n">
        <v>3.35133813198653</v>
      </c>
      <c r="E814" s="2" t="s">
        <v>8735</v>
      </c>
      <c r="F814" s="2" t="s">
        <v>1019</v>
      </c>
      <c r="G814" s="2" t="s">
        <v>8736</v>
      </c>
      <c r="H814" s="2" t="s">
        <v>8737</v>
      </c>
      <c r="I814" s="2" t="s">
        <v>8738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8739</v>
      </c>
      <c r="Q814" s="2" t="s">
        <v>8740</v>
      </c>
      <c r="R814" s="2" t="s">
        <v>1490</v>
      </c>
      <c r="S814" s="2" t="s">
        <v>3546</v>
      </c>
      <c r="T814" s="2" t="s">
        <v>8741</v>
      </c>
      <c r="U814" s="2" t="s">
        <v>29</v>
      </c>
      <c r="V814" s="2" t="n">
        <v>1</v>
      </c>
    </row>
    <row r="815">
      <c r="A815" s="2" t="n">
        <v>814</v>
      </c>
      <c r="B815" s="2" t="s">
        <v>8742</v>
      </c>
      <c r="C815" s="2" t="n">
        <v>795.518159196</v>
      </c>
      <c r="D815" s="2" t="n">
        <v>6.54426707143629</v>
      </c>
      <c r="E815" s="2" t="s">
        <v>8743</v>
      </c>
      <c r="F815" s="2" t="s">
        <v>110</v>
      </c>
      <c r="G815" s="2" t="s">
        <v>8744</v>
      </c>
      <c r="H815" s="2" t="s">
        <v>8745</v>
      </c>
      <c r="I815" s="2" t="s">
        <v>8746</v>
      </c>
      <c r="J815" s="2" t="s">
        <v>8747</v>
      </c>
      <c r="K815" s="2" t="s">
        <v>29</v>
      </c>
      <c r="L815" s="2" t="s">
        <v>29</v>
      </c>
      <c r="M815" s="2" t="s">
        <v>8748</v>
      </c>
      <c r="N815" s="2" t="s">
        <v>8749</v>
      </c>
      <c r="O815" s="2" t="s">
        <v>29</v>
      </c>
      <c r="P815" s="2" t="s">
        <v>8750</v>
      </c>
      <c r="Q815" s="2" t="s">
        <v>8751</v>
      </c>
      <c r="R815" s="2" t="s">
        <v>1490</v>
      </c>
      <c r="S815" s="2" t="s">
        <v>4236</v>
      </c>
      <c r="T815" s="2" t="s">
        <v>8063</v>
      </c>
      <c r="U815" s="2" t="s">
        <v>29</v>
      </c>
      <c r="V815" s="2" t="n">
        <v>1</v>
      </c>
    </row>
    <row r="816">
      <c r="A816" s="2" t="n">
        <v>815</v>
      </c>
      <c r="B816" s="2" t="s">
        <v>8752</v>
      </c>
      <c r="C816" s="2" t="n">
        <v>802.560358842</v>
      </c>
      <c r="D816" s="2" t="n">
        <v>1.89284217651879</v>
      </c>
      <c r="E816" s="2" t="s">
        <v>8753</v>
      </c>
      <c r="F816" s="2" t="s">
        <v>110</v>
      </c>
      <c r="G816" s="2" t="s">
        <v>8754</v>
      </c>
      <c r="H816" s="2" t="s">
        <v>8755</v>
      </c>
      <c r="I816" s="2" t="s">
        <v>8756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8757</v>
      </c>
      <c r="O816" s="2" t="s">
        <v>29</v>
      </c>
      <c r="P816" s="2" t="s">
        <v>8758</v>
      </c>
      <c r="Q816" s="2" t="s">
        <v>8759</v>
      </c>
      <c r="R816" s="2" t="s">
        <v>1490</v>
      </c>
      <c r="S816" s="2" t="s">
        <v>4236</v>
      </c>
      <c r="T816" s="2" t="s">
        <v>8380</v>
      </c>
      <c r="U816" s="2" t="s">
        <v>29</v>
      </c>
      <c r="V816" s="2" t="n">
        <v>1</v>
      </c>
    </row>
    <row r="817">
      <c r="A817" s="2" t="n">
        <v>816</v>
      </c>
      <c r="B817" s="2" t="s">
        <v>8760</v>
      </c>
      <c r="C817" s="2" t="n">
        <v>803.140629604</v>
      </c>
      <c r="D817" s="2" t="n">
        <v>3.43598443744515</v>
      </c>
      <c r="E817" s="2" t="s">
        <v>8761</v>
      </c>
      <c r="F817" s="2" t="s">
        <v>1019</v>
      </c>
      <c r="G817" s="2" t="s">
        <v>8762</v>
      </c>
      <c r="H817" s="2" t="s">
        <v>8763</v>
      </c>
      <c r="I817" s="2" t="s">
        <v>8764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8765</v>
      </c>
      <c r="O817" s="2" t="s">
        <v>29</v>
      </c>
      <c r="P817" s="2" t="s">
        <v>8766</v>
      </c>
      <c r="Q817" s="2" t="s">
        <v>8767</v>
      </c>
      <c r="R817" s="2" t="s">
        <v>2509</v>
      </c>
      <c r="S817" s="2" t="s">
        <v>2840</v>
      </c>
      <c r="T817" s="2" t="s">
        <v>8768</v>
      </c>
      <c r="U817" s="2" t="s">
        <v>29</v>
      </c>
      <c r="V817" s="2" t="n">
        <v>1</v>
      </c>
    </row>
    <row r="818">
      <c r="A818" s="2" t="n">
        <v>817</v>
      </c>
      <c r="B818" s="2" t="s">
        <v>8769</v>
      </c>
      <c r="C818" s="2" t="n">
        <v>803.559630566</v>
      </c>
      <c r="D818" s="2" t="n">
        <v>0.146847103452337</v>
      </c>
      <c r="E818" s="2" t="s">
        <v>8770</v>
      </c>
      <c r="F818" s="2" t="s">
        <v>110</v>
      </c>
      <c r="G818" s="2" t="s">
        <v>8771</v>
      </c>
      <c r="H818" s="2" t="s">
        <v>8772</v>
      </c>
      <c r="I818" s="2" t="s">
        <v>8773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8774</v>
      </c>
      <c r="O818" s="2" t="s">
        <v>29</v>
      </c>
      <c r="P818" s="2" t="s">
        <v>8775</v>
      </c>
      <c r="Q818" s="2" t="s">
        <v>8776</v>
      </c>
      <c r="R818" s="2" t="s">
        <v>1490</v>
      </c>
      <c r="S818" s="2" t="s">
        <v>4236</v>
      </c>
      <c r="T818" s="2" t="s">
        <v>5175</v>
      </c>
      <c r="U818" s="2" t="s">
        <v>29</v>
      </c>
      <c r="V818" s="2" t="n">
        <v>1</v>
      </c>
    </row>
    <row r="819">
      <c r="A819" s="2" t="n">
        <v>818</v>
      </c>
      <c r="B819" s="2" t="s">
        <v>8777</v>
      </c>
      <c r="C819" s="2" t="n">
        <v>805.196345784</v>
      </c>
      <c r="D819" s="2" t="n">
        <v>6.92525180863471</v>
      </c>
      <c r="E819" s="2" t="s">
        <v>8778</v>
      </c>
      <c r="F819" s="2" t="s">
        <v>522</v>
      </c>
      <c r="G819" s="2" t="s">
        <v>8779</v>
      </c>
      <c r="H819" s="2" t="s">
        <v>8780</v>
      </c>
      <c r="I819" s="2" t="s">
        <v>8781</v>
      </c>
      <c r="J819" s="2" t="s">
        <v>8782</v>
      </c>
      <c r="K819" s="2" t="s">
        <v>226</v>
      </c>
      <c r="L819" s="2" t="s">
        <v>226</v>
      </c>
      <c r="M819" s="2" t="s">
        <v>226</v>
      </c>
      <c r="N819" s="2" t="s">
        <v>8783</v>
      </c>
      <c r="O819" s="2" t="s">
        <v>8784</v>
      </c>
      <c r="P819" s="2" t="s">
        <v>8785</v>
      </c>
      <c r="Q819" s="2" t="s">
        <v>8786</v>
      </c>
      <c r="R819" s="2" t="s">
        <v>5230</v>
      </c>
      <c r="S819" s="2" t="s">
        <v>5231</v>
      </c>
      <c r="T819" s="2" t="s">
        <v>8074</v>
      </c>
      <c r="U819" s="2" t="s">
        <v>29</v>
      </c>
      <c r="V819" s="2" t="n">
        <v>3</v>
      </c>
    </row>
    <row r="820">
      <c r="A820" s="2" t="n">
        <v>819</v>
      </c>
      <c r="B820" s="2" t="s">
        <v>8787</v>
      </c>
      <c r="C820" s="2" t="n">
        <v>805.572873695</v>
      </c>
      <c r="D820" s="2" t="n">
        <v>7.35502378068303</v>
      </c>
      <c r="E820" s="2" t="s">
        <v>8788</v>
      </c>
      <c r="F820" s="2" t="s">
        <v>360</v>
      </c>
      <c r="G820" s="2" t="s">
        <v>8789</v>
      </c>
      <c r="H820" s="2" t="s">
        <v>8790</v>
      </c>
      <c r="I820" s="2" t="s">
        <v>8791</v>
      </c>
      <c r="J820" s="2" t="s">
        <v>8792</v>
      </c>
      <c r="K820" s="2" t="s">
        <v>8793</v>
      </c>
      <c r="L820" s="2" t="s">
        <v>72</v>
      </c>
      <c r="M820" s="2" t="s">
        <v>72</v>
      </c>
      <c r="N820" s="2" t="s">
        <v>8794</v>
      </c>
      <c r="O820" s="2" t="s">
        <v>72</v>
      </c>
      <c r="P820" s="2" t="s">
        <v>8795</v>
      </c>
      <c r="Q820" s="2" t="s">
        <v>8796</v>
      </c>
      <c r="R820" s="2" t="s">
        <v>575</v>
      </c>
      <c r="S820" s="2" t="s">
        <v>6260</v>
      </c>
      <c r="T820" s="2" t="s">
        <v>8001</v>
      </c>
      <c r="U820" s="2" t="s">
        <v>29</v>
      </c>
      <c r="V820" s="2" t="n">
        <v>2</v>
      </c>
    </row>
    <row r="821">
      <c r="A821" s="2" t="n">
        <v>820</v>
      </c>
      <c r="B821" s="2" t="s">
        <v>8797</v>
      </c>
      <c r="C821" s="2" t="n">
        <v>809.19163609</v>
      </c>
      <c r="D821" s="2" t="n">
        <v>6.07134409025615</v>
      </c>
      <c r="E821" s="2" t="s">
        <v>8798</v>
      </c>
      <c r="F821" s="2" t="s">
        <v>1019</v>
      </c>
      <c r="G821" s="2" t="s">
        <v>8799</v>
      </c>
      <c r="H821" s="2" t="s">
        <v>8800</v>
      </c>
      <c r="I821" s="2" t="s">
        <v>8801</v>
      </c>
      <c r="J821" s="2" t="s">
        <v>8802</v>
      </c>
      <c r="K821" s="2" t="s">
        <v>29</v>
      </c>
      <c r="L821" s="2" t="s">
        <v>8803</v>
      </c>
      <c r="M821" s="2" t="s">
        <v>8804</v>
      </c>
      <c r="N821" s="2" t="s">
        <v>8805</v>
      </c>
      <c r="O821" s="2" t="s">
        <v>8806</v>
      </c>
      <c r="P821" s="2" t="s">
        <v>8807</v>
      </c>
      <c r="Q821" s="2" t="s">
        <v>8808</v>
      </c>
      <c r="R821" s="2" t="s">
        <v>355</v>
      </c>
      <c r="S821" s="2" t="s">
        <v>4796</v>
      </c>
      <c r="T821" s="2" t="s">
        <v>4797</v>
      </c>
      <c r="U821" s="2" t="s">
        <v>39</v>
      </c>
      <c r="V821" s="2" t="n">
        <v>1</v>
      </c>
    </row>
    <row r="822">
      <c r="A822" s="2" t="n">
        <v>821</v>
      </c>
      <c r="B822" s="2" t="s">
        <v>8809</v>
      </c>
      <c r="C822" s="2" t="n">
        <v>809.489358373</v>
      </c>
      <c r="D822" s="2" t="n">
        <v>0.589688166165985</v>
      </c>
      <c r="E822" s="2" t="s">
        <v>8810</v>
      </c>
      <c r="F822" s="2" t="s">
        <v>522</v>
      </c>
      <c r="G822" s="2" t="s">
        <v>8811</v>
      </c>
      <c r="H822" s="2" t="s">
        <v>8812</v>
      </c>
      <c r="I822" s="2" t="s">
        <v>8813</v>
      </c>
      <c r="J822" s="2" t="s">
        <v>8814</v>
      </c>
      <c r="K822" s="2" t="s">
        <v>8815</v>
      </c>
      <c r="L822" s="2" t="s">
        <v>72</v>
      </c>
      <c r="M822" s="2" t="s">
        <v>72</v>
      </c>
      <c r="N822" s="2" t="s">
        <v>8816</v>
      </c>
      <c r="O822" s="2" t="s">
        <v>72</v>
      </c>
      <c r="P822" s="2" t="s">
        <v>8817</v>
      </c>
      <c r="Q822" s="2" t="s">
        <v>8818</v>
      </c>
      <c r="R822" s="2" t="s">
        <v>575</v>
      </c>
      <c r="S822" s="2" t="s">
        <v>6260</v>
      </c>
      <c r="T822" s="2" t="s">
        <v>8001</v>
      </c>
      <c r="U822" s="2" t="s">
        <v>29</v>
      </c>
      <c r="V822" s="2" t="n">
        <v>2</v>
      </c>
    </row>
    <row r="823">
      <c r="A823" s="2" t="n">
        <v>822</v>
      </c>
      <c r="B823" s="2" t="s">
        <v>8819</v>
      </c>
      <c r="C823" s="2" t="n">
        <v>811.195136932</v>
      </c>
      <c r="D823" s="2" t="n">
        <v>8.18717446897488</v>
      </c>
      <c r="E823" s="2" t="s">
        <v>8820</v>
      </c>
      <c r="F823" s="2" t="s">
        <v>250</v>
      </c>
      <c r="G823" s="2" t="s">
        <v>8821</v>
      </c>
      <c r="H823" s="2" t="s">
        <v>8822</v>
      </c>
      <c r="I823" s="2" t="s">
        <v>8823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8824</v>
      </c>
      <c r="O823" s="2" t="s">
        <v>29</v>
      </c>
      <c r="P823" s="2" t="s">
        <v>8825</v>
      </c>
      <c r="Q823" s="2" t="s">
        <v>8826</v>
      </c>
      <c r="R823" s="2" t="s">
        <v>49</v>
      </c>
      <c r="S823" s="2" t="s">
        <v>165</v>
      </c>
      <c r="T823" s="2" t="s">
        <v>166</v>
      </c>
      <c r="U823" s="2" t="s">
        <v>29</v>
      </c>
      <c r="V823" s="2" t="n">
        <v>1</v>
      </c>
    </row>
    <row r="824">
      <c r="A824" s="2" t="n">
        <v>823</v>
      </c>
      <c r="B824" s="2" t="s">
        <v>8827</v>
      </c>
      <c r="C824" s="2" t="n">
        <v>813.1775956</v>
      </c>
      <c r="D824" s="2" t="n">
        <v>2.13511500994522</v>
      </c>
      <c r="E824" s="2" t="s">
        <v>8828</v>
      </c>
      <c r="F824" s="2" t="s">
        <v>1019</v>
      </c>
      <c r="G824" s="2" t="s">
        <v>8829</v>
      </c>
      <c r="H824" s="2" t="s">
        <v>8830</v>
      </c>
      <c r="I824" s="2" t="s">
        <v>8831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8832</v>
      </c>
      <c r="O824" s="2" t="s">
        <v>29</v>
      </c>
      <c r="P824" s="2" t="s">
        <v>8833</v>
      </c>
      <c r="Q824" s="2" t="s">
        <v>8834</v>
      </c>
      <c r="R824" s="2" t="s">
        <v>2509</v>
      </c>
      <c r="S824" s="2" t="s">
        <v>8835</v>
      </c>
      <c r="T824" s="2" t="s">
        <v>8836</v>
      </c>
      <c r="U824" s="2" t="s">
        <v>29</v>
      </c>
      <c r="V824" s="2" t="n">
        <v>1</v>
      </c>
    </row>
    <row r="825">
      <c r="A825" s="2" t="n">
        <v>824</v>
      </c>
      <c r="B825" s="2" t="s">
        <v>8837</v>
      </c>
      <c r="C825" s="2" t="n">
        <v>815.507984132</v>
      </c>
      <c r="D825" s="2" t="n">
        <v>0.654632668228772</v>
      </c>
      <c r="E825" s="2" t="s">
        <v>8838</v>
      </c>
      <c r="F825" s="2" t="s">
        <v>24</v>
      </c>
      <c r="G825" s="2" t="s">
        <v>8839</v>
      </c>
      <c r="H825" s="2" t="s">
        <v>8840</v>
      </c>
      <c r="I825" s="2" t="s">
        <v>8841</v>
      </c>
      <c r="J825" s="2" t="s">
        <v>8842</v>
      </c>
      <c r="K825" s="2" t="s">
        <v>8843</v>
      </c>
      <c r="L825" s="2" t="s">
        <v>29</v>
      </c>
      <c r="M825" s="2" t="s">
        <v>8844</v>
      </c>
      <c r="N825" s="2" t="s">
        <v>8845</v>
      </c>
      <c r="O825" s="2" t="s">
        <v>29</v>
      </c>
      <c r="P825" s="2" t="s">
        <v>8846</v>
      </c>
      <c r="Q825" s="2" t="s">
        <v>8847</v>
      </c>
      <c r="R825" s="2" t="s">
        <v>1490</v>
      </c>
      <c r="S825" s="2" t="s">
        <v>4236</v>
      </c>
      <c r="T825" s="2" t="s">
        <v>8063</v>
      </c>
      <c r="U825" s="2" t="s">
        <v>29</v>
      </c>
      <c r="V825" s="2" t="n">
        <v>1</v>
      </c>
    </row>
    <row r="826">
      <c r="A826" s="2" t="n">
        <v>825</v>
      </c>
      <c r="B826" s="2" t="s">
        <v>8848</v>
      </c>
      <c r="C826" s="2" t="n">
        <v>815.583926974</v>
      </c>
      <c r="D826" s="2" t="n">
        <v>3.07578602017492</v>
      </c>
      <c r="E826" s="2" t="s">
        <v>8849</v>
      </c>
      <c r="F826" s="2" t="s">
        <v>522</v>
      </c>
      <c r="G826" s="2" t="s">
        <v>8850</v>
      </c>
      <c r="H826" s="2" t="s">
        <v>8851</v>
      </c>
      <c r="I826" s="2" t="s">
        <v>8852</v>
      </c>
      <c r="J826" s="2" t="s">
        <v>29</v>
      </c>
      <c r="K826" s="2" t="s">
        <v>29</v>
      </c>
      <c r="L826" s="2" t="s">
        <v>8853</v>
      </c>
      <c r="M826" s="2" t="s">
        <v>8854</v>
      </c>
      <c r="N826" s="2" t="s">
        <v>8855</v>
      </c>
      <c r="O826" s="2" t="s">
        <v>29</v>
      </c>
      <c r="P826" s="2" t="s">
        <v>8856</v>
      </c>
      <c r="Q826" s="2" t="s">
        <v>8857</v>
      </c>
      <c r="R826" s="2" t="s">
        <v>1490</v>
      </c>
      <c r="S826" s="2" t="s">
        <v>8433</v>
      </c>
      <c r="T826" s="2" t="s">
        <v>8858</v>
      </c>
      <c r="U826" s="2" t="s">
        <v>39</v>
      </c>
      <c r="V826" s="2" t="n">
        <v>1</v>
      </c>
    </row>
    <row r="827">
      <c r="A827" s="2" t="n">
        <v>826</v>
      </c>
      <c r="B827" s="2" t="s">
        <v>8859</v>
      </c>
      <c r="C827" s="2" t="n">
        <v>816.503233585</v>
      </c>
      <c r="D827" s="2" t="n">
        <v>9.47982497896571</v>
      </c>
      <c r="E827" s="2" t="s">
        <v>8860</v>
      </c>
      <c r="F827" s="2" t="s">
        <v>24</v>
      </c>
      <c r="G827" s="2" t="s">
        <v>8861</v>
      </c>
      <c r="H827" s="2" t="s">
        <v>8862</v>
      </c>
      <c r="I827" s="2" t="s">
        <v>8863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8864</v>
      </c>
      <c r="O827" s="2" t="s">
        <v>29</v>
      </c>
      <c r="P827" s="2" t="s">
        <v>8865</v>
      </c>
      <c r="Q827" s="2" t="s">
        <v>8866</v>
      </c>
      <c r="R827" s="2" t="s">
        <v>1490</v>
      </c>
      <c r="S827" s="2" t="s">
        <v>4236</v>
      </c>
      <c r="T827" s="2" t="s">
        <v>8380</v>
      </c>
      <c r="U827" s="2" t="s">
        <v>29</v>
      </c>
      <c r="V827" s="2" t="n">
        <v>1</v>
      </c>
    </row>
    <row r="828">
      <c r="A828" s="2" t="n">
        <v>827</v>
      </c>
      <c r="B828" s="2" t="s">
        <v>8867</v>
      </c>
      <c r="C828" s="2" t="n">
        <v>817.523634196</v>
      </c>
      <c r="D828" s="2" t="n">
        <v>0.761989815498518</v>
      </c>
      <c r="E828" s="2" t="s">
        <v>8868</v>
      </c>
      <c r="F828" s="2" t="s">
        <v>24</v>
      </c>
      <c r="G828" s="2" t="s">
        <v>8869</v>
      </c>
      <c r="H828" s="2" t="s">
        <v>8870</v>
      </c>
      <c r="I828" s="2" t="s">
        <v>8871</v>
      </c>
      <c r="J828" s="2" t="s">
        <v>8872</v>
      </c>
      <c r="K828" s="2" t="s">
        <v>29</v>
      </c>
      <c r="L828" s="2" t="s">
        <v>29</v>
      </c>
      <c r="M828" s="2" t="s">
        <v>8418</v>
      </c>
      <c r="N828" s="2" t="s">
        <v>8873</v>
      </c>
      <c r="O828" s="2" t="s">
        <v>29</v>
      </c>
      <c r="P828" s="2" t="s">
        <v>8874</v>
      </c>
      <c r="Q828" s="2" t="s">
        <v>8875</v>
      </c>
      <c r="R828" s="2" t="s">
        <v>1490</v>
      </c>
      <c r="S828" s="2" t="s">
        <v>4236</v>
      </c>
      <c r="T828" s="2" t="s">
        <v>8063</v>
      </c>
      <c r="U828" s="2" t="s">
        <v>29</v>
      </c>
      <c r="V828" s="2" t="n">
        <v>1</v>
      </c>
    </row>
    <row r="829">
      <c r="A829" s="2" t="n">
        <v>828</v>
      </c>
      <c r="B829" s="2" t="s">
        <v>8876</v>
      </c>
      <c r="C829" s="2" t="n">
        <v>818.518883649</v>
      </c>
      <c r="D829" s="2" t="n">
        <v>4.04060446102876</v>
      </c>
      <c r="E829" s="2" t="s">
        <v>8877</v>
      </c>
      <c r="F829" s="2" t="s">
        <v>24</v>
      </c>
      <c r="G829" s="2" t="s">
        <v>8878</v>
      </c>
      <c r="H829" s="2" t="s">
        <v>8879</v>
      </c>
      <c r="I829" s="2" t="s">
        <v>8880</v>
      </c>
      <c r="J829" s="2" t="s">
        <v>8881</v>
      </c>
      <c r="K829" s="2" t="s">
        <v>8882</v>
      </c>
      <c r="L829" s="2" t="s">
        <v>29</v>
      </c>
      <c r="M829" s="2" t="s">
        <v>29</v>
      </c>
      <c r="N829" s="2" t="s">
        <v>8883</v>
      </c>
      <c r="O829" s="2" t="s">
        <v>29</v>
      </c>
      <c r="P829" s="2" t="s">
        <v>8884</v>
      </c>
      <c r="Q829" s="2" t="s">
        <v>8885</v>
      </c>
      <c r="R829" s="2" t="s">
        <v>1490</v>
      </c>
      <c r="S829" s="2" t="s">
        <v>4236</v>
      </c>
      <c r="T829" s="2" t="s">
        <v>8380</v>
      </c>
      <c r="U829" s="2" t="s">
        <v>29</v>
      </c>
      <c r="V829" s="2" t="n">
        <v>1</v>
      </c>
    </row>
    <row r="830">
      <c r="A830" s="2" t="n">
        <v>829</v>
      </c>
      <c r="B830" s="2" t="s">
        <v>8886</v>
      </c>
      <c r="C830" s="2" t="n">
        <v>819.139010528</v>
      </c>
      <c r="D830" s="2" t="n">
        <v>9.7617817960961</v>
      </c>
      <c r="E830" s="2" t="s">
        <v>8887</v>
      </c>
      <c r="F830" s="2" t="s">
        <v>360</v>
      </c>
      <c r="G830" s="2" t="s">
        <v>8888</v>
      </c>
      <c r="H830" s="2" t="s">
        <v>8889</v>
      </c>
      <c r="I830" s="2" t="s">
        <v>8890</v>
      </c>
      <c r="J830" s="2" t="s">
        <v>8891</v>
      </c>
      <c r="K830" s="2" t="s">
        <v>29</v>
      </c>
      <c r="L830" s="2" t="s">
        <v>29</v>
      </c>
      <c r="M830" s="2" t="s">
        <v>29</v>
      </c>
      <c r="N830" s="2" t="s">
        <v>8892</v>
      </c>
      <c r="O830" s="2" t="s">
        <v>29</v>
      </c>
      <c r="P830" s="2" t="s">
        <v>8893</v>
      </c>
      <c r="Q830" s="2" t="s">
        <v>8894</v>
      </c>
      <c r="R830" s="2" t="s">
        <v>2509</v>
      </c>
      <c r="S830" s="2" t="s">
        <v>5520</v>
      </c>
      <c r="T830" s="2" t="s">
        <v>5664</v>
      </c>
      <c r="U830" s="2" t="s">
        <v>29</v>
      </c>
      <c r="V830" s="2" t="n">
        <v>1</v>
      </c>
    </row>
    <row r="831">
      <c r="A831" s="2" t="n">
        <v>830</v>
      </c>
      <c r="B831" s="2" t="s">
        <v>8895</v>
      </c>
      <c r="C831" s="2" t="n">
        <v>819.531161631</v>
      </c>
      <c r="D831" s="2" t="n">
        <v>3.83744108981533</v>
      </c>
      <c r="E831" s="2" t="s">
        <v>8896</v>
      </c>
      <c r="F831" s="2" t="s">
        <v>250</v>
      </c>
      <c r="G831" s="2" t="s">
        <v>8897</v>
      </c>
      <c r="H831" s="2" t="s">
        <v>8898</v>
      </c>
      <c r="I831" s="2" t="s">
        <v>8899</v>
      </c>
      <c r="J831" s="2" t="s">
        <v>72</v>
      </c>
      <c r="K831" s="2" t="s">
        <v>72</v>
      </c>
      <c r="L831" s="2" t="s">
        <v>72</v>
      </c>
      <c r="M831" s="2" t="s">
        <v>72</v>
      </c>
      <c r="N831" s="2" t="s">
        <v>8900</v>
      </c>
      <c r="O831" s="2" t="s">
        <v>72</v>
      </c>
      <c r="P831" s="2" t="s">
        <v>8901</v>
      </c>
      <c r="Q831" s="2" t="s">
        <v>8902</v>
      </c>
      <c r="R831" s="2" t="s">
        <v>575</v>
      </c>
      <c r="S831" s="2" t="s">
        <v>6260</v>
      </c>
      <c r="T831" s="2" t="s">
        <v>8001</v>
      </c>
      <c r="U831" s="2" t="s">
        <v>29</v>
      </c>
      <c r="V831" s="2" t="n">
        <v>2</v>
      </c>
    </row>
    <row r="832">
      <c r="A832" s="2" t="n">
        <v>831</v>
      </c>
      <c r="B832" s="2" t="s">
        <v>8903</v>
      </c>
      <c r="C832" s="2" t="n">
        <v>820.528113989</v>
      </c>
      <c r="D832" s="2" t="n">
        <v>5.69378948595886</v>
      </c>
      <c r="E832" s="2" t="s">
        <v>8904</v>
      </c>
      <c r="F832" s="2" t="s">
        <v>42</v>
      </c>
      <c r="G832" s="2" t="s">
        <v>8905</v>
      </c>
      <c r="H832" s="2" t="s">
        <v>8906</v>
      </c>
      <c r="I832" s="2" t="s">
        <v>8907</v>
      </c>
      <c r="J832" s="2" t="s">
        <v>8908</v>
      </c>
      <c r="K832" s="2" t="s">
        <v>8909</v>
      </c>
      <c r="L832" s="2" t="s">
        <v>7680</v>
      </c>
      <c r="M832" s="2" t="s">
        <v>29</v>
      </c>
      <c r="N832" s="2" t="s">
        <v>8910</v>
      </c>
      <c r="O832" s="2" t="s">
        <v>29</v>
      </c>
      <c r="P832" s="2" t="s">
        <v>8911</v>
      </c>
      <c r="Q832" s="2" t="s">
        <v>8912</v>
      </c>
      <c r="R832" s="2" t="s">
        <v>1490</v>
      </c>
      <c r="S832" s="2" t="s">
        <v>4236</v>
      </c>
      <c r="T832" s="2" t="s">
        <v>5369</v>
      </c>
      <c r="U832" s="2" t="s">
        <v>39</v>
      </c>
      <c r="V832" s="2" t="n">
        <v>1</v>
      </c>
    </row>
    <row r="833">
      <c r="A833" s="2" t="n">
        <v>832</v>
      </c>
      <c r="B833" s="2" t="s">
        <v>8913</v>
      </c>
      <c r="C833" s="2" t="n">
        <v>821.54741211</v>
      </c>
      <c r="D833" s="2" t="n">
        <v>0.938279859861241</v>
      </c>
      <c r="E833" s="2" t="s">
        <v>8914</v>
      </c>
      <c r="F833" s="2" t="s">
        <v>1019</v>
      </c>
      <c r="G833" s="2" t="s">
        <v>8915</v>
      </c>
      <c r="H833" s="2" t="s">
        <v>8916</v>
      </c>
      <c r="I833" s="2" t="s">
        <v>8917</v>
      </c>
      <c r="J833" s="2" t="s">
        <v>8918</v>
      </c>
      <c r="K833" s="2" t="s">
        <v>29</v>
      </c>
      <c r="L833" s="2" t="s">
        <v>29</v>
      </c>
      <c r="M833" s="2" t="s">
        <v>8919</v>
      </c>
      <c r="N833" s="2" t="s">
        <v>8920</v>
      </c>
      <c r="O833" s="2" t="s">
        <v>8921</v>
      </c>
      <c r="P833" s="2" t="s">
        <v>8922</v>
      </c>
      <c r="Q833" s="2" t="s">
        <v>8923</v>
      </c>
      <c r="R833" s="2" t="s">
        <v>502</v>
      </c>
      <c r="S833" s="2" t="s">
        <v>503</v>
      </c>
      <c r="T833" s="2" t="s">
        <v>5166</v>
      </c>
      <c r="U833" s="2" t="s">
        <v>29</v>
      </c>
      <c r="V833" s="2" t="n">
        <v>1</v>
      </c>
    </row>
    <row r="834">
      <c r="A834" s="2" t="n">
        <v>833</v>
      </c>
      <c r="B834" s="2" t="s">
        <v>8924</v>
      </c>
      <c r="C834" s="2" t="n">
        <v>824.121389519</v>
      </c>
      <c r="D834" s="2" t="n">
        <v>2.24623525750819</v>
      </c>
      <c r="E834" s="2" t="s">
        <v>8925</v>
      </c>
      <c r="F834" s="2" t="s">
        <v>250</v>
      </c>
      <c r="G834" s="2" t="s">
        <v>8926</v>
      </c>
      <c r="H834" s="2" t="s">
        <v>8927</v>
      </c>
      <c r="I834" s="2" t="s">
        <v>8928</v>
      </c>
      <c r="J834" s="2" t="s">
        <v>8929</v>
      </c>
      <c r="K834" s="2" t="s">
        <v>29</v>
      </c>
      <c r="L834" s="2" t="s">
        <v>8930</v>
      </c>
      <c r="M834" s="2" t="s">
        <v>8931</v>
      </c>
      <c r="N834" s="2" t="s">
        <v>8932</v>
      </c>
      <c r="O834" s="2" t="s">
        <v>8933</v>
      </c>
      <c r="P834" s="2" t="s">
        <v>8934</v>
      </c>
      <c r="Q834" s="2" t="s">
        <v>8935</v>
      </c>
      <c r="R834" s="2" t="s">
        <v>2590</v>
      </c>
      <c r="S834" s="2" t="s">
        <v>8936</v>
      </c>
      <c r="T834" s="2" t="s">
        <v>205</v>
      </c>
      <c r="U834" s="2" t="s">
        <v>39</v>
      </c>
      <c r="V834" s="2" t="n">
        <v>1</v>
      </c>
    </row>
    <row r="835">
      <c r="A835" s="2" t="n">
        <v>834</v>
      </c>
      <c r="B835" s="2" t="s">
        <v>8937</v>
      </c>
      <c r="C835" s="2" t="n">
        <v>826.552292495</v>
      </c>
      <c r="D835" s="2" t="n">
        <v>3.08681736162398</v>
      </c>
      <c r="E835" s="2" t="s">
        <v>8938</v>
      </c>
      <c r="F835" s="2" t="s">
        <v>522</v>
      </c>
      <c r="G835" s="2" t="s">
        <v>8939</v>
      </c>
      <c r="H835" s="2" t="s">
        <v>8940</v>
      </c>
      <c r="I835" s="2" t="s">
        <v>8941</v>
      </c>
      <c r="J835" s="2" t="s">
        <v>8942</v>
      </c>
      <c r="K835" s="2" t="s">
        <v>29</v>
      </c>
      <c r="L835" s="2" t="s">
        <v>8608</v>
      </c>
      <c r="M835" s="2" t="s">
        <v>8943</v>
      </c>
      <c r="N835" s="2" t="s">
        <v>8944</v>
      </c>
      <c r="O835" s="2" t="s">
        <v>29</v>
      </c>
      <c r="P835" s="2" t="s">
        <v>8945</v>
      </c>
      <c r="Q835" s="2" t="s">
        <v>8946</v>
      </c>
      <c r="R835" s="2" t="s">
        <v>1490</v>
      </c>
      <c r="S835" s="2" t="s">
        <v>4236</v>
      </c>
      <c r="T835" s="2" t="s">
        <v>8613</v>
      </c>
      <c r="U835" s="2" t="s">
        <v>39</v>
      </c>
      <c r="V835" s="2" t="n">
        <v>1</v>
      </c>
    </row>
    <row r="836">
      <c r="A836" s="2" t="n">
        <v>835</v>
      </c>
      <c r="B836" s="2" t="s">
        <v>8947</v>
      </c>
      <c r="C836" s="2" t="n">
        <v>827.176581568</v>
      </c>
      <c r="D836" s="2" t="n">
        <v>1.54088571588232</v>
      </c>
      <c r="E836" s="2" t="s">
        <v>8948</v>
      </c>
      <c r="F836" s="2" t="s">
        <v>1019</v>
      </c>
      <c r="G836" s="2" t="s">
        <v>8949</v>
      </c>
      <c r="H836" s="2" t="s">
        <v>8950</v>
      </c>
      <c r="I836" s="2" t="s">
        <v>8951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8952</v>
      </c>
      <c r="O836" s="2" t="s">
        <v>29</v>
      </c>
      <c r="P836" s="2" t="s">
        <v>8953</v>
      </c>
      <c r="Q836" s="2" t="s">
        <v>8954</v>
      </c>
      <c r="R836" s="2" t="s">
        <v>502</v>
      </c>
      <c r="S836" s="2" t="s">
        <v>503</v>
      </c>
      <c r="T836" s="2" t="s">
        <v>1964</v>
      </c>
      <c r="U836" s="2" t="s">
        <v>29</v>
      </c>
      <c r="V836" s="2" t="n">
        <v>1</v>
      </c>
    </row>
    <row r="837">
      <c r="A837" s="2" t="n">
        <v>836</v>
      </c>
      <c r="B837" s="2" t="s">
        <v>8955</v>
      </c>
      <c r="C837" s="2" t="n">
        <v>829.575280631</v>
      </c>
      <c r="D837" s="2" t="n">
        <v>5.77711661883161</v>
      </c>
      <c r="E837" s="2" t="s">
        <v>8956</v>
      </c>
      <c r="F837" s="2" t="s">
        <v>110</v>
      </c>
      <c r="G837" s="2" t="s">
        <v>8957</v>
      </c>
      <c r="H837" s="2" t="s">
        <v>8958</v>
      </c>
      <c r="I837" s="2" t="s">
        <v>8959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8960</v>
      </c>
      <c r="O837" s="2" t="s">
        <v>29</v>
      </c>
      <c r="P837" s="2" t="s">
        <v>8961</v>
      </c>
      <c r="Q837" s="2" t="s">
        <v>8962</v>
      </c>
      <c r="R837" s="2" t="s">
        <v>1490</v>
      </c>
      <c r="S837" s="2" t="s">
        <v>4236</v>
      </c>
      <c r="T837" s="2" t="s">
        <v>5175</v>
      </c>
      <c r="U837" s="2" t="s">
        <v>29</v>
      </c>
      <c r="V837" s="2" t="n">
        <v>1</v>
      </c>
    </row>
    <row r="838">
      <c r="A838" s="2" t="n">
        <v>837</v>
      </c>
      <c r="B838" s="2" t="s">
        <v>8963</v>
      </c>
      <c r="C838" s="2" t="n">
        <v>830.583592623</v>
      </c>
      <c r="D838" s="2" t="n">
        <v>1.67961816209146</v>
      </c>
      <c r="E838" s="2" t="s">
        <v>8964</v>
      </c>
      <c r="F838" s="2" t="s">
        <v>522</v>
      </c>
      <c r="G838" s="2" t="s">
        <v>8965</v>
      </c>
      <c r="H838" s="2" t="s">
        <v>8966</v>
      </c>
      <c r="I838" s="2" t="s">
        <v>8967</v>
      </c>
      <c r="J838" s="2" t="s">
        <v>8968</v>
      </c>
      <c r="K838" s="2" t="s">
        <v>29</v>
      </c>
      <c r="L838" s="2" t="s">
        <v>8608</v>
      </c>
      <c r="M838" s="2" t="s">
        <v>8969</v>
      </c>
      <c r="N838" s="2" t="s">
        <v>8970</v>
      </c>
      <c r="O838" s="2" t="s">
        <v>29</v>
      </c>
      <c r="P838" s="2" t="s">
        <v>8971</v>
      </c>
      <c r="Q838" s="2" t="s">
        <v>8972</v>
      </c>
      <c r="R838" s="2" t="s">
        <v>1490</v>
      </c>
      <c r="S838" s="2" t="s">
        <v>4236</v>
      </c>
      <c r="T838" s="2" t="s">
        <v>8613</v>
      </c>
      <c r="U838" s="2" t="s">
        <v>39</v>
      </c>
      <c r="V838" s="2" t="n">
        <v>1</v>
      </c>
    </row>
    <row r="839">
      <c r="A839" s="2" t="n">
        <v>838</v>
      </c>
      <c r="B839" s="2" t="s">
        <v>8973</v>
      </c>
      <c r="C839" s="2" t="n">
        <v>831.500496126</v>
      </c>
      <c r="D839" s="2" t="n">
        <v>0.319423614800843</v>
      </c>
      <c r="E839" s="2" t="s">
        <v>8974</v>
      </c>
      <c r="F839" s="2" t="s">
        <v>360</v>
      </c>
      <c r="G839" s="2" t="s">
        <v>8975</v>
      </c>
      <c r="H839" s="2" t="s">
        <v>8976</v>
      </c>
      <c r="I839" s="2" t="s">
        <v>8977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8978</v>
      </c>
      <c r="Q839" s="2" t="s">
        <v>8979</v>
      </c>
      <c r="R839" s="2" t="s">
        <v>1490</v>
      </c>
      <c r="S839" s="2" t="s">
        <v>4236</v>
      </c>
      <c r="T839" s="2" t="s">
        <v>4237</v>
      </c>
      <c r="U839" s="2" t="s">
        <v>29</v>
      </c>
      <c r="V839" s="2" t="n">
        <v>1</v>
      </c>
    </row>
    <row r="840">
      <c r="A840" s="2" t="n">
        <v>839</v>
      </c>
      <c r="B840" s="2" t="s">
        <v>8980</v>
      </c>
      <c r="C840" s="2" t="n">
        <v>832.511001233</v>
      </c>
      <c r="D840" s="2" t="n">
        <v>9.6870018534878</v>
      </c>
      <c r="E840" s="2" t="s">
        <v>8981</v>
      </c>
      <c r="F840" s="2" t="s">
        <v>360</v>
      </c>
      <c r="G840" s="2" t="s">
        <v>8982</v>
      </c>
      <c r="H840" s="2" t="s">
        <v>8983</v>
      </c>
      <c r="I840" s="2" t="s">
        <v>8984</v>
      </c>
      <c r="J840" s="2" t="s">
        <v>8985</v>
      </c>
      <c r="K840" s="2" t="s">
        <v>29</v>
      </c>
      <c r="L840" s="2" t="s">
        <v>8986</v>
      </c>
      <c r="M840" s="2" t="s">
        <v>8987</v>
      </c>
      <c r="N840" s="2" t="s">
        <v>8988</v>
      </c>
      <c r="O840" s="2" t="s">
        <v>29</v>
      </c>
      <c r="P840" s="2" t="s">
        <v>8989</v>
      </c>
      <c r="Q840" s="2" t="s">
        <v>8990</v>
      </c>
      <c r="R840" s="2" t="s">
        <v>1490</v>
      </c>
      <c r="S840" s="2" t="s">
        <v>4236</v>
      </c>
      <c r="T840" s="2" t="s">
        <v>8380</v>
      </c>
      <c r="U840" s="2" t="s">
        <v>39</v>
      </c>
      <c r="V840" s="2" t="n">
        <v>1</v>
      </c>
    </row>
    <row r="841">
      <c r="A841" s="2" t="n">
        <v>840</v>
      </c>
      <c r="B841" s="2" t="s">
        <v>8991</v>
      </c>
      <c r="C841" s="2" t="n">
        <v>833.51048726</v>
      </c>
      <c r="D841" s="2" t="n">
        <v>5.57347621349587</v>
      </c>
      <c r="E841" s="2" t="s">
        <v>8992</v>
      </c>
      <c r="F841" s="2" t="s">
        <v>522</v>
      </c>
      <c r="G841" s="2" t="s">
        <v>8993</v>
      </c>
      <c r="H841" s="2" t="s">
        <v>8994</v>
      </c>
      <c r="I841" s="2" t="s">
        <v>8995</v>
      </c>
      <c r="J841" s="2" t="s">
        <v>8996</v>
      </c>
      <c r="K841" s="2" t="s">
        <v>8997</v>
      </c>
      <c r="L841" s="2" t="s">
        <v>29</v>
      </c>
      <c r="M841" s="2" t="s">
        <v>8998</v>
      </c>
      <c r="N841" s="2" t="s">
        <v>8999</v>
      </c>
      <c r="O841" s="2" t="s">
        <v>29</v>
      </c>
      <c r="P841" s="2" t="s">
        <v>9000</v>
      </c>
      <c r="Q841" s="2" t="s">
        <v>9001</v>
      </c>
      <c r="R841" s="2" t="s">
        <v>1490</v>
      </c>
      <c r="S841" s="2" t="s">
        <v>4236</v>
      </c>
      <c r="T841" s="2" t="s">
        <v>8063</v>
      </c>
      <c r="U841" s="2" t="s">
        <v>29</v>
      </c>
      <c r="V841" s="2" t="n">
        <v>1</v>
      </c>
    </row>
    <row r="842">
      <c r="A842" s="2" t="n">
        <v>841</v>
      </c>
      <c r="B842" s="2" t="s">
        <v>9002</v>
      </c>
      <c r="C842" s="2" t="n">
        <v>835.143404</v>
      </c>
      <c r="D842" s="2" t="n">
        <v>5.84771372125453</v>
      </c>
      <c r="E842" s="2" t="s">
        <v>9003</v>
      </c>
      <c r="F842" s="2" t="s">
        <v>1019</v>
      </c>
      <c r="G842" s="2" t="s">
        <v>9004</v>
      </c>
      <c r="H842" s="2" t="s">
        <v>9005</v>
      </c>
      <c r="I842" s="2" t="s">
        <v>9006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9007</v>
      </c>
      <c r="O842" s="2" t="s">
        <v>29</v>
      </c>
      <c r="P842" s="2" t="s">
        <v>9008</v>
      </c>
      <c r="Q842" s="2" t="s">
        <v>9009</v>
      </c>
      <c r="R842" s="2" t="s">
        <v>502</v>
      </c>
      <c r="S842" s="2" t="s">
        <v>503</v>
      </c>
      <c r="T842" s="2" t="s">
        <v>9010</v>
      </c>
      <c r="U842" s="2" t="s">
        <v>29</v>
      </c>
      <c r="V842" s="2" t="n">
        <v>1</v>
      </c>
    </row>
    <row r="843">
      <c r="A843" s="2" t="n">
        <v>842</v>
      </c>
      <c r="B843" s="2" t="s">
        <v>9011</v>
      </c>
      <c r="C843" s="2" t="n">
        <v>836.523578925</v>
      </c>
      <c r="D843" s="2" t="n">
        <v>4.67875082690803</v>
      </c>
      <c r="E843" s="2" t="s">
        <v>9012</v>
      </c>
      <c r="F843" s="2" t="s">
        <v>110</v>
      </c>
      <c r="G843" s="2" t="s">
        <v>9013</v>
      </c>
      <c r="H843" s="2" t="s">
        <v>9014</v>
      </c>
      <c r="I843" s="2" t="s">
        <v>9015</v>
      </c>
      <c r="J843" s="2" t="s">
        <v>9016</v>
      </c>
      <c r="K843" s="2" t="s">
        <v>29</v>
      </c>
      <c r="L843" s="2" t="s">
        <v>7680</v>
      </c>
      <c r="M843" s="2" t="s">
        <v>29</v>
      </c>
      <c r="N843" s="2" t="s">
        <v>9017</v>
      </c>
      <c r="O843" s="2" t="s">
        <v>29</v>
      </c>
      <c r="P843" s="2" t="s">
        <v>9018</v>
      </c>
      <c r="Q843" s="2" t="s">
        <v>9019</v>
      </c>
      <c r="R843" s="2" t="s">
        <v>1490</v>
      </c>
      <c r="S843" s="2" t="s">
        <v>4236</v>
      </c>
      <c r="T843" s="2" t="s">
        <v>5369</v>
      </c>
      <c r="U843" s="2" t="s">
        <v>39</v>
      </c>
      <c r="V843" s="2" t="n">
        <v>1</v>
      </c>
    </row>
    <row r="844">
      <c r="A844" s="2" t="n">
        <v>843</v>
      </c>
      <c r="B844" s="2" t="s">
        <v>9020</v>
      </c>
      <c r="C844" s="2" t="n">
        <v>839.498473061</v>
      </c>
      <c r="D844" s="2" t="n">
        <v>3.74553077093926</v>
      </c>
      <c r="E844" s="2" t="s">
        <v>9021</v>
      </c>
      <c r="F844" s="2" t="s">
        <v>110</v>
      </c>
      <c r="G844" s="2" t="s">
        <v>9022</v>
      </c>
      <c r="H844" s="2" t="s">
        <v>9023</v>
      </c>
      <c r="I844" s="2" t="s">
        <v>9024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9025</v>
      </c>
      <c r="Q844" s="2" t="s">
        <v>9026</v>
      </c>
      <c r="R844" s="2" t="s">
        <v>1490</v>
      </c>
      <c r="S844" s="2" t="s">
        <v>6728</v>
      </c>
      <c r="T844" s="2" t="s">
        <v>9027</v>
      </c>
      <c r="U844" s="2" t="s">
        <v>29</v>
      </c>
      <c r="V844" s="2" t="n">
        <v>1</v>
      </c>
    </row>
    <row r="845">
      <c r="A845" s="2" t="n">
        <v>844</v>
      </c>
      <c r="B845" s="2" t="s">
        <v>9028</v>
      </c>
      <c r="C845" s="2" t="n">
        <v>840.503233105</v>
      </c>
      <c r="D845" s="2" t="n">
        <v>0.871077333752907</v>
      </c>
      <c r="E845" s="2" t="s">
        <v>9029</v>
      </c>
      <c r="F845" s="2" t="s">
        <v>24</v>
      </c>
      <c r="G845" s="2" t="s">
        <v>9030</v>
      </c>
      <c r="H845" s="2" t="s">
        <v>9031</v>
      </c>
      <c r="I845" s="2" t="s">
        <v>9032</v>
      </c>
      <c r="J845" s="2" t="s">
        <v>226</v>
      </c>
      <c r="K845" s="2" t="s">
        <v>226</v>
      </c>
      <c r="L845" s="2" t="s">
        <v>226</v>
      </c>
      <c r="M845" s="2" t="s">
        <v>226</v>
      </c>
      <c r="N845" s="2" t="s">
        <v>226</v>
      </c>
      <c r="O845" s="2" t="s">
        <v>226</v>
      </c>
      <c r="P845" s="2" t="s">
        <v>9033</v>
      </c>
      <c r="Q845" s="2" t="s">
        <v>9034</v>
      </c>
      <c r="R845" s="2" t="s">
        <v>105</v>
      </c>
      <c r="S845" s="2" t="s">
        <v>5723</v>
      </c>
      <c r="T845" s="2" t="s">
        <v>5724</v>
      </c>
      <c r="U845" s="2" t="s">
        <v>29</v>
      </c>
      <c r="V845" s="2" t="n">
        <v>3</v>
      </c>
    </row>
    <row r="846">
      <c r="A846" s="2" t="n">
        <v>845</v>
      </c>
      <c r="B846" s="2" t="s">
        <v>9035</v>
      </c>
      <c r="C846" s="2" t="n">
        <v>840.576004117</v>
      </c>
      <c r="D846" s="2" t="n">
        <v>2.85045690771995</v>
      </c>
      <c r="E846" s="2" t="s">
        <v>9036</v>
      </c>
      <c r="F846" s="2" t="s">
        <v>24</v>
      </c>
      <c r="G846" s="2" t="s">
        <v>9037</v>
      </c>
      <c r="H846" s="2" t="s">
        <v>9038</v>
      </c>
      <c r="I846" s="2" t="s">
        <v>9039</v>
      </c>
      <c r="J846" s="2" t="s">
        <v>9040</v>
      </c>
      <c r="K846" s="2" t="s">
        <v>9041</v>
      </c>
      <c r="L846" s="2" t="s">
        <v>8009</v>
      </c>
      <c r="M846" s="2" t="s">
        <v>9042</v>
      </c>
      <c r="N846" s="2" t="s">
        <v>9043</v>
      </c>
      <c r="O846" s="2" t="s">
        <v>72</v>
      </c>
      <c r="P846" s="2" t="s">
        <v>9044</v>
      </c>
      <c r="Q846" s="2" t="s">
        <v>9045</v>
      </c>
      <c r="R846" s="2" t="s">
        <v>575</v>
      </c>
      <c r="S846" s="2" t="s">
        <v>6260</v>
      </c>
      <c r="T846" s="2" t="s">
        <v>6261</v>
      </c>
      <c r="U846" s="2" t="s">
        <v>39</v>
      </c>
      <c r="V846" s="2" t="n">
        <v>2</v>
      </c>
    </row>
    <row r="847">
      <c r="A847" s="2" t="n">
        <v>846</v>
      </c>
      <c r="B847" s="2" t="s">
        <v>9046</v>
      </c>
      <c r="C847" s="2" t="n">
        <v>841.511234006</v>
      </c>
      <c r="D847" s="2" t="n">
        <v>0.0557640597647426</v>
      </c>
      <c r="E847" s="2" t="s">
        <v>9047</v>
      </c>
      <c r="F847" s="2" t="s">
        <v>522</v>
      </c>
      <c r="G847" s="2" t="s">
        <v>9048</v>
      </c>
      <c r="H847" s="2" t="s">
        <v>9049</v>
      </c>
      <c r="I847" s="2" t="s">
        <v>9050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9051</v>
      </c>
      <c r="Q847" s="2" t="s">
        <v>9052</v>
      </c>
      <c r="R847" s="2" t="s">
        <v>355</v>
      </c>
      <c r="S847" s="2" t="s">
        <v>1316</v>
      </c>
      <c r="T847" s="2" t="s">
        <v>205</v>
      </c>
      <c r="U847" s="2" t="s">
        <v>29</v>
      </c>
      <c r="V847" s="2" t="n">
        <v>1</v>
      </c>
    </row>
    <row r="848">
      <c r="A848" s="2" t="n">
        <v>847</v>
      </c>
      <c r="B848" s="2" t="s">
        <v>9053</v>
      </c>
      <c r="C848" s="2" t="n">
        <v>842.522435129</v>
      </c>
      <c r="D848" s="2" t="n">
        <v>0.0812621396557009</v>
      </c>
      <c r="E848" s="2" t="s">
        <v>9054</v>
      </c>
      <c r="F848" s="2" t="s">
        <v>522</v>
      </c>
      <c r="G848" s="2" t="s">
        <v>9055</v>
      </c>
      <c r="H848" s="2" t="s">
        <v>9056</v>
      </c>
      <c r="I848" s="2" t="s">
        <v>9057</v>
      </c>
      <c r="J848" s="2" t="s">
        <v>9058</v>
      </c>
      <c r="K848" s="2" t="s">
        <v>29</v>
      </c>
      <c r="L848" s="2" t="s">
        <v>9059</v>
      </c>
      <c r="M848" s="2" t="s">
        <v>29</v>
      </c>
      <c r="N848" s="2" t="s">
        <v>9060</v>
      </c>
      <c r="O848" s="2" t="s">
        <v>9061</v>
      </c>
      <c r="P848" s="2" t="s">
        <v>9062</v>
      </c>
      <c r="Q848" s="2" t="s">
        <v>9063</v>
      </c>
      <c r="R848" s="2" t="s">
        <v>1490</v>
      </c>
      <c r="S848" s="2" t="s">
        <v>8433</v>
      </c>
      <c r="T848" s="2" t="s">
        <v>8434</v>
      </c>
      <c r="U848" s="2" t="s">
        <v>39</v>
      </c>
      <c r="V848" s="2" t="n">
        <v>1</v>
      </c>
    </row>
    <row r="849">
      <c r="A849" s="2" t="n">
        <v>848</v>
      </c>
      <c r="B849" s="2" t="s">
        <v>9064</v>
      </c>
      <c r="C849" s="2" t="n">
        <v>843.177252656</v>
      </c>
      <c r="D849" s="2" t="n">
        <v>5.92126691184772</v>
      </c>
      <c r="E849" s="2" t="s">
        <v>9065</v>
      </c>
      <c r="F849" s="2" t="s">
        <v>42</v>
      </c>
      <c r="G849" s="2" t="s">
        <v>9066</v>
      </c>
      <c r="H849" s="2" t="s">
        <v>9067</v>
      </c>
      <c r="I849" s="2" t="s">
        <v>9068</v>
      </c>
      <c r="J849" s="2" t="s">
        <v>9069</v>
      </c>
      <c r="K849" s="2" t="s">
        <v>9070</v>
      </c>
      <c r="L849" s="2" t="s">
        <v>9071</v>
      </c>
      <c r="M849" s="2" t="s">
        <v>9072</v>
      </c>
      <c r="N849" s="2" t="s">
        <v>9073</v>
      </c>
      <c r="O849" s="2" t="s">
        <v>9074</v>
      </c>
      <c r="P849" s="2" t="s">
        <v>9075</v>
      </c>
      <c r="Q849" s="2" t="s">
        <v>9076</v>
      </c>
      <c r="R849" s="2" t="s">
        <v>480</v>
      </c>
      <c r="S849" s="2" t="s">
        <v>9077</v>
      </c>
      <c r="T849" s="2" t="s">
        <v>9078</v>
      </c>
      <c r="U849" s="2" t="s">
        <v>39</v>
      </c>
      <c r="V849" s="2" t="n">
        <v>2</v>
      </c>
    </row>
    <row r="850">
      <c r="A850" s="2" t="n">
        <v>849</v>
      </c>
      <c r="B850" s="2" t="s">
        <v>9079</v>
      </c>
      <c r="C850" s="2" t="n">
        <v>843.529076702</v>
      </c>
      <c r="D850" s="2" t="n">
        <v>5.70824406196081</v>
      </c>
      <c r="E850" s="2" t="s">
        <v>9080</v>
      </c>
      <c r="F850" s="2" t="s">
        <v>1019</v>
      </c>
      <c r="G850" s="2" t="s">
        <v>9081</v>
      </c>
      <c r="H850" s="2" t="s">
        <v>9082</v>
      </c>
      <c r="I850" s="2" t="s">
        <v>9083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9084</v>
      </c>
      <c r="Q850" s="2" t="s">
        <v>9085</v>
      </c>
      <c r="R850" s="2" t="s">
        <v>355</v>
      </c>
      <c r="S850" s="2" t="s">
        <v>5131</v>
      </c>
      <c r="T850" s="2" t="s">
        <v>5132</v>
      </c>
      <c r="U850" s="2" t="s">
        <v>29</v>
      </c>
      <c r="V850" s="2" t="n">
        <v>1</v>
      </c>
    </row>
    <row r="851">
      <c r="A851" s="2" t="n">
        <v>850</v>
      </c>
      <c r="B851" s="2" t="s">
        <v>9086</v>
      </c>
      <c r="C851" s="2" t="n">
        <v>844.562857181</v>
      </c>
      <c r="D851" s="2" t="n">
        <v>1.16090823616277</v>
      </c>
      <c r="E851" s="2" t="s">
        <v>9087</v>
      </c>
      <c r="F851" s="2" t="s">
        <v>522</v>
      </c>
      <c r="G851" s="2" t="s">
        <v>9088</v>
      </c>
      <c r="H851" s="2" t="s">
        <v>9089</v>
      </c>
      <c r="I851" s="2" t="s">
        <v>9090</v>
      </c>
      <c r="J851" s="2" t="s">
        <v>9091</v>
      </c>
      <c r="K851" s="2" t="s">
        <v>9092</v>
      </c>
      <c r="L851" s="2" t="s">
        <v>8608</v>
      </c>
      <c r="M851" s="2" t="s">
        <v>9093</v>
      </c>
      <c r="N851" s="2" t="s">
        <v>9094</v>
      </c>
      <c r="O851" s="2" t="s">
        <v>29</v>
      </c>
      <c r="P851" s="2" t="s">
        <v>9095</v>
      </c>
      <c r="Q851" s="2" t="s">
        <v>9096</v>
      </c>
      <c r="R851" s="2" t="s">
        <v>1490</v>
      </c>
      <c r="S851" s="2" t="s">
        <v>4236</v>
      </c>
      <c r="T851" s="2" t="s">
        <v>8613</v>
      </c>
      <c r="U851" s="2" t="s">
        <v>39</v>
      </c>
      <c r="V851" s="2" t="n">
        <v>1</v>
      </c>
    </row>
    <row r="852">
      <c r="A852" s="2" t="n">
        <v>851</v>
      </c>
      <c r="B852" s="2" t="s">
        <v>9097</v>
      </c>
      <c r="C852" s="2" t="n">
        <v>846.133598708</v>
      </c>
      <c r="D852" s="2" t="n">
        <v>0.480059668123506</v>
      </c>
      <c r="E852" s="2" t="s">
        <v>9098</v>
      </c>
      <c r="F852" s="2" t="s">
        <v>42</v>
      </c>
      <c r="G852" s="2" t="s">
        <v>9099</v>
      </c>
      <c r="H852" s="2" t="s">
        <v>9100</v>
      </c>
      <c r="I852" s="2" t="s">
        <v>9101</v>
      </c>
      <c r="J852" s="2" t="s">
        <v>29</v>
      </c>
      <c r="K852" s="2" t="s">
        <v>29</v>
      </c>
      <c r="L852" s="2" t="s">
        <v>9102</v>
      </c>
      <c r="M852" s="2" t="s">
        <v>9103</v>
      </c>
      <c r="N852" s="2" t="s">
        <v>29</v>
      </c>
      <c r="O852" s="2" t="s">
        <v>9104</v>
      </c>
      <c r="P852" s="2" t="s">
        <v>9105</v>
      </c>
      <c r="Q852" s="2" t="s">
        <v>9106</v>
      </c>
      <c r="R852" s="2" t="s">
        <v>1490</v>
      </c>
      <c r="S852" s="2" t="s">
        <v>1491</v>
      </c>
      <c r="T852" s="2" t="s">
        <v>9107</v>
      </c>
      <c r="U852" s="2" t="s">
        <v>39</v>
      </c>
      <c r="V852" s="2" t="n">
        <v>1</v>
      </c>
    </row>
    <row r="853">
      <c r="A853" s="2" t="n">
        <v>852</v>
      </c>
      <c r="B853" s="2" t="s">
        <v>9108</v>
      </c>
      <c r="C853" s="2" t="n">
        <v>846.578507245</v>
      </c>
      <c r="D853" s="2" t="n">
        <v>2.38352170830021</v>
      </c>
      <c r="E853" s="2" t="s">
        <v>9109</v>
      </c>
      <c r="F853" s="2" t="s">
        <v>522</v>
      </c>
      <c r="G853" s="2" t="s">
        <v>9110</v>
      </c>
      <c r="H853" s="2" t="s">
        <v>9111</v>
      </c>
      <c r="I853" s="2" t="s">
        <v>9112</v>
      </c>
      <c r="J853" s="2" t="s">
        <v>9113</v>
      </c>
      <c r="K853" s="2" t="s">
        <v>9114</v>
      </c>
      <c r="L853" s="2" t="s">
        <v>8608</v>
      </c>
      <c r="M853" s="2" t="s">
        <v>9115</v>
      </c>
      <c r="N853" s="2" t="s">
        <v>9116</v>
      </c>
      <c r="O853" s="2" t="s">
        <v>29</v>
      </c>
      <c r="P853" s="2" t="s">
        <v>9117</v>
      </c>
      <c r="Q853" s="2" t="s">
        <v>9118</v>
      </c>
      <c r="R853" s="2" t="s">
        <v>1490</v>
      </c>
      <c r="S853" s="2" t="s">
        <v>4236</v>
      </c>
      <c r="T853" s="2" t="s">
        <v>8613</v>
      </c>
      <c r="U853" s="2" t="s">
        <v>39</v>
      </c>
      <c r="V853" s="2" t="n">
        <v>1</v>
      </c>
    </row>
    <row r="854">
      <c r="A854" s="2" t="n">
        <v>853</v>
      </c>
      <c r="B854" s="2" t="s">
        <v>9119</v>
      </c>
      <c r="C854" s="2" t="n">
        <v>847.491394613</v>
      </c>
      <c r="D854" s="2" t="n">
        <v>2.87207206660148</v>
      </c>
      <c r="E854" s="2" t="s">
        <v>9120</v>
      </c>
      <c r="F854" s="2" t="s">
        <v>42</v>
      </c>
      <c r="G854" s="2" t="s">
        <v>9121</v>
      </c>
      <c r="H854" s="2" t="s">
        <v>9122</v>
      </c>
      <c r="I854" s="2" t="s">
        <v>9123</v>
      </c>
      <c r="J854" s="2" t="s">
        <v>9124</v>
      </c>
      <c r="K854" s="2" t="s">
        <v>9125</v>
      </c>
      <c r="L854" s="2" t="s">
        <v>29</v>
      </c>
      <c r="M854" s="2" t="s">
        <v>29</v>
      </c>
      <c r="N854" s="2" t="s">
        <v>9126</v>
      </c>
      <c r="O854" s="2" t="s">
        <v>29</v>
      </c>
      <c r="P854" s="2" t="s">
        <v>9127</v>
      </c>
      <c r="Q854" s="2" t="s">
        <v>9128</v>
      </c>
      <c r="R854" s="2" t="s">
        <v>1490</v>
      </c>
      <c r="S854" s="2" t="s">
        <v>4236</v>
      </c>
      <c r="T854" s="2" t="s">
        <v>8063</v>
      </c>
      <c r="U854" s="2" t="s">
        <v>29</v>
      </c>
      <c r="V854" s="2" t="n">
        <v>1</v>
      </c>
    </row>
    <row r="855">
      <c r="A855" s="2" t="n">
        <v>854</v>
      </c>
      <c r="B855" s="2" t="s">
        <v>9129</v>
      </c>
      <c r="C855" s="2" t="n">
        <v>849.149575214</v>
      </c>
      <c r="D855" s="2" t="n">
        <v>0.310269664733092</v>
      </c>
      <c r="E855" s="2" t="s">
        <v>9130</v>
      </c>
      <c r="F855" s="2" t="s">
        <v>360</v>
      </c>
      <c r="G855" s="2" t="s">
        <v>9131</v>
      </c>
      <c r="H855" s="2" t="s">
        <v>9132</v>
      </c>
      <c r="I855" s="2" t="s">
        <v>9133</v>
      </c>
      <c r="J855" s="2" t="s">
        <v>9134</v>
      </c>
      <c r="K855" s="2" t="s">
        <v>72</v>
      </c>
      <c r="L855" s="2" t="s">
        <v>72</v>
      </c>
      <c r="M855" s="2" t="s">
        <v>72</v>
      </c>
      <c r="N855" s="2" t="s">
        <v>9135</v>
      </c>
      <c r="O855" s="2" t="s">
        <v>9136</v>
      </c>
      <c r="P855" s="2" t="s">
        <v>9137</v>
      </c>
      <c r="Q855" s="2" t="s">
        <v>9138</v>
      </c>
      <c r="R855" s="2" t="s">
        <v>3167</v>
      </c>
      <c r="S855" s="2" t="s">
        <v>4213</v>
      </c>
      <c r="T855" s="2" t="s">
        <v>9139</v>
      </c>
      <c r="U855" s="2" t="s">
        <v>29</v>
      </c>
      <c r="V855" s="2" t="n">
        <v>2</v>
      </c>
    </row>
    <row r="856">
      <c r="A856" s="2" t="n">
        <v>855</v>
      </c>
      <c r="B856" s="2" t="s">
        <v>9140</v>
      </c>
      <c r="C856" s="2" t="n">
        <v>850.52566744</v>
      </c>
      <c r="D856" s="2" t="n">
        <v>5.51544120409809</v>
      </c>
      <c r="E856" s="2" t="s">
        <v>9141</v>
      </c>
      <c r="F856" s="2" t="s">
        <v>1019</v>
      </c>
      <c r="G856" s="2" t="s">
        <v>9142</v>
      </c>
      <c r="H856" s="2" t="s">
        <v>9143</v>
      </c>
      <c r="I856" s="2" t="s">
        <v>9144</v>
      </c>
      <c r="J856" s="2" t="s">
        <v>226</v>
      </c>
      <c r="K856" s="2" t="s">
        <v>226</v>
      </c>
      <c r="L856" s="2" t="s">
        <v>226</v>
      </c>
      <c r="M856" s="2" t="s">
        <v>226</v>
      </c>
      <c r="N856" s="2" t="s">
        <v>9145</v>
      </c>
      <c r="O856" s="2" t="s">
        <v>226</v>
      </c>
      <c r="P856" s="2" t="s">
        <v>9146</v>
      </c>
      <c r="Q856" s="2" t="s">
        <v>9147</v>
      </c>
      <c r="R856" s="2" t="s">
        <v>3699</v>
      </c>
      <c r="S856" s="2" t="s">
        <v>3700</v>
      </c>
      <c r="T856" s="2" t="s">
        <v>9148</v>
      </c>
      <c r="U856" s="2" t="s">
        <v>29</v>
      </c>
      <c r="V856" s="2" t="n">
        <v>3</v>
      </c>
    </row>
    <row r="857">
      <c r="A857" s="2" t="n">
        <v>856</v>
      </c>
      <c r="B857" s="2" t="s">
        <v>9149</v>
      </c>
      <c r="C857" s="2" t="n">
        <v>851.522694742</v>
      </c>
      <c r="D857" s="2" t="n">
        <v>4.97916446664418</v>
      </c>
      <c r="E857" s="2" t="s">
        <v>9150</v>
      </c>
      <c r="F857" s="2" t="s">
        <v>42</v>
      </c>
      <c r="G857" s="2" t="s">
        <v>9151</v>
      </c>
      <c r="H857" s="2" t="s">
        <v>9152</v>
      </c>
      <c r="I857" s="2" t="s">
        <v>9153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9154</v>
      </c>
      <c r="O857" s="2" t="s">
        <v>29</v>
      </c>
      <c r="P857" s="2" t="s">
        <v>9155</v>
      </c>
      <c r="Q857" s="2" t="s">
        <v>9156</v>
      </c>
      <c r="R857" s="2" t="s">
        <v>1490</v>
      </c>
      <c r="S857" s="2" t="s">
        <v>4236</v>
      </c>
      <c r="T857" s="2" t="s">
        <v>8063</v>
      </c>
      <c r="U857" s="2" t="s">
        <v>29</v>
      </c>
      <c r="V857" s="2" t="n">
        <v>1</v>
      </c>
    </row>
    <row r="858">
      <c r="A858" s="2" t="n">
        <v>857</v>
      </c>
      <c r="B858" s="2" t="s">
        <v>9157</v>
      </c>
      <c r="C858" s="2" t="n">
        <v>852.144711801</v>
      </c>
      <c r="D858" s="2" t="n">
        <v>2.93927904968085</v>
      </c>
      <c r="E858" s="2" t="s">
        <v>9158</v>
      </c>
      <c r="F858" s="2" t="s">
        <v>110</v>
      </c>
      <c r="G858" s="2" t="s">
        <v>9159</v>
      </c>
      <c r="H858" s="2" t="s">
        <v>9160</v>
      </c>
      <c r="I858" s="2" t="s">
        <v>9161</v>
      </c>
      <c r="J858" s="2" t="s">
        <v>9162</v>
      </c>
      <c r="K858" s="2" t="s">
        <v>9163</v>
      </c>
      <c r="L858" s="2" t="s">
        <v>9164</v>
      </c>
      <c r="M858" s="2" t="s">
        <v>9165</v>
      </c>
      <c r="N858" s="2" t="s">
        <v>9166</v>
      </c>
      <c r="O858" s="2" t="s">
        <v>9167</v>
      </c>
      <c r="P858" s="2" t="s">
        <v>9168</v>
      </c>
      <c r="Q858" s="2" t="s">
        <v>9169</v>
      </c>
      <c r="R858" s="2" t="s">
        <v>105</v>
      </c>
      <c r="S858" s="2" t="s">
        <v>106</v>
      </c>
      <c r="T858" s="2" t="s">
        <v>9170</v>
      </c>
      <c r="U858" s="2" t="s">
        <v>39</v>
      </c>
      <c r="V858" s="2" t="n">
        <v>3</v>
      </c>
    </row>
    <row r="859">
      <c r="A859" s="2" t="n">
        <v>858</v>
      </c>
      <c r="B859" s="2" t="s">
        <v>9171</v>
      </c>
      <c r="C859" s="2" t="n">
        <v>854.531889907</v>
      </c>
      <c r="D859" s="2" t="n">
        <v>0.0126039842622848</v>
      </c>
      <c r="E859" s="2" t="s">
        <v>9172</v>
      </c>
      <c r="F859" s="2" t="s">
        <v>250</v>
      </c>
      <c r="G859" s="2" t="s">
        <v>9173</v>
      </c>
      <c r="H859" s="2" t="s">
        <v>9174</v>
      </c>
      <c r="I859" s="2" t="s">
        <v>9175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9176</v>
      </c>
      <c r="O859" s="2" t="s">
        <v>29</v>
      </c>
      <c r="P859" s="2" t="s">
        <v>9177</v>
      </c>
      <c r="Q859" s="2" t="s">
        <v>9178</v>
      </c>
      <c r="R859" s="2" t="s">
        <v>1490</v>
      </c>
      <c r="S859" s="2" t="s">
        <v>4236</v>
      </c>
      <c r="T859" s="2" t="s">
        <v>8380</v>
      </c>
      <c r="U859" s="2" t="s">
        <v>29</v>
      </c>
      <c r="V859" s="2" t="n">
        <v>1</v>
      </c>
    </row>
    <row r="860">
      <c r="A860" s="2" t="n">
        <v>859</v>
      </c>
      <c r="B860" s="2" t="s">
        <v>9179</v>
      </c>
      <c r="C860" s="2" t="n">
        <v>855.515789734</v>
      </c>
      <c r="D860" s="2" t="n">
        <v>8.6523466986976</v>
      </c>
      <c r="E860" s="2" t="s">
        <v>9180</v>
      </c>
      <c r="F860" s="2" t="s">
        <v>110</v>
      </c>
      <c r="G860" s="2" t="s">
        <v>9181</v>
      </c>
      <c r="H860" s="2" t="s">
        <v>9182</v>
      </c>
      <c r="I860" s="2" t="s">
        <v>9183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9184</v>
      </c>
      <c r="O860" s="2" t="s">
        <v>29</v>
      </c>
      <c r="P860" s="2" t="s">
        <v>9185</v>
      </c>
      <c r="Q860" s="2" t="s">
        <v>9186</v>
      </c>
      <c r="R860" s="2" t="s">
        <v>1490</v>
      </c>
      <c r="S860" s="2" t="s">
        <v>4236</v>
      </c>
      <c r="T860" s="2" t="s">
        <v>9187</v>
      </c>
      <c r="U860" s="2" t="s">
        <v>29</v>
      </c>
      <c r="V860" s="2" t="n">
        <v>1</v>
      </c>
    </row>
    <row r="861">
      <c r="A861" s="2" t="n">
        <v>860</v>
      </c>
      <c r="B861" s="2" t="s">
        <v>9188</v>
      </c>
      <c r="C861" s="2" t="n">
        <v>856.511001233</v>
      </c>
      <c r="D861" s="2" t="n">
        <v>7.45354888432737</v>
      </c>
      <c r="E861" s="2" t="s">
        <v>9189</v>
      </c>
      <c r="F861" s="2" t="s">
        <v>360</v>
      </c>
      <c r="G861" s="2" t="s">
        <v>9190</v>
      </c>
      <c r="H861" s="2" t="s">
        <v>9191</v>
      </c>
      <c r="I861" s="2" t="s">
        <v>9192</v>
      </c>
      <c r="J861" s="2" t="s">
        <v>9193</v>
      </c>
      <c r="K861" s="2" t="s">
        <v>9194</v>
      </c>
      <c r="L861" s="2" t="s">
        <v>8986</v>
      </c>
      <c r="M861" s="2" t="s">
        <v>9195</v>
      </c>
      <c r="N861" s="2" t="s">
        <v>9196</v>
      </c>
      <c r="O861" s="2" t="s">
        <v>29</v>
      </c>
      <c r="P861" s="2" t="s">
        <v>9197</v>
      </c>
      <c r="Q861" s="2" t="s">
        <v>9198</v>
      </c>
      <c r="R861" s="2" t="s">
        <v>1490</v>
      </c>
      <c r="S861" s="2" t="s">
        <v>4236</v>
      </c>
      <c r="T861" s="2" t="s">
        <v>8380</v>
      </c>
      <c r="U861" s="2" t="s">
        <v>39</v>
      </c>
      <c r="V861" s="2" t="n">
        <v>1</v>
      </c>
    </row>
    <row r="862">
      <c r="A862" s="2" t="n">
        <v>861</v>
      </c>
      <c r="B862" s="2" t="s">
        <v>9199</v>
      </c>
      <c r="C862" s="2" t="n">
        <v>857.1781969</v>
      </c>
      <c r="D862" s="2" t="n">
        <v>6.83550577778639</v>
      </c>
      <c r="E862" s="2" t="s">
        <v>9200</v>
      </c>
      <c r="F862" s="2" t="s">
        <v>110</v>
      </c>
      <c r="G862" s="2" t="s">
        <v>9201</v>
      </c>
      <c r="H862" s="2" t="s">
        <v>9202</v>
      </c>
      <c r="I862" s="2" t="s">
        <v>9203</v>
      </c>
      <c r="J862" s="2" t="s">
        <v>9204</v>
      </c>
      <c r="K862" s="2" t="s">
        <v>29</v>
      </c>
      <c r="L862" s="2" t="s">
        <v>29</v>
      </c>
      <c r="M862" s="2" t="s">
        <v>29</v>
      </c>
      <c r="N862" s="2" t="s">
        <v>9205</v>
      </c>
      <c r="O862" s="2" t="s">
        <v>29</v>
      </c>
      <c r="P862" s="2" t="s">
        <v>9206</v>
      </c>
      <c r="Q862" s="2" t="s">
        <v>9207</v>
      </c>
      <c r="R862" s="2" t="s">
        <v>2509</v>
      </c>
      <c r="S862" s="2" t="s">
        <v>5520</v>
      </c>
      <c r="T862" s="2" t="s">
        <v>5664</v>
      </c>
      <c r="U862" s="2" t="s">
        <v>29</v>
      </c>
      <c r="V862" s="2" t="n">
        <v>1</v>
      </c>
    </row>
    <row r="863">
      <c r="A863" s="2" t="n">
        <v>862</v>
      </c>
      <c r="B863" s="2" t="s">
        <v>9208</v>
      </c>
      <c r="C863" s="2" t="n">
        <v>857.518553602</v>
      </c>
      <c r="D863" s="2" t="n">
        <v>0.279203030164213</v>
      </c>
      <c r="E863" s="2" t="s">
        <v>9209</v>
      </c>
      <c r="F863" s="2" t="s">
        <v>110</v>
      </c>
      <c r="G863" s="2" t="s">
        <v>9210</v>
      </c>
      <c r="H863" s="2" t="s">
        <v>9211</v>
      </c>
      <c r="I863" s="2" t="s">
        <v>9212</v>
      </c>
      <c r="J863" s="2" t="s">
        <v>72</v>
      </c>
      <c r="K863" s="2" t="s">
        <v>9213</v>
      </c>
      <c r="L863" s="2" t="s">
        <v>72</v>
      </c>
      <c r="M863" s="2" t="s">
        <v>9214</v>
      </c>
      <c r="N863" s="2" t="s">
        <v>9215</v>
      </c>
      <c r="O863" s="2" t="s">
        <v>9216</v>
      </c>
      <c r="P863" s="2" t="s">
        <v>9217</v>
      </c>
      <c r="Q863" s="2" t="s">
        <v>9218</v>
      </c>
      <c r="R863" s="2" t="s">
        <v>9219</v>
      </c>
      <c r="S863" s="2" t="s">
        <v>9220</v>
      </c>
      <c r="T863" s="2" t="s">
        <v>9221</v>
      </c>
      <c r="U863" s="2" t="s">
        <v>29</v>
      </c>
      <c r="V863" s="2" t="n">
        <v>2</v>
      </c>
    </row>
    <row r="864">
      <c r="A864" s="2" t="n">
        <v>863</v>
      </c>
      <c r="B864" s="2" t="s">
        <v>9222</v>
      </c>
      <c r="C864" s="2" t="n">
        <v>858.622954309</v>
      </c>
      <c r="D864" s="2" t="n">
        <v>3.43671079772361</v>
      </c>
      <c r="E864" s="2" t="s">
        <v>9223</v>
      </c>
      <c r="F864" s="2" t="s">
        <v>24</v>
      </c>
      <c r="G864" s="2" t="s">
        <v>9224</v>
      </c>
      <c r="H864" s="2" t="s">
        <v>9225</v>
      </c>
      <c r="I864" s="2" t="s">
        <v>9226</v>
      </c>
      <c r="J864" s="2" t="s">
        <v>9227</v>
      </c>
      <c r="K864" s="2" t="s">
        <v>29</v>
      </c>
      <c r="L864" s="2" t="s">
        <v>8608</v>
      </c>
      <c r="M864" s="2" t="s">
        <v>29</v>
      </c>
      <c r="N864" s="2" t="s">
        <v>9228</v>
      </c>
      <c r="O864" s="2" t="s">
        <v>29</v>
      </c>
      <c r="P864" s="2" t="s">
        <v>9229</v>
      </c>
      <c r="Q864" s="2" t="s">
        <v>9230</v>
      </c>
      <c r="R864" s="2" t="s">
        <v>1490</v>
      </c>
      <c r="S864" s="2" t="s">
        <v>4236</v>
      </c>
      <c r="T864" s="2" t="s">
        <v>8613</v>
      </c>
      <c r="U864" s="2" t="s">
        <v>39</v>
      </c>
      <c r="V864" s="2" t="n">
        <v>1</v>
      </c>
    </row>
    <row r="865">
      <c r="A865" s="2" t="n">
        <v>864</v>
      </c>
      <c r="B865" s="2" t="s">
        <v>9231</v>
      </c>
      <c r="C865" s="2" t="n">
        <v>859.53420319</v>
      </c>
      <c r="D865" s="2" t="n">
        <v>1.44014698334592</v>
      </c>
      <c r="E865" s="2" t="s">
        <v>9232</v>
      </c>
      <c r="F865" s="2" t="s">
        <v>110</v>
      </c>
      <c r="G865" s="2" t="s">
        <v>9233</v>
      </c>
      <c r="H865" s="2" t="s">
        <v>9234</v>
      </c>
      <c r="I865" s="2" t="s">
        <v>9235</v>
      </c>
      <c r="J865" s="2" t="s">
        <v>29</v>
      </c>
      <c r="K865" s="2" t="s">
        <v>29</v>
      </c>
      <c r="L865" s="2" t="s">
        <v>29</v>
      </c>
      <c r="M865" s="2" t="s">
        <v>9236</v>
      </c>
      <c r="N865" s="2" t="s">
        <v>29</v>
      </c>
      <c r="O865" s="2" t="s">
        <v>29</v>
      </c>
      <c r="P865" s="2" t="s">
        <v>9237</v>
      </c>
      <c r="Q865" s="2" t="s">
        <v>9238</v>
      </c>
      <c r="R865" s="2" t="s">
        <v>1490</v>
      </c>
      <c r="S865" s="2" t="s">
        <v>4236</v>
      </c>
      <c r="T865" s="2" t="s">
        <v>4237</v>
      </c>
      <c r="U865" s="2" t="s">
        <v>29</v>
      </c>
      <c r="V865" s="2" t="n">
        <v>1</v>
      </c>
    </row>
    <row r="866">
      <c r="A866" s="2" t="n">
        <v>865</v>
      </c>
      <c r="B866" s="2" t="s">
        <v>9239</v>
      </c>
      <c r="C866" s="2" t="n">
        <v>860.544708778</v>
      </c>
      <c r="D866" s="2" t="n">
        <v>7.46528583302323</v>
      </c>
      <c r="E866" s="2" t="s">
        <v>9240</v>
      </c>
      <c r="F866" s="2" t="s">
        <v>110</v>
      </c>
      <c r="G866" s="2" t="s">
        <v>9241</v>
      </c>
      <c r="H866" s="2" t="s">
        <v>9242</v>
      </c>
      <c r="I866" s="2" t="s">
        <v>9243</v>
      </c>
      <c r="J866" s="2" t="s">
        <v>9244</v>
      </c>
      <c r="K866" s="2" t="s">
        <v>9245</v>
      </c>
      <c r="L866" s="2" t="s">
        <v>29</v>
      </c>
      <c r="M866" s="2" t="s">
        <v>29</v>
      </c>
      <c r="N866" s="2" t="s">
        <v>9246</v>
      </c>
      <c r="O866" s="2" t="s">
        <v>29</v>
      </c>
      <c r="P866" s="2" t="s">
        <v>9247</v>
      </c>
      <c r="Q866" s="2" t="s">
        <v>9248</v>
      </c>
      <c r="R866" s="2" t="s">
        <v>1490</v>
      </c>
      <c r="S866" s="2" t="s">
        <v>4236</v>
      </c>
      <c r="T866" s="2" t="s">
        <v>8380</v>
      </c>
      <c r="U866" s="2" t="s">
        <v>29</v>
      </c>
      <c r="V866" s="2" t="n">
        <v>1</v>
      </c>
    </row>
    <row r="867">
      <c r="A867" s="2" t="n">
        <v>866</v>
      </c>
      <c r="B867" s="2" t="s">
        <v>9249</v>
      </c>
      <c r="C867" s="2" t="n">
        <v>865.122278132</v>
      </c>
      <c r="D867" s="2" t="n">
        <v>9.06011412501261</v>
      </c>
      <c r="E867" s="2" t="s">
        <v>9250</v>
      </c>
      <c r="F867" s="2" t="s">
        <v>1019</v>
      </c>
      <c r="G867" s="2" t="s">
        <v>9251</v>
      </c>
      <c r="H867" s="2" t="s">
        <v>9252</v>
      </c>
      <c r="I867" s="2" t="s">
        <v>9253</v>
      </c>
      <c r="J867" s="2" t="s">
        <v>9254</v>
      </c>
      <c r="K867" s="2" t="s">
        <v>29</v>
      </c>
      <c r="L867" s="2" t="s">
        <v>9255</v>
      </c>
      <c r="M867" s="2" t="s">
        <v>9256</v>
      </c>
      <c r="N867" s="2" t="s">
        <v>9257</v>
      </c>
      <c r="O867" s="2" t="s">
        <v>9258</v>
      </c>
      <c r="P867" s="2" t="s">
        <v>9259</v>
      </c>
      <c r="Q867" s="2" t="s">
        <v>9260</v>
      </c>
      <c r="R867" s="2" t="s">
        <v>1490</v>
      </c>
      <c r="S867" s="2" t="s">
        <v>1491</v>
      </c>
      <c r="T867" s="2" t="s">
        <v>3884</v>
      </c>
      <c r="U867" s="2" t="s">
        <v>39</v>
      </c>
      <c r="V867" s="2" t="n">
        <v>1</v>
      </c>
    </row>
    <row r="868">
      <c r="A868" s="2" t="n">
        <v>867</v>
      </c>
      <c r="B868" s="2" t="s">
        <v>9261</v>
      </c>
      <c r="C868" s="2" t="n">
        <v>865.500102677</v>
      </c>
      <c r="D868" s="2" t="n">
        <v>7.57842013956128</v>
      </c>
      <c r="E868" s="2" t="s">
        <v>9262</v>
      </c>
      <c r="F868" s="2" t="s">
        <v>360</v>
      </c>
      <c r="G868" s="2" t="s">
        <v>9263</v>
      </c>
      <c r="H868" s="2" t="s">
        <v>9264</v>
      </c>
      <c r="I868" s="2" t="s">
        <v>9265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9266</v>
      </c>
      <c r="O868" s="2" t="s">
        <v>29</v>
      </c>
      <c r="P868" s="2" t="s">
        <v>9267</v>
      </c>
      <c r="Q868" s="2" t="s">
        <v>9268</v>
      </c>
      <c r="R868" s="2" t="s">
        <v>1490</v>
      </c>
      <c r="S868" s="2" t="s">
        <v>4236</v>
      </c>
      <c r="T868" s="2" t="s">
        <v>8063</v>
      </c>
      <c r="U868" s="2" t="s">
        <v>29</v>
      </c>
      <c r="V868" s="2" t="n">
        <v>1</v>
      </c>
    </row>
    <row r="869">
      <c r="A869" s="2" t="n">
        <v>868</v>
      </c>
      <c r="B869" s="2" t="s">
        <v>9269</v>
      </c>
      <c r="C869" s="2" t="n">
        <v>866.138682179</v>
      </c>
      <c r="D869" s="2" t="n">
        <v>6.89514867764186</v>
      </c>
      <c r="E869" s="2" t="s">
        <v>9270</v>
      </c>
      <c r="F869" s="2" t="s">
        <v>42</v>
      </c>
      <c r="G869" s="2" t="s">
        <v>9271</v>
      </c>
      <c r="H869" s="2" t="s">
        <v>9272</v>
      </c>
      <c r="I869" s="2" t="s">
        <v>9273</v>
      </c>
      <c r="J869" s="2" t="s">
        <v>9274</v>
      </c>
      <c r="K869" s="2" t="s">
        <v>29</v>
      </c>
      <c r="L869" s="2" t="s">
        <v>9275</v>
      </c>
      <c r="M869" s="2" t="s">
        <v>9276</v>
      </c>
      <c r="N869" s="2" t="s">
        <v>9277</v>
      </c>
      <c r="O869" s="2" t="s">
        <v>9278</v>
      </c>
      <c r="P869" s="2" t="s">
        <v>9279</v>
      </c>
      <c r="Q869" s="2" t="s">
        <v>9280</v>
      </c>
      <c r="R869" s="2" t="s">
        <v>1490</v>
      </c>
      <c r="S869" s="2" t="s">
        <v>1491</v>
      </c>
      <c r="T869" s="2" t="s">
        <v>9107</v>
      </c>
      <c r="U869" s="2" t="s">
        <v>39</v>
      </c>
      <c r="V869" s="2" t="n">
        <v>1</v>
      </c>
    </row>
    <row r="870">
      <c r="A870" s="2" t="n">
        <v>869</v>
      </c>
      <c r="B870" s="2" t="s">
        <v>9281</v>
      </c>
      <c r="C870" s="2" t="n">
        <v>866.505450479</v>
      </c>
      <c r="D870" s="2" t="n">
        <v>6.3151130184144</v>
      </c>
      <c r="E870" s="2" t="s">
        <v>9282</v>
      </c>
      <c r="F870" s="2" t="s">
        <v>42</v>
      </c>
      <c r="G870" s="2" t="s">
        <v>9283</v>
      </c>
      <c r="H870" s="2" t="s">
        <v>9284</v>
      </c>
      <c r="I870" s="2" t="s">
        <v>9285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9286</v>
      </c>
      <c r="O870" s="2" t="s">
        <v>29</v>
      </c>
      <c r="P870" s="2" t="s">
        <v>9287</v>
      </c>
      <c r="Q870" s="2" t="s">
        <v>9288</v>
      </c>
      <c r="R870" s="2" t="s">
        <v>64</v>
      </c>
      <c r="S870" s="2" t="s">
        <v>65</v>
      </c>
      <c r="T870" s="2" t="s">
        <v>66</v>
      </c>
      <c r="U870" s="2" t="s">
        <v>29</v>
      </c>
      <c r="V870" s="2" t="n">
        <v>1</v>
      </c>
    </row>
    <row r="871">
      <c r="A871" s="2" t="n">
        <v>870</v>
      </c>
      <c r="B871" s="2" t="s">
        <v>9289</v>
      </c>
      <c r="C871" s="2" t="n">
        <v>867.14141743</v>
      </c>
      <c r="D871" s="2" t="n">
        <v>9.671325645482</v>
      </c>
      <c r="E871" s="2" t="s">
        <v>9290</v>
      </c>
      <c r="F871" s="2" t="s">
        <v>110</v>
      </c>
      <c r="G871" s="2" t="s">
        <v>9291</v>
      </c>
      <c r="H871" s="2" t="s">
        <v>9292</v>
      </c>
      <c r="I871" s="2" t="s">
        <v>9293</v>
      </c>
      <c r="J871" s="2" t="s">
        <v>72</v>
      </c>
      <c r="K871" s="2" t="s">
        <v>72</v>
      </c>
      <c r="L871" s="2" t="s">
        <v>72</v>
      </c>
      <c r="M871" s="2" t="s">
        <v>9294</v>
      </c>
      <c r="N871" s="2" t="s">
        <v>9295</v>
      </c>
      <c r="O871" s="2" t="s">
        <v>9296</v>
      </c>
      <c r="P871" s="2" t="s">
        <v>9297</v>
      </c>
      <c r="Q871" s="2" t="s">
        <v>9298</v>
      </c>
      <c r="R871" s="2" t="s">
        <v>3167</v>
      </c>
      <c r="S871" s="2" t="s">
        <v>4213</v>
      </c>
      <c r="T871" s="2" t="s">
        <v>9299</v>
      </c>
      <c r="U871" s="2" t="s">
        <v>29</v>
      </c>
      <c r="V871" s="2" t="n">
        <v>2</v>
      </c>
    </row>
    <row r="872">
      <c r="A872" s="2" t="n">
        <v>871</v>
      </c>
      <c r="B872" s="2" t="s">
        <v>9300</v>
      </c>
      <c r="C872" s="2" t="n">
        <v>871.193846964</v>
      </c>
      <c r="D872" s="2" t="n">
        <v>7.71586690460859</v>
      </c>
      <c r="E872" s="2" t="s">
        <v>9301</v>
      </c>
      <c r="F872" s="2" t="s">
        <v>1019</v>
      </c>
      <c r="G872" s="2" t="s">
        <v>9302</v>
      </c>
      <c r="H872" s="2" t="s">
        <v>9303</v>
      </c>
      <c r="I872" s="2" t="s">
        <v>9304</v>
      </c>
      <c r="J872" s="2" t="s">
        <v>9305</v>
      </c>
      <c r="K872" s="2" t="s">
        <v>226</v>
      </c>
      <c r="L872" s="2" t="s">
        <v>226</v>
      </c>
      <c r="M872" s="2" t="s">
        <v>226</v>
      </c>
      <c r="N872" s="2" t="s">
        <v>9306</v>
      </c>
      <c r="O872" s="2" t="s">
        <v>9307</v>
      </c>
      <c r="P872" s="2" t="s">
        <v>9308</v>
      </c>
      <c r="Q872" s="2" t="s">
        <v>9309</v>
      </c>
      <c r="R872" s="2" t="s">
        <v>9310</v>
      </c>
      <c r="S872" s="2" t="s">
        <v>9311</v>
      </c>
      <c r="T872" s="2" t="s">
        <v>9312</v>
      </c>
      <c r="U872" s="2" t="s">
        <v>29</v>
      </c>
      <c r="V872" s="2" t="n">
        <v>3</v>
      </c>
    </row>
    <row r="873">
      <c r="A873" s="2" t="n">
        <v>872</v>
      </c>
      <c r="B873" s="2" t="s">
        <v>9313</v>
      </c>
      <c r="C873" s="2" t="n">
        <v>878.510760053</v>
      </c>
      <c r="D873" s="2" t="n">
        <v>9.33367557042628</v>
      </c>
      <c r="E873" s="2" t="s">
        <v>9314</v>
      </c>
      <c r="F873" s="2" t="s">
        <v>250</v>
      </c>
      <c r="G873" s="2" t="s">
        <v>9315</v>
      </c>
      <c r="H873" s="2" t="s">
        <v>9316</v>
      </c>
      <c r="I873" s="2" t="s">
        <v>9317</v>
      </c>
      <c r="J873" s="2" t="s">
        <v>9318</v>
      </c>
      <c r="K873" s="2" t="s">
        <v>29</v>
      </c>
      <c r="L873" s="2" t="s">
        <v>7680</v>
      </c>
      <c r="M873" s="2" t="s">
        <v>29</v>
      </c>
      <c r="N873" s="2" t="s">
        <v>9319</v>
      </c>
      <c r="O873" s="2" t="s">
        <v>29</v>
      </c>
      <c r="P873" s="2" t="s">
        <v>9320</v>
      </c>
      <c r="Q873" s="2" t="s">
        <v>9321</v>
      </c>
      <c r="R873" s="2" t="s">
        <v>1490</v>
      </c>
      <c r="S873" s="2" t="s">
        <v>4236</v>
      </c>
      <c r="T873" s="2" t="s">
        <v>5369</v>
      </c>
      <c r="U873" s="2" t="s">
        <v>39</v>
      </c>
      <c r="V873" s="2" t="n">
        <v>1</v>
      </c>
    </row>
    <row r="874">
      <c r="A874" s="2" t="n">
        <v>873</v>
      </c>
      <c r="B874" s="2" t="s">
        <v>9322</v>
      </c>
      <c r="C874" s="2" t="n">
        <v>879.49588532</v>
      </c>
      <c r="D874" s="2" t="n">
        <v>1.24121890314608</v>
      </c>
      <c r="E874" s="2" t="s">
        <v>9323</v>
      </c>
      <c r="F874" s="2" t="s">
        <v>24</v>
      </c>
      <c r="G874" s="2" t="s">
        <v>9324</v>
      </c>
      <c r="H874" s="2" t="s">
        <v>9325</v>
      </c>
      <c r="I874" s="2" t="s">
        <v>9326</v>
      </c>
      <c r="J874" s="2" t="s">
        <v>9327</v>
      </c>
      <c r="K874" s="2" t="s">
        <v>29</v>
      </c>
      <c r="L874" s="2" t="s">
        <v>29</v>
      </c>
      <c r="M874" s="2" t="s">
        <v>29</v>
      </c>
      <c r="N874" s="2" t="s">
        <v>9328</v>
      </c>
      <c r="O874" s="2" t="s">
        <v>29</v>
      </c>
      <c r="P874" s="2" t="s">
        <v>9329</v>
      </c>
      <c r="Q874" s="2" t="s">
        <v>9330</v>
      </c>
      <c r="R874" s="2" t="s">
        <v>1490</v>
      </c>
      <c r="S874" s="2" t="s">
        <v>4971</v>
      </c>
      <c r="T874" s="2" t="s">
        <v>7445</v>
      </c>
      <c r="U874" s="2" t="s">
        <v>29</v>
      </c>
      <c r="V874" s="2" t="n">
        <v>1</v>
      </c>
    </row>
    <row r="875">
      <c r="A875" s="2" t="n">
        <v>874</v>
      </c>
      <c r="B875" s="2" t="s">
        <v>9331</v>
      </c>
      <c r="C875" s="2" t="n">
        <v>880.154334153</v>
      </c>
      <c r="D875" s="2" t="n">
        <v>2.10979199694312</v>
      </c>
      <c r="E875" s="2" t="s">
        <v>9332</v>
      </c>
      <c r="F875" s="2" t="s">
        <v>42</v>
      </c>
      <c r="G875" s="2" t="s">
        <v>9333</v>
      </c>
      <c r="H875" s="2" t="s">
        <v>9334</v>
      </c>
      <c r="I875" s="2" t="s">
        <v>9335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9336</v>
      </c>
      <c r="O875" s="2" t="s">
        <v>29</v>
      </c>
      <c r="P875" s="2" t="s">
        <v>9337</v>
      </c>
      <c r="Q875" s="2" t="s">
        <v>9338</v>
      </c>
      <c r="R875" s="2" t="s">
        <v>1490</v>
      </c>
      <c r="S875" s="2" t="s">
        <v>1491</v>
      </c>
      <c r="T875" s="2" t="s">
        <v>9107</v>
      </c>
      <c r="U875" s="2" t="s">
        <v>29</v>
      </c>
      <c r="V875" s="2" t="n">
        <v>1</v>
      </c>
    </row>
    <row r="876">
      <c r="A876" s="2" t="n">
        <v>875</v>
      </c>
      <c r="B876" s="2" t="s">
        <v>9339</v>
      </c>
      <c r="C876" s="2" t="n">
        <v>881.502976794</v>
      </c>
      <c r="D876" s="2" t="n">
        <v>2.6835031174842</v>
      </c>
      <c r="E876" s="2" t="s">
        <v>9340</v>
      </c>
      <c r="F876" s="2" t="s">
        <v>24</v>
      </c>
      <c r="G876" s="2" t="s">
        <v>9341</v>
      </c>
      <c r="H876" s="2" t="s">
        <v>9342</v>
      </c>
      <c r="I876" s="2" t="s">
        <v>9343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9344</v>
      </c>
      <c r="O876" s="2" t="s">
        <v>29</v>
      </c>
      <c r="P876" s="2" t="s">
        <v>9345</v>
      </c>
      <c r="Q876" s="2" t="s">
        <v>9346</v>
      </c>
      <c r="R876" s="2" t="s">
        <v>49</v>
      </c>
      <c r="S876" s="2" t="s">
        <v>6532</v>
      </c>
      <c r="T876" s="2" t="s">
        <v>7502</v>
      </c>
      <c r="U876" s="2" t="s">
        <v>29</v>
      </c>
      <c r="V876" s="2" t="n">
        <v>1</v>
      </c>
    </row>
    <row r="877">
      <c r="A877" s="2" t="n">
        <v>876</v>
      </c>
      <c r="B877" s="2" t="s">
        <v>9347</v>
      </c>
      <c r="C877" s="2" t="n">
        <v>882.118886673</v>
      </c>
      <c r="D877" s="2" t="n">
        <v>9.04211132587163</v>
      </c>
      <c r="E877" s="2" t="s">
        <v>9348</v>
      </c>
      <c r="F877" s="2" t="s">
        <v>24</v>
      </c>
      <c r="G877" s="2" t="s">
        <v>9349</v>
      </c>
      <c r="H877" s="2" t="s">
        <v>9350</v>
      </c>
      <c r="I877" s="2" t="s">
        <v>9351</v>
      </c>
      <c r="J877" s="2" t="s">
        <v>9352</v>
      </c>
      <c r="K877" s="2" t="s">
        <v>29</v>
      </c>
      <c r="L877" s="2" t="s">
        <v>9353</v>
      </c>
      <c r="M877" s="2" t="s">
        <v>29</v>
      </c>
      <c r="N877" s="2" t="s">
        <v>9354</v>
      </c>
      <c r="O877" s="2" t="s">
        <v>9355</v>
      </c>
      <c r="P877" s="2" t="s">
        <v>9356</v>
      </c>
      <c r="Q877" s="2" t="s">
        <v>9357</v>
      </c>
      <c r="R877" s="2" t="s">
        <v>1490</v>
      </c>
      <c r="S877" s="2" t="s">
        <v>1491</v>
      </c>
      <c r="T877" s="2" t="s">
        <v>9107</v>
      </c>
      <c r="U877" s="2" t="s">
        <v>39</v>
      </c>
      <c r="V877" s="2" t="n">
        <v>1</v>
      </c>
    </row>
    <row r="878">
      <c r="A878" s="2" t="n">
        <v>877</v>
      </c>
      <c r="B878" s="2" t="s">
        <v>9358</v>
      </c>
      <c r="C878" s="2" t="n">
        <v>888.085004295</v>
      </c>
      <c r="D878" s="2" t="n">
        <v>2.03740173066709</v>
      </c>
      <c r="E878" s="2" t="s">
        <v>9359</v>
      </c>
      <c r="F878" s="2" t="s">
        <v>522</v>
      </c>
      <c r="G878" s="2" t="s">
        <v>9360</v>
      </c>
      <c r="H878" s="2" t="s">
        <v>9361</v>
      </c>
      <c r="I878" s="2" t="s">
        <v>9362</v>
      </c>
      <c r="J878" s="2" t="s">
        <v>29</v>
      </c>
      <c r="K878" s="2" t="s">
        <v>9363</v>
      </c>
      <c r="L878" s="2" t="s">
        <v>9364</v>
      </c>
      <c r="M878" s="2" t="s">
        <v>9365</v>
      </c>
      <c r="N878" s="2" t="s">
        <v>9366</v>
      </c>
      <c r="O878" s="2" t="s">
        <v>9367</v>
      </c>
      <c r="P878" s="2" t="s">
        <v>9368</v>
      </c>
      <c r="Q878" s="2" t="s">
        <v>9369</v>
      </c>
      <c r="R878" s="2" t="s">
        <v>1490</v>
      </c>
      <c r="S878" s="2" t="s">
        <v>1491</v>
      </c>
      <c r="T878" s="2" t="s">
        <v>9107</v>
      </c>
      <c r="U878" s="2" t="s">
        <v>39</v>
      </c>
      <c r="V878" s="2" t="n">
        <v>1</v>
      </c>
    </row>
    <row r="879">
      <c r="A879" s="2" t="n">
        <v>878</v>
      </c>
      <c r="B879" s="2" t="s">
        <v>9370</v>
      </c>
      <c r="C879" s="2" t="n">
        <v>891.277576554</v>
      </c>
      <c r="D879" s="2" t="n">
        <v>8.58478831077827</v>
      </c>
      <c r="E879" s="2" t="s">
        <v>9371</v>
      </c>
      <c r="F879" s="2" t="s">
        <v>1019</v>
      </c>
      <c r="G879" s="2" t="s">
        <v>9372</v>
      </c>
      <c r="H879" s="2" t="s">
        <v>9373</v>
      </c>
      <c r="I879" s="2" t="s">
        <v>9374</v>
      </c>
      <c r="J879" s="2" t="s">
        <v>9375</v>
      </c>
      <c r="K879" s="2" t="s">
        <v>72</v>
      </c>
      <c r="L879" s="2" t="s">
        <v>72</v>
      </c>
      <c r="M879" s="2" t="s">
        <v>9376</v>
      </c>
      <c r="N879" s="2" t="s">
        <v>9377</v>
      </c>
      <c r="O879" s="2" t="s">
        <v>9378</v>
      </c>
      <c r="P879" s="2" t="s">
        <v>9379</v>
      </c>
      <c r="Q879" s="2" t="s">
        <v>9380</v>
      </c>
      <c r="R879" s="2" t="s">
        <v>150</v>
      </c>
      <c r="S879" s="2" t="s">
        <v>151</v>
      </c>
      <c r="T879" s="2" t="s">
        <v>288</v>
      </c>
      <c r="U879" s="2" t="s">
        <v>29</v>
      </c>
      <c r="V879" s="2" t="n">
        <v>2</v>
      </c>
    </row>
    <row r="880">
      <c r="A880" s="2" t="n">
        <v>879</v>
      </c>
      <c r="B880" s="2" t="s">
        <v>9381</v>
      </c>
      <c r="C880" s="2" t="n">
        <v>895.181696794</v>
      </c>
      <c r="D880" s="2" t="n">
        <v>2.41879345918632</v>
      </c>
      <c r="E880" s="2" t="s">
        <v>9382</v>
      </c>
      <c r="F880" s="2" t="s">
        <v>250</v>
      </c>
      <c r="G880" s="2" t="s">
        <v>9383</v>
      </c>
      <c r="H880" s="2" t="s">
        <v>9384</v>
      </c>
      <c r="I880" s="2" t="s">
        <v>9385</v>
      </c>
      <c r="J880" s="2" t="s">
        <v>9386</v>
      </c>
      <c r="K880" s="2" t="s">
        <v>72</v>
      </c>
      <c r="L880" s="2" t="s">
        <v>72</v>
      </c>
      <c r="M880" s="2" t="s">
        <v>72</v>
      </c>
      <c r="N880" s="2" t="s">
        <v>9387</v>
      </c>
      <c r="O880" s="2" t="s">
        <v>9388</v>
      </c>
      <c r="P880" s="2" t="s">
        <v>9389</v>
      </c>
      <c r="Q880" s="2" t="s">
        <v>9390</v>
      </c>
      <c r="R880" s="2" t="s">
        <v>9391</v>
      </c>
      <c r="S880" s="2" t="s">
        <v>9392</v>
      </c>
      <c r="T880" s="2" t="s">
        <v>9393</v>
      </c>
      <c r="U880" s="2" t="s">
        <v>29</v>
      </c>
      <c r="V880" s="2" t="n">
        <v>2</v>
      </c>
    </row>
    <row r="881">
      <c r="A881" s="2" t="n">
        <v>880</v>
      </c>
      <c r="B881" s="2" t="s">
        <v>9394</v>
      </c>
      <c r="C881" s="2" t="n">
        <v>897.382865962</v>
      </c>
      <c r="D881" s="2" t="n">
        <v>4.7735378407172</v>
      </c>
      <c r="E881" s="2" t="s">
        <v>9395</v>
      </c>
      <c r="F881" s="2" t="s">
        <v>1019</v>
      </c>
      <c r="G881" s="2" t="s">
        <v>9396</v>
      </c>
      <c r="H881" s="2" t="s">
        <v>9397</v>
      </c>
      <c r="I881" s="2" t="s">
        <v>9398</v>
      </c>
      <c r="J881" s="2" t="s">
        <v>72</v>
      </c>
      <c r="K881" s="2" t="s">
        <v>72</v>
      </c>
      <c r="L881" s="2" t="s">
        <v>72</v>
      </c>
      <c r="M881" s="2" t="s">
        <v>72</v>
      </c>
      <c r="N881" s="2" t="s">
        <v>9399</v>
      </c>
      <c r="O881" s="2" t="s">
        <v>72</v>
      </c>
      <c r="P881" s="2" t="s">
        <v>9400</v>
      </c>
      <c r="Q881" s="2" t="s">
        <v>9401</v>
      </c>
      <c r="R881" s="2" t="s">
        <v>9402</v>
      </c>
      <c r="S881" s="2" t="s">
        <v>9403</v>
      </c>
      <c r="T881" s="2" t="s">
        <v>9404</v>
      </c>
      <c r="U881" s="2" t="s">
        <v>29</v>
      </c>
      <c r="V881" s="2" t="n">
        <v>2</v>
      </c>
    </row>
    <row r="882">
      <c r="A882" s="2" t="n">
        <v>881</v>
      </c>
      <c r="B882" s="2" t="s">
        <v>9405</v>
      </c>
      <c r="C882" s="2" t="n">
        <v>899.2153494</v>
      </c>
      <c r="D882" s="2" t="n">
        <v>6.27536245436797</v>
      </c>
      <c r="E882" s="2" t="s">
        <v>9406</v>
      </c>
      <c r="F882" s="2" t="s">
        <v>1019</v>
      </c>
      <c r="G882" s="2" t="s">
        <v>9407</v>
      </c>
      <c r="H882" s="2" t="s">
        <v>9408</v>
      </c>
      <c r="I882" s="2" t="s">
        <v>9409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9410</v>
      </c>
      <c r="Q882" s="2" t="s">
        <v>9411</v>
      </c>
      <c r="R882" s="2" t="s">
        <v>502</v>
      </c>
      <c r="S882" s="2" t="s">
        <v>1467</v>
      </c>
      <c r="T882" s="2" t="s">
        <v>205</v>
      </c>
      <c r="U882" s="2" t="s">
        <v>29</v>
      </c>
      <c r="V882" s="2" t="n">
        <v>1</v>
      </c>
    </row>
    <row r="883">
      <c r="A883" s="2" t="n">
        <v>882</v>
      </c>
      <c r="B883" s="2" t="s">
        <v>9412</v>
      </c>
      <c r="C883" s="2" t="n">
        <v>901.186869566</v>
      </c>
      <c r="D883" s="2" t="n">
        <v>7.3901571126103</v>
      </c>
      <c r="E883" s="2" t="s">
        <v>9413</v>
      </c>
      <c r="F883" s="2" t="s">
        <v>1019</v>
      </c>
      <c r="G883" s="2" t="s">
        <v>9414</v>
      </c>
      <c r="H883" s="2" t="s">
        <v>9415</v>
      </c>
      <c r="I883" s="2" t="s">
        <v>9416</v>
      </c>
      <c r="J883" s="2" t="s">
        <v>9417</v>
      </c>
      <c r="K883" s="2" t="s">
        <v>29</v>
      </c>
      <c r="L883" s="2" t="s">
        <v>29</v>
      </c>
      <c r="M883" s="2" t="s">
        <v>9418</v>
      </c>
      <c r="N883" s="2" t="s">
        <v>9419</v>
      </c>
      <c r="O883" s="2" t="s">
        <v>9420</v>
      </c>
      <c r="P883" s="2" t="s">
        <v>9421</v>
      </c>
      <c r="Q883" s="2" t="s">
        <v>9422</v>
      </c>
      <c r="R883" s="2" t="s">
        <v>64</v>
      </c>
      <c r="S883" s="2" t="s">
        <v>65</v>
      </c>
      <c r="T883" s="2" t="s">
        <v>66</v>
      </c>
      <c r="U883" s="2" t="s">
        <v>29</v>
      </c>
      <c r="V883" s="2" t="n">
        <v>1</v>
      </c>
    </row>
    <row r="884">
      <c r="A884" s="2" t="n">
        <v>883</v>
      </c>
      <c r="B884" s="2" t="s">
        <v>9423</v>
      </c>
      <c r="C884" s="2" t="n">
        <v>907.536572652</v>
      </c>
      <c r="D884" s="2" t="n">
        <v>7.99443425818443</v>
      </c>
      <c r="E884" s="2" t="s">
        <v>9424</v>
      </c>
      <c r="F884" s="2" t="s">
        <v>1019</v>
      </c>
      <c r="G884" s="2" t="s">
        <v>9425</v>
      </c>
      <c r="H884" s="2" t="s">
        <v>9426</v>
      </c>
      <c r="I884" s="2" t="s">
        <v>9427</v>
      </c>
      <c r="J884" s="2" t="s">
        <v>29</v>
      </c>
      <c r="K884" s="2" t="s">
        <v>29</v>
      </c>
      <c r="L884" s="2" t="s">
        <v>9428</v>
      </c>
      <c r="M884" s="2" t="s">
        <v>9429</v>
      </c>
      <c r="N884" s="2" t="s">
        <v>9430</v>
      </c>
      <c r="O884" s="2" t="s">
        <v>9431</v>
      </c>
      <c r="P884" s="2" t="s">
        <v>9432</v>
      </c>
      <c r="Q884" s="2" t="s">
        <v>9433</v>
      </c>
      <c r="R884" s="2" t="s">
        <v>1490</v>
      </c>
      <c r="S884" s="2" t="s">
        <v>3546</v>
      </c>
      <c r="T884" s="2" t="s">
        <v>8600</v>
      </c>
      <c r="U884" s="2" t="s">
        <v>39</v>
      </c>
      <c r="V884" s="2" t="n">
        <v>1</v>
      </c>
    </row>
    <row r="885">
      <c r="A885" s="2" t="n">
        <v>884</v>
      </c>
      <c r="B885" s="2" t="s">
        <v>9434</v>
      </c>
      <c r="C885" s="2" t="n">
        <v>909.151431836</v>
      </c>
      <c r="D885" s="2" t="n">
        <v>3.17876435914099</v>
      </c>
      <c r="E885" s="2" t="s">
        <v>9435</v>
      </c>
      <c r="F885" s="2" t="s">
        <v>42</v>
      </c>
      <c r="G885" s="2" t="s">
        <v>9436</v>
      </c>
      <c r="H885" s="2" t="s">
        <v>9437</v>
      </c>
      <c r="I885" s="2" t="s">
        <v>9438</v>
      </c>
      <c r="J885" s="2" t="s">
        <v>9439</v>
      </c>
      <c r="K885" s="2" t="s">
        <v>72</v>
      </c>
      <c r="L885" s="2" t="s">
        <v>72</v>
      </c>
      <c r="M885" s="2" t="s">
        <v>72</v>
      </c>
      <c r="N885" s="2" t="s">
        <v>9440</v>
      </c>
      <c r="O885" s="2" t="s">
        <v>9441</v>
      </c>
      <c r="P885" s="2" t="s">
        <v>9442</v>
      </c>
      <c r="Q885" s="2" t="s">
        <v>9443</v>
      </c>
      <c r="R885" s="2" t="s">
        <v>3167</v>
      </c>
      <c r="S885" s="2" t="s">
        <v>4213</v>
      </c>
      <c r="T885" s="2" t="s">
        <v>9299</v>
      </c>
      <c r="U885" s="2" t="s">
        <v>29</v>
      </c>
      <c r="V885" s="2" t="n">
        <v>2</v>
      </c>
    </row>
    <row r="886">
      <c r="A886" s="2" t="n">
        <v>885</v>
      </c>
      <c r="B886" s="2" t="s">
        <v>9444</v>
      </c>
      <c r="C886" s="2" t="n">
        <v>910.186572307</v>
      </c>
      <c r="D886" s="2" t="n">
        <v>6.25800895294969</v>
      </c>
      <c r="E886" s="2" t="s">
        <v>9445</v>
      </c>
      <c r="F886" s="2" t="s">
        <v>24</v>
      </c>
      <c r="G886" s="2" t="s">
        <v>9446</v>
      </c>
      <c r="H886" s="2" t="s">
        <v>9447</v>
      </c>
      <c r="I886" s="2" t="s">
        <v>9448</v>
      </c>
      <c r="J886" s="2" t="s">
        <v>9449</v>
      </c>
      <c r="K886" s="2" t="s">
        <v>9450</v>
      </c>
      <c r="L886" s="2" t="s">
        <v>9451</v>
      </c>
      <c r="M886" s="2" t="s">
        <v>9452</v>
      </c>
      <c r="N886" s="2" t="s">
        <v>9453</v>
      </c>
      <c r="O886" s="2" t="s">
        <v>9454</v>
      </c>
      <c r="P886" s="2" t="s">
        <v>9455</v>
      </c>
      <c r="Q886" s="2" t="s">
        <v>9456</v>
      </c>
      <c r="R886" s="2" t="s">
        <v>1490</v>
      </c>
      <c r="S886" s="2" t="s">
        <v>1491</v>
      </c>
      <c r="T886" s="2" t="s">
        <v>9107</v>
      </c>
      <c r="U886" s="2" t="s">
        <v>39</v>
      </c>
      <c r="V886" s="2" t="n">
        <v>1</v>
      </c>
    </row>
    <row r="887">
      <c r="A887" s="2" t="n">
        <v>886</v>
      </c>
      <c r="B887" s="2" t="s">
        <v>9457</v>
      </c>
      <c r="C887" s="2" t="n">
        <v>914.196198966</v>
      </c>
      <c r="D887" s="2" t="n">
        <v>0.231371235909212</v>
      </c>
      <c r="E887" s="2" t="s">
        <v>9458</v>
      </c>
      <c r="F887" s="2" t="s">
        <v>42</v>
      </c>
      <c r="G887" s="2" t="s">
        <v>9459</v>
      </c>
      <c r="H887" s="2" t="s">
        <v>9460</v>
      </c>
      <c r="I887" s="2" t="s">
        <v>9461</v>
      </c>
      <c r="J887" s="2" t="s">
        <v>9462</v>
      </c>
      <c r="K887" s="2" t="s">
        <v>9463</v>
      </c>
      <c r="L887" s="2" t="s">
        <v>9464</v>
      </c>
      <c r="M887" s="2" t="s">
        <v>9465</v>
      </c>
      <c r="N887" s="2" t="s">
        <v>9466</v>
      </c>
      <c r="O887" s="2" t="s">
        <v>29</v>
      </c>
      <c r="P887" s="2" t="s">
        <v>9467</v>
      </c>
      <c r="Q887" s="2" t="s">
        <v>9468</v>
      </c>
      <c r="R887" s="2" t="s">
        <v>1490</v>
      </c>
      <c r="S887" s="2" t="s">
        <v>1491</v>
      </c>
      <c r="T887" s="2" t="s">
        <v>9107</v>
      </c>
      <c r="U887" s="2" t="s">
        <v>39</v>
      </c>
      <c r="V887" s="2" t="n">
        <v>1</v>
      </c>
    </row>
    <row r="888">
      <c r="A888" s="2" t="n">
        <v>887</v>
      </c>
      <c r="B888" s="2" t="s">
        <v>9469</v>
      </c>
      <c r="C888" s="2" t="n">
        <v>915.599172908</v>
      </c>
      <c r="D888" s="2" t="n">
        <v>5.93642835031571</v>
      </c>
      <c r="E888" s="2" t="s">
        <v>9470</v>
      </c>
      <c r="F888" s="2" t="s">
        <v>1019</v>
      </c>
      <c r="G888" s="2" t="s">
        <v>9471</v>
      </c>
      <c r="H888" s="2" t="s">
        <v>9472</v>
      </c>
      <c r="I888" s="2" t="s">
        <v>9473</v>
      </c>
      <c r="J888" s="2" t="s">
        <v>9474</v>
      </c>
      <c r="K888" s="2" t="s">
        <v>29</v>
      </c>
      <c r="L888" s="2" t="s">
        <v>29</v>
      </c>
      <c r="M888" s="2" t="s">
        <v>29</v>
      </c>
      <c r="N888" s="2" t="s">
        <v>9475</v>
      </c>
      <c r="O888" s="2" t="s">
        <v>9476</v>
      </c>
      <c r="P888" s="2" t="s">
        <v>9477</v>
      </c>
      <c r="Q888" s="2" t="s">
        <v>9478</v>
      </c>
      <c r="R888" s="2" t="s">
        <v>1490</v>
      </c>
      <c r="S888" s="2" t="s">
        <v>3546</v>
      </c>
      <c r="T888" s="2" t="s">
        <v>8600</v>
      </c>
      <c r="U888" s="2" t="s">
        <v>29</v>
      </c>
      <c r="V888" s="2" t="n">
        <v>1</v>
      </c>
    </row>
    <row r="889">
      <c r="A889" s="2" t="n">
        <v>888</v>
      </c>
      <c r="B889" s="2" t="s">
        <v>9479</v>
      </c>
      <c r="C889" s="2" t="n">
        <v>916.173606902</v>
      </c>
      <c r="D889" s="2" t="n">
        <v>0.430629914024441</v>
      </c>
      <c r="E889" s="2" t="s">
        <v>9480</v>
      </c>
      <c r="F889" s="2" t="s">
        <v>360</v>
      </c>
      <c r="G889" s="2" t="s">
        <v>9481</v>
      </c>
      <c r="H889" s="2" t="s">
        <v>9482</v>
      </c>
      <c r="I889" s="2" t="s">
        <v>9483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9484</v>
      </c>
      <c r="Q889" s="2" t="s">
        <v>9485</v>
      </c>
      <c r="R889" s="2" t="s">
        <v>1490</v>
      </c>
      <c r="S889" s="2" t="s">
        <v>1491</v>
      </c>
      <c r="T889" s="2" t="s">
        <v>9107</v>
      </c>
      <c r="U889" s="2" t="s">
        <v>29</v>
      </c>
      <c r="V889" s="2" t="n">
        <v>1</v>
      </c>
    </row>
    <row r="890">
      <c r="A890" s="2" t="n">
        <v>889</v>
      </c>
      <c r="B890" s="2" t="s">
        <v>9486</v>
      </c>
      <c r="C890" s="2" t="n">
        <v>917.149583125</v>
      </c>
      <c r="D890" s="2" t="n">
        <v>4.84373794999369</v>
      </c>
      <c r="E890" s="2" t="s">
        <v>9487</v>
      </c>
      <c r="F890" s="2" t="s">
        <v>42</v>
      </c>
      <c r="G890" s="2" t="s">
        <v>9488</v>
      </c>
      <c r="H890" s="2" t="s">
        <v>9489</v>
      </c>
      <c r="I890" s="2" t="s">
        <v>9490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9491</v>
      </c>
      <c r="O890" s="2" t="s">
        <v>29</v>
      </c>
      <c r="P890" s="2" t="s">
        <v>9492</v>
      </c>
      <c r="Q890" s="2" t="s">
        <v>9493</v>
      </c>
      <c r="R890" s="2" t="s">
        <v>1490</v>
      </c>
      <c r="S890" s="2" t="s">
        <v>1491</v>
      </c>
      <c r="T890" s="2" t="s">
        <v>9107</v>
      </c>
      <c r="U890" s="2" t="s">
        <v>29</v>
      </c>
      <c r="V890" s="2" t="n">
        <v>1</v>
      </c>
    </row>
    <row r="891">
      <c r="A891" s="2" t="n">
        <v>890</v>
      </c>
      <c r="B891" s="2" t="s">
        <v>9494</v>
      </c>
      <c r="C891" s="2" t="n">
        <v>926.181488837</v>
      </c>
      <c r="D891" s="2" t="n">
        <v>8.53005479753415</v>
      </c>
      <c r="E891" s="2" t="s">
        <v>9495</v>
      </c>
      <c r="F891" s="2" t="s">
        <v>24</v>
      </c>
      <c r="G891" s="2" t="s">
        <v>9496</v>
      </c>
      <c r="H891" s="2" t="s">
        <v>9497</v>
      </c>
      <c r="I891" s="2" t="s">
        <v>9498</v>
      </c>
      <c r="J891" s="2" t="s">
        <v>9499</v>
      </c>
      <c r="K891" s="2" t="s">
        <v>9500</v>
      </c>
      <c r="L891" s="2" t="s">
        <v>9501</v>
      </c>
      <c r="M891" s="2" t="s">
        <v>9502</v>
      </c>
      <c r="N891" s="2" t="s">
        <v>9503</v>
      </c>
      <c r="O891" s="2" t="s">
        <v>9504</v>
      </c>
      <c r="P891" s="2" t="s">
        <v>9505</v>
      </c>
      <c r="Q891" s="2" t="s">
        <v>9506</v>
      </c>
      <c r="R891" s="2" t="s">
        <v>575</v>
      </c>
      <c r="S891" s="2" t="s">
        <v>576</v>
      </c>
      <c r="T891" s="2" t="s">
        <v>9507</v>
      </c>
      <c r="U891" s="2" t="s">
        <v>39</v>
      </c>
      <c r="V891" s="2" t="n">
        <v>2</v>
      </c>
    </row>
    <row r="892">
      <c r="A892" s="2" t="n">
        <v>891</v>
      </c>
      <c r="B892" s="2" t="s">
        <v>9508</v>
      </c>
      <c r="C892" s="2" t="n">
        <v>927.366472136</v>
      </c>
      <c r="D892" s="2" t="n">
        <v>5.34836806696329</v>
      </c>
      <c r="E892" s="2" t="s">
        <v>9509</v>
      </c>
      <c r="F892" s="2" t="s">
        <v>1019</v>
      </c>
      <c r="G892" s="2" t="s">
        <v>9510</v>
      </c>
      <c r="H892" s="2" t="s">
        <v>9511</v>
      </c>
      <c r="I892" s="2" t="s">
        <v>9512</v>
      </c>
      <c r="J892" s="2" t="s">
        <v>9513</v>
      </c>
      <c r="K892" s="2" t="s">
        <v>72</v>
      </c>
      <c r="L892" s="2" t="s">
        <v>72</v>
      </c>
      <c r="M892" s="2" t="s">
        <v>72</v>
      </c>
      <c r="N892" s="2" t="s">
        <v>9514</v>
      </c>
      <c r="O892" s="2" t="s">
        <v>9515</v>
      </c>
      <c r="P892" s="2" t="s">
        <v>9516</v>
      </c>
      <c r="Q892" s="2" t="s">
        <v>9517</v>
      </c>
      <c r="R892" s="2" t="s">
        <v>2028</v>
      </c>
      <c r="S892" s="2" t="s">
        <v>9518</v>
      </c>
      <c r="T892" s="2" t="s">
        <v>9519</v>
      </c>
      <c r="U892" s="2" t="s">
        <v>29</v>
      </c>
      <c r="V892" s="2" t="n">
        <v>2</v>
      </c>
    </row>
    <row r="893">
      <c r="A893" s="2" t="n">
        <v>892</v>
      </c>
      <c r="B893" s="2" t="s">
        <v>9520</v>
      </c>
      <c r="C893" s="2" t="n">
        <v>928.189075435</v>
      </c>
      <c r="D893" s="2" t="n">
        <v>9.57843378231141</v>
      </c>
      <c r="E893" s="2" t="s">
        <v>9521</v>
      </c>
      <c r="F893" s="2" t="s">
        <v>522</v>
      </c>
      <c r="G893" s="2" t="s">
        <v>9522</v>
      </c>
      <c r="H893" s="2" t="s">
        <v>9523</v>
      </c>
      <c r="I893" s="2" t="s">
        <v>9524</v>
      </c>
      <c r="J893" s="2" t="s">
        <v>9525</v>
      </c>
      <c r="K893" s="2" t="s">
        <v>29</v>
      </c>
      <c r="L893" s="2" t="s">
        <v>9526</v>
      </c>
      <c r="M893" s="2" t="s">
        <v>9527</v>
      </c>
      <c r="N893" s="2" t="s">
        <v>9528</v>
      </c>
      <c r="O893" s="2" t="s">
        <v>9529</v>
      </c>
      <c r="P893" s="2" t="s">
        <v>9530</v>
      </c>
      <c r="Q893" s="2" t="s">
        <v>9531</v>
      </c>
      <c r="R893" s="2" t="s">
        <v>1490</v>
      </c>
      <c r="S893" s="2" t="s">
        <v>1491</v>
      </c>
      <c r="T893" s="2" t="s">
        <v>9107</v>
      </c>
      <c r="U893" s="2" t="s">
        <v>39</v>
      </c>
      <c r="V893" s="2" t="n">
        <v>1</v>
      </c>
    </row>
    <row r="894">
      <c r="A894" s="2" t="n">
        <v>893</v>
      </c>
      <c r="B894" s="2" t="s">
        <v>9532</v>
      </c>
      <c r="C894" s="2" t="n">
        <v>929.372695202</v>
      </c>
      <c r="D894" s="2" t="n">
        <v>2.38389674893121</v>
      </c>
      <c r="E894" s="2" t="s">
        <v>9533</v>
      </c>
      <c r="F894" s="2" t="s">
        <v>1019</v>
      </c>
      <c r="G894" s="2" t="s">
        <v>9534</v>
      </c>
      <c r="H894" s="2" t="s">
        <v>9535</v>
      </c>
      <c r="I894" s="2" t="s">
        <v>9536</v>
      </c>
      <c r="J894" s="2" t="s">
        <v>9537</v>
      </c>
      <c r="K894" s="2" t="s">
        <v>72</v>
      </c>
      <c r="L894" s="2" t="s">
        <v>72</v>
      </c>
      <c r="M894" s="2" t="s">
        <v>72</v>
      </c>
      <c r="N894" s="2" t="s">
        <v>9538</v>
      </c>
      <c r="O894" s="2" t="s">
        <v>9539</v>
      </c>
      <c r="P894" s="2" t="s">
        <v>9540</v>
      </c>
      <c r="Q894" s="2" t="s">
        <v>9541</v>
      </c>
      <c r="R894" s="2" t="s">
        <v>537</v>
      </c>
      <c r="S894" s="2" t="s">
        <v>9542</v>
      </c>
      <c r="T894" s="2" t="s">
        <v>9543</v>
      </c>
      <c r="U894" s="2" t="s">
        <v>29</v>
      </c>
      <c r="V894" s="2" t="n">
        <v>2</v>
      </c>
    </row>
    <row r="895">
      <c r="A895" s="2" t="n">
        <v>894</v>
      </c>
      <c r="B895" s="2" t="s">
        <v>9544</v>
      </c>
      <c r="C895" s="2" t="n">
        <v>930.227497185</v>
      </c>
      <c r="D895" s="2" t="n">
        <v>9.34619778932013</v>
      </c>
      <c r="E895" s="2" t="s">
        <v>9545</v>
      </c>
      <c r="F895" s="2" t="s">
        <v>42</v>
      </c>
      <c r="G895" s="2" t="s">
        <v>9546</v>
      </c>
      <c r="H895" s="2" t="s">
        <v>9547</v>
      </c>
      <c r="I895" s="2" t="s">
        <v>9548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9549</v>
      </c>
      <c r="O895" s="2" t="s">
        <v>29</v>
      </c>
      <c r="P895" s="2" t="s">
        <v>9550</v>
      </c>
      <c r="Q895" s="2" t="s">
        <v>9551</v>
      </c>
      <c r="R895" s="2" t="s">
        <v>1490</v>
      </c>
      <c r="S895" s="2" t="s">
        <v>1491</v>
      </c>
      <c r="T895" s="2" t="s">
        <v>9107</v>
      </c>
      <c r="U895" s="2" t="s">
        <v>29</v>
      </c>
      <c r="V895" s="2" t="n">
        <v>1</v>
      </c>
    </row>
    <row r="896">
      <c r="A896" s="2" t="n">
        <v>895</v>
      </c>
      <c r="B896" s="2" t="s">
        <v>9552</v>
      </c>
      <c r="C896" s="2" t="n">
        <v>931.191440028</v>
      </c>
      <c r="D896" s="2" t="n">
        <v>2.34873888972349</v>
      </c>
      <c r="E896" s="2" t="s">
        <v>9553</v>
      </c>
      <c r="F896" s="2" t="s">
        <v>360</v>
      </c>
      <c r="G896" s="2" t="s">
        <v>9554</v>
      </c>
      <c r="H896" s="2" t="s">
        <v>9555</v>
      </c>
      <c r="I896" s="2" t="s">
        <v>9556</v>
      </c>
      <c r="J896" s="2" t="s">
        <v>9557</v>
      </c>
      <c r="K896" s="2" t="s">
        <v>29</v>
      </c>
      <c r="L896" s="2" t="s">
        <v>9558</v>
      </c>
      <c r="M896" s="2" t="s">
        <v>29</v>
      </c>
      <c r="N896" s="2" t="s">
        <v>9559</v>
      </c>
      <c r="O896" s="2" t="s">
        <v>9560</v>
      </c>
      <c r="P896" s="2" t="s">
        <v>9561</v>
      </c>
      <c r="Q896" s="2" t="s">
        <v>9562</v>
      </c>
      <c r="R896" s="2" t="s">
        <v>2509</v>
      </c>
      <c r="S896" s="2" t="s">
        <v>4528</v>
      </c>
      <c r="T896" s="2" t="s">
        <v>4529</v>
      </c>
      <c r="U896" s="2" t="s">
        <v>39</v>
      </c>
      <c r="V896" s="2" t="n">
        <v>1</v>
      </c>
    </row>
    <row r="897">
      <c r="A897" s="2" t="n">
        <v>896</v>
      </c>
      <c r="B897" s="2" t="s">
        <v>9563</v>
      </c>
      <c r="C897" s="2" t="n">
        <v>931.490799942</v>
      </c>
      <c r="D897" s="2" t="n">
        <v>4.36870206489564</v>
      </c>
      <c r="E897" s="2" t="s">
        <v>9564</v>
      </c>
      <c r="F897" s="2" t="s">
        <v>24</v>
      </c>
      <c r="G897" s="2" t="s">
        <v>9565</v>
      </c>
      <c r="H897" s="2" t="s">
        <v>9566</v>
      </c>
      <c r="I897" s="2" t="s">
        <v>9567</v>
      </c>
      <c r="J897" s="2" t="s">
        <v>9568</v>
      </c>
      <c r="K897" s="2" t="s">
        <v>226</v>
      </c>
      <c r="L897" s="2" t="s">
        <v>226</v>
      </c>
      <c r="M897" s="2" t="s">
        <v>226</v>
      </c>
      <c r="N897" s="2" t="s">
        <v>9569</v>
      </c>
      <c r="O897" s="2" t="s">
        <v>9570</v>
      </c>
      <c r="P897" s="2" t="s">
        <v>9571</v>
      </c>
      <c r="Q897" s="2" t="s">
        <v>9572</v>
      </c>
      <c r="R897" s="2" t="s">
        <v>105</v>
      </c>
      <c r="S897" s="2" t="s">
        <v>5580</v>
      </c>
      <c r="T897" s="2" t="s">
        <v>9573</v>
      </c>
      <c r="U897" s="2" t="s">
        <v>29</v>
      </c>
      <c r="V897" s="2" t="n">
        <v>3</v>
      </c>
    </row>
    <row r="898">
      <c r="A898" s="2" t="n">
        <v>897</v>
      </c>
      <c r="B898" s="2" t="s">
        <v>9574</v>
      </c>
      <c r="C898" s="2" t="n">
        <v>941.162462162</v>
      </c>
      <c r="D898" s="2" t="n">
        <v>5.74293228144546</v>
      </c>
      <c r="E898" s="2" t="s">
        <v>9575</v>
      </c>
      <c r="F898" s="2" t="s">
        <v>1019</v>
      </c>
      <c r="G898" s="2" t="s">
        <v>9576</v>
      </c>
      <c r="H898" s="2" t="s">
        <v>9577</v>
      </c>
      <c r="I898" s="2" t="s">
        <v>9578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9579</v>
      </c>
      <c r="O898" s="2" t="s">
        <v>29</v>
      </c>
      <c r="P898" s="2" t="s">
        <v>9580</v>
      </c>
      <c r="Q898" s="2" t="s">
        <v>9581</v>
      </c>
      <c r="R898" s="2" t="s">
        <v>355</v>
      </c>
      <c r="S898" s="2" t="s">
        <v>466</v>
      </c>
      <c r="T898" s="2" t="s">
        <v>467</v>
      </c>
      <c r="U898" s="2" t="s">
        <v>29</v>
      </c>
      <c r="V898" s="2" t="n">
        <v>1</v>
      </c>
    </row>
    <row r="899">
      <c r="A899" s="2" t="n">
        <v>898</v>
      </c>
      <c r="B899" s="2" t="s">
        <v>9582</v>
      </c>
      <c r="C899" s="2" t="n">
        <v>941.396499386</v>
      </c>
      <c r="D899" s="2" t="n">
        <v>0.423922851219146</v>
      </c>
      <c r="E899" s="2" t="s">
        <v>9583</v>
      </c>
      <c r="F899" s="2" t="s">
        <v>1019</v>
      </c>
      <c r="G899" s="2" t="s">
        <v>9584</v>
      </c>
      <c r="H899" s="2" t="s">
        <v>9585</v>
      </c>
      <c r="I899" s="2" t="s">
        <v>9586</v>
      </c>
      <c r="J899" s="2" t="s">
        <v>9587</v>
      </c>
      <c r="K899" s="2" t="s">
        <v>29</v>
      </c>
      <c r="L899" s="2" t="s">
        <v>29</v>
      </c>
      <c r="M899" s="2" t="s">
        <v>9588</v>
      </c>
      <c r="N899" s="2" t="s">
        <v>9589</v>
      </c>
      <c r="O899" s="2" t="s">
        <v>29</v>
      </c>
      <c r="P899" s="2" t="s">
        <v>9590</v>
      </c>
      <c r="Q899" s="2" t="s">
        <v>9591</v>
      </c>
      <c r="R899" s="2" t="s">
        <v>355</v>
      </c>
      <c r="S899" s="2" t="s">
        <v>1396</v>
      </c>
      <c r="T899" s="2" t="s">
        <v>205</v>
      </c>
      <c r="U899" s="2" t="s">
        <v>29</v>
      </c>
      <c r="V899" s="2" t="n">
        <v>1</v>
      </c>
    </row>
    <row r="900">
      <c r="A900" s="2" t="n">
        <v>899</v>
      </c>
      <c r="B900" s="2" t="s">
        <v>9592</v>
      </c>
      <c r="C900" s="2" t="n">
        <v>953.509132756</v>
      </c>
      <c r="D900" s="2" t="n">
        <v>2.93752638398685</v>
      </c>
      <c r="E900" s="2" t="s">
        <v>9593</v>
      </c>
      <c r="F900" s="2" t="s">
        <v>360</v>
      </c>
      <c r="G900" s="2" t="s">
        <v>9594</v>
      </c>
      <c r="H900" s="2" t="s">
        <v>9595</v>
      </c>
      <c r="I900" s="2" t="s">
        <v>9596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9597</v>
      </c>
      <c r="O900" s="2" t="s">
        <v>9598</v>
      </c>
      <c r="P900" s="2" t="s">
        <v>9599</v>
      </c>
      <c r="Q900" s="2" t="s">
        <v>9600</v>
      </c>
      <c r="R900" s="2" t="s">
        <v>1490</v>
      </c>
      <c r="S900" s="2" t="s">
        <v>4971</v>
      </c>
      <c r="T900" s="2" t="s">
        <v>7445</v>
      </c>
      <c r="U900" s="2" t="s">
        <v>29</v>
      </c>
      <c r="V900" s="2" t="n">
        <v>1</v>
      </c>
    </row>
    <row r="901">
      <c r="A901" s="2" t="n">
        <v>900</v>
      </c>
      <c r="B901" s="2" t="s">
        <v>9601</v>
      </c>
      <c r="C901" s="2" t="n">
        <v>957.151538062</v>
      </c>
      <c r="D901" s="2" t="n">
        <v>1.99914258356376</v>
      </c>
      <c r="E901" s="2" t="s">
        <v>9602</v>
      </c>
      <c r="F901" s="2" t="s">
        <v>1019</v>
      </c>
      <c r="G901" s="2" t="s">
        <v>9603</v>
      </c>
      <c r="H901" s="2" t="s">
        <v>9604</v>
      </c>
      <c r="I901" s="2" t="s">
        <v>9605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9606</v>
      </c>
      <c r="O901" s="2" t="s">
        <v>29</v>
      </c>
      <c r="P901" s="2" t="s">
        <v>9607</v>
      </c>
      <c r="Q901" s="2" t="s">
        <v>9608</v>
      </c>
      <c r="R901" s="2" t="s">
        <v>355</v>
      </c>
      <c r="S901" s="2" t="s">
        <v>4796</v>
      </c>
      <c r="T901" s="2" t="s">
        <v>4797</v>
      </c>
      <c r="U901" s="2" t="s">
        <v>29</v>
      </c>
      <c r="V901" s="2" t="n">
        <v>1</v>
      </c>
    </row>
    <row r="902">
      <c r="A902" s="2" t="n">
        <v>901</v>
      </c>
      <c r="B902" s="2" t="s">
        <v>9609</v>
      </c>
      <c r="C902" s="2" t="n">
        <v>957.376157866</v>
      </c>
      <c r="D902" s="2" t="n">
        <v>9.94906488700691</v>
      </c>
      <c r="E902" s="2" t="s">
        <v>9610</v>
      </c>
      <c r="F902" s="2" t="s">
        <v>1019</v>
      </c>
      <c r="G902" s="2" t="s">
        <v>9611</v>
      </c>
      <c r="H902" s="2" t="s">
        <v>9612</v>
      </c>
      <c r="I902" s="2" t="s">
        <v>9613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9614</v>
      </c>
      <c r="Q902" s="2" t="s">
        <v>9615</v>
      </c>
      <c r="R902" s="2" t="s">
        <v>355</v>
      </c>
      <c r="S902" s="2" t="s">
        <v>5131</v>
      </c>
      <c r="T902" s="2" t="s">
        <v>5132</v>
      </c>
      <c r="U902" s="2" t="s">
        <v>29</v>
      </c>
      <c r="V902" s="2" t="n">
        <v>1</v>
      </c>
    </row>
    <row r="903">
      <c r="A903" s="2" t="n">
        <v>902</v>
      </c>
      <c r="B903" s="2" t="s">
        <v>9616</v>
      </c>
      <c r="C903" s="2" t="n">
        <v>959.188757278</v>
      </c>
      <c r="D903" s="2" t="n">
        <v>5.3540687084849</v>
      </c>
      <c r="E903" s="2" t="s">
        <v>9617</v>
      </c>
      <c r="F903" s="2" t="s">
        <v>24</v>
      </c>
      <c r="G903" s="2" t="s">
        <v>9618</v>
      </c>
      <c r="H903" s="2" t="s">
        <v>9619</v>
      </c>
      <c r="I903" s="2" t="s">
        <v>9620</v>
      </c>
      <c r="J903" s="2" t="s">
        <v>9621</v>
      </c>
      <c r="K903" s="2" t="s">
        <v>29</v>
      </c>
      <c r="L903" s="2" t="s">
        <v>29</v>
      </c>
      <c r="M903" s="2" t="s">
        <v>9622</v>
      </c>
      <c r="N903" s="2" t="s">
        <v>9623</v>
      </c>
      <c r="O903" s="2" t="s">
        <v>9624</v>
      </c>
      <c r="P903" s="2" t="s">
        <v>9625</v>
      </c>
      <c r="Q903" s="2" t="s">
        <v>9626</v>
      </c>
      <c r="R903" s="2" t="s">
        <v>2509</v>
      </c>
      <c r="S903" s="2" t="s">
        <v>5520</v>
      </c>
      <c r="T903" s="2" t="s">
        <v>7136</v>
      </c>
      <c r="U903" s="2" t="s">
        <v>29</v>
      </c>
      <c r="V903" s="2" t="n">
        <v>1</v>
      </c>
    </row>
    <row r="904">
      <c r="A904" s="2" t="n">
        <v>903</v>
      </c>
      <c r="B904" s="2" t="s">
        <v>9627</v>
      </c>
      <c r="C904" s="2" t="n">
        <v>961.601230322</v>
      </c>
      <c r="D904" s="2" t="n">
        <v>4.38214801816972</v>
      </c>
      <c r="E904" s="2" t="s">
        <v>9628</v>
      </c>
      <c r="F904" s="2" t="s">
        <v>522</v>
      </c>
      <c r="G904" s="2" t="s">
        <v>9629</v>
      </c>
      <c r="H904" s="2" t="s">
        <v>9630</v>
      </c>
      <c r="I904" s="2" t="s">
        <v>9631</v>
      </c>
      <c r="J904" s="2" t="s">
        <v>9632</v>
      </c>
      <c r="K904" s="2" t="s">
        <v>9633</v>
      </c>
      <c r="L904" s="2" t="s">
        <v>9634</v>
      </c>
      <c r="M904" s="2" t="s">
        <v>9635</v>
      </c>
      <c r="N904" s="2" t="s">
        <v>9636</v>
      </c>
      <c r="O904" s="2" t="s">
        <v>9637</v>
      </c>
      <c r="P904" s="2" t="s">
        <v>9638</v>
      </c>
      <c r="Q904" s="2" t="s">
        <v>9639</v>
      </c>
      <c r="R904" s="2" t="s">
        <v>1490</v>
      </c>
      <c r="S904" s="2" t="s">
        <v>4971</v>
      </c>
      <c r="T904" s="2" t="s">
        <v>9640</v>
      </c>
      <c r="U904" s="2" t="s">
        <v>39</v>
      </c>
      <c r="V904" s="2" t="n">
        <v>1</v>
      </c>
    </row>
    <row r="905">
      <c r="A905" s="2" t="n">
        <v>904</v>
      </c>
      <c r="B905" s="2" t="s">
        <v>9641</v>
      </c>
      <c r="C905" s="2" t="n">
        <v>966.176403457</v>
      </c>
      <c r="D905" s="2" t="n">
        <v>2.2620058092362</v>
      </c>
      <c r="E905" s="2" t="s">
        <v>9642</v>
      </c>
      <c r="F905" s="2" t="s">
        <v>24</v>
      </c>
      <c r="G905" s="2" t="s">
        <v>9643</v>
      </c>
      <c r="H905" s="2" t="s">
        <v>9644</v>
      </c>
      <c r="I905" s="2" t="s">
        <v>9645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9646</v>
      </c>
      <c r="Q905" s="2" t="s">
        <v>9647</v>
      </c>
      <c r="R905" s="2" t="s">
        <v>1490</v>
      </c>
      <c r="S905" s="2" t="s">
        <v>1491</v>
      </c>
      <c r="T905" s="2" t="s">
        <v>9107</v>
      </c>
      <c r="U905" s="2" t="s">
        <v>29</v>
      </c>
      <c r="V905" s="2" t="n">
        <v>1</v>
      </c>
    </row>
    <row r="906">
      <c r="A906" s="2" t="n">
        <v>905</v>
      </c>
      <c r="B906" s="2" t="s">
        <v>9648</v>
      </c>
      <c r="C906" s="2" t="n">
        <v>967.163334648</v>
      </c>
      <c r="D906" s="2" t="n">
        <v>6.43933295831188</v>
      </c>
      <c r="E906" s="2" t="s">
        <v>9649</v>
      </c>
      <c r="F906" s="2" t="s">
        <v>1019</v>
      </c>
      <c r="G906" s="2" t="s">
        <v>9650</v>
      </c>
      <c r="H906" s="2" t="s">
        <v>9651</v>
      </c>
      <c r="I906" s="2" t="s">
        <v>9652</v>
      </c>
      <c r="J906" s="2" t="s">
        <v>9653</v>
      </c>
      <c r="K906" s="2" t="s">
        <v>29</v>
      </c>
      <c r="L906" s="2" t="s">
        <v>9654</v>
      </c>
      <c r="M906" s="2" t="s">
        <v>9655</v>
      </c>
      <c r="N906" s="2" t="s">
        <v>9656</v>
      </c>
      <c r="O906" s="2" t="s">
        <v>29</v>
      </c>
      <c r="P906" s="2" t="s">
        <v>9657</v>
      </c>
      <c r="Q906" s="2" t="s">
        <v>9658</v>
      </c>
      <c r="R906" s="2" t="s">
        <v>2509</v>
      </c>
      <c r="S906" s="2" t="s">
        <v>4949</v>
      </c>
      <c r="T906" s="2" t="s">
        <v>205</v>
      </c>
      <c r="U906" s="2" t="s">
        <v>39</v>
      </c>
      <c r="V906" s="2" t="n">
        <v>1</v>
      </c>
    </row>
    <row r="907">
      <c r="A907" s="2" t="n">
        <v>906</v>
      </c>
      <c r="B907" s="2" t="s">
        <v>9659</v>
      </c>
      <c r="C907" s="2" t="n">
        <v>975.517019</v>
      </c>
      <c r="D907" s="2" t="n">
        <v>2.95981916709518</v>
      </c>
      <c r="E907" s="2" t="s">
        <v>9660</v>
      </c>
      <c r="F907" s="2" t="s">
        <v>110</v>
      </c>
      <c r="G907" s="2" t="s">
        <v>9661</v>
      </c>
      <c r="H907" s="2" t="s">
        <v>9662</v>
      </c>
      <c r="I907" s="2" t="s">
        <v>9663</v>
      </c>
      <c r="J907" s="2" t="s">
        <v>9664</v>
      </c>
      <c r="K907" s="2" t="s">
        <v>29</v>
      </c>
      <c r="L907" s="2" t="s">
        <v>29</v>
      </c>
      <c r="M907" s="2" t="s">
        <v>29</v>
      </c>
      <c r="N907" s="2" t="s">
        <v>9665</v>
      </c>
      <c r="O907" s="2" t="s">
        <v>9666</v>
      </c>
      <c r="P907" s="2" t="s">
        <v>9667</v>
      </c>
      <c r="Q907" s="2" t="s">
        <v>9668</v>
      </c>
      <c r="R907" s="2" t="s">
        <v>1490</v>
      </c>
      <c r="S907" s="2" t="s">
        <v>3546</v>
      </c>
      <c r="T907" s="2" t="s">
        <v>7355</v>
      </c>
      <c r="U907" s="2" t="s">
        <v>29</v>
      </c>
      <c r="V907" s="2" t="n">
        <v>1</v>
      </c>
    </row>
    <row r="908">
      <c r="A908" s="2" t="n">
        <v>907</v>
      </c>
      <c r="B908" s="2" t="s">
        <v>9669</v>
      </c>
      <c r="C908" s="2" t="n">
        <v>975.620302274</v>
      </c>
      <c r="D908" s="2" t="n">
        <v>9.04041279363859</v>
      </c>
      <c r="E908" s="2" t="s">
        <v>9670</v>
      </c>
      <c r="F908" s="2" t="s">
        <v>1019</v>
      </c>
      <c r="G908" s="2" t="s">
        <v>9671</v>
      </c>
      <c r="H908" s="2" t="s">
        <v>9672</v>
      </c>
      <c r="I908" s="2" t="s">
        <v>9673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9674</v>
      </c>
      <c r="O908" s="2" t="s">
        <v>29</v>
      </c>
      <c r="P908" s="2" t="s">
        <v>9675</v>
      </c>
      <c r="Q908" s="2" t="s">
        <v>9676</v>
      </c>
      <c r="R908" s="2" t="s">
        <v>1490</v>
      </c>
      <c r="S908" s="2" t="s">
        <v>3546</v>
      </c>
      <c r="T908" s="2" t="s">
        <v>9677</v>
      </c>
      <c r="U908" s="2" t="s">
        <v>29</v>
      </c>
      <c r="V908" s="2" t="n">
        <v>1</v>
      </c>
    </row>
    <row r="909">
      <c r="A909" s="2" t="n">
        <v>908</v>
      </c>
      <c r="B909" s="2" t="s">
        <v>9678</v>
      </c>
      <c r="C909" s="2" t="n">
        <v>979.138573344</v>
      </c>
      <c r="D909" s="2" t="n">
        <v>6.51745371841483</v>
      </c>
      <c r="E909" s="2" t="s">
        <v>9679</v>
      </c>
      <c r="F909" s="2" t="s">
        <v>1019</v>
      </c>
      <c r="G909" s="2" t="s">
        <v>9680</v>
      </c>
      <c r="H909" s="2" t="s">
        <v>9681</v>
      </c>
      <c r="I909" s="2" t="s">
        <v>9682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9683</v>
      </c>
      <c r="O909" s="2" t="s">
        <v>29</v>
      </c>
      <c r="P909" s="2" t="s">
        <v>9684</v>
      </c>
      <c r="Q909" s="2" t="s">
        <v>9685</v>
      </c>
      <c r="R909" s="2" t="s">
        <v>355</v>
      </c>
      <c r="S909" s="2" t="s">
        <v>4796</v>
      </c>
      <c r="T909" s="2" t="s">
        <v>4797</v>
      </c>
      <c r="U909" s="2" t="s">
        <v>29</v>
      </c>
      <c r="V909" s="2" t="n">
        <v>1</v>
      </c>
    </row>
    <row r="910">
      <c r="A910" s="2" t="n">
        <v>909</v>
      </c>
      <c r="B910" s="2" t="s">
        <v>9686</v>
      </c>
      <c r="C910" s="2" t="n">
        <v>981.579221018</v>
      </c>
      <c r="D910" s="2" t="n">
        <v>3.3025254714884</v>
      </c>
      <c r="E910" s="2" t="s">
        <v>9687</v>
      </c>
      <c r="F910" s="2" t="s">
        <v>24</v>
      </c>
      <c r="G910" s="2" t="s">
        <v>9688</v>
      </c>
      <c r="H910" s="2" t="s">
        <v>9689</v>
      </c>
      <c r="I910" s="2" t="s">
        <v>9690</v>
      </c>
      <c r="J910" s="2" t="s">
        <v>9691</v>
      </c>
      <c r="K910" s="2" t="s">
        <v>29</v>
      </c>
      <c r="L910" s="2" t="s">
        <v>29</v>
      </c>
      <c r="M910" s="2" t="s">
        <v>9692</v>
      </c>
      <c r="N910" s="2" t="s">
        <v>9693</v>
      </c>
      <c r="O910" s="2" t="s">
        <v>29</v>
      </c>
      <c r="P910" s="2" t="s">
        <v>9694</v>
      </c>
      <c r="Q910" s="2" t="s">
        <v>9695</v>
      </c>
      <c r="R910" s="2" t="s">
        <v>1490</v>
      </c>
      <c r="S910" s="2" t="s">
        <v>6728</v>
      </c>
      <c r="T910" s="2" t="s">
        <v>9027</v>
      </c>
      <c r="U910" s="2" t="s">
        <v>29</v>
      </c>
      <c r="V910" s="2" t="n">
        <v>1</v>
      </c>
    </row>
    <row r="911">
      <c r="A911" s="2" t="n">
        <v>910</v>
      </c>
      <c r="B911" s="2" t="s">
        <v>9696</v>
      </c>
      <c r="C911" s="2" t="n">
        <v>998.145101423</v>
      </c>
      <c r="D911" s="2" t="n">
        <v>2.98001715361323</v>
      </c>
      <c r="E911" s="2" t="s">
        <v>9697</v>
      </c>
      <c r="F911" s="2" t="s">
        <v>24</v>
      </c>
      <c r="G911" s="2" t="s">
        <v>9698</v>
      </c>
      <c r="H911" s="2" t="s">
        <v>9699</v>
      </c>
      <c r="I911" s="2" t="s">
        <v>9700</v>
      </c>
      <c r="J911" s="2" t="s">
        <v>9701</v>
      </c>
      <c r="K911" s="2" t="s">
        <v>29</v>
      </c>
      <c r="L911" s="2" t="s">
        <v>9702</v>
      </c>
      <c r="M911" s="2" t="s">
        <v>5422</v>
      </c>
      <c r="N911" s="2" t="s">
        <v>9703</v>
      </c>
      <c r="O911" s="2" t="s">
        <v>29</v>
      </c>
      <c r="P911" s="2" t="s">
        <v>9704</v>
      </c>
      <c r="Q911" s="2" t="s">
        <v>9705</v>
      </c>
      <c r="R911" s="2" t="s">
        <v>1490</v>
      </c>
      <c r="S911" s="2" t="s">
        <v>1491</v>
      </c>
      <c r="T911" s="2" t="s">
        <v>9107</v>
      </c>
      <c r="U911" s="2" t="s">
        <v>39</v>
      </c>
      <c r="V911" s="2" t="n">
        <v>1</v>
      </c>
    </row>
    <row r="912">
      <c r="A912" s="2" t="n">
        <v>911</v>
      </c>
      <c r="B912" s="2" t="s">
        <v>9706</v>
      </c>
      <c r="C912" s="2" t="n">
        <v>1003.172717592</v>
      </c>
      <c r="D912" s="2" t="n">
        <v>9.49019740606776</v>
      </c>
      <c r="E912" s="2" t="s">
        <v>9707</v>
      </c>
      <c r="F912" s="2" t="s">
        <v>1019</v>
      </c>
      <c r="G912" s="2" t="s">
        <v>9708</v>
      </c>
      <c r="H912" s="2" t="s">
        <v>9709</v>
      </c>
      <c r="I912" s="2" t="s">
        <v>9710</v>
      </c>
      <c r="J912" s="2" t="s">
        <v>9711</v>
      </c>
      <c r="K912" s="2" t="s">
        <v>29</v>
      </c>
      <c r="L912" s="2" t="s">
        <v>29</v>
      </c>
      <c r="M912" s="2" t="s">
        <v>29</v>
      </c>
      <c r="N912" s="2" t="s">
        <v>9712</v>
      </c>
      <c r="O912" s="2" t="s">
        <v>9713</v>
      </c>
      <c r="P912" s="2" t="s">
        <v>9714</v>
      </c>
      <c r="Q912" s="2" t="s">
        <v>9715</v>
      </c>
      <c r="R912" s="2" t="s">
        <v>355</v>
      </c>
      <c r="S912" s="2" t="s">
        <v>5537</v>
      </c>
      <c r="T912" s="2" t="s">
        <v>5538</v>
      </c>
      <c r="U912" s="2" t="s">
        <v>29</v>
      </c>
      <c r="V912" s="2" t="n">
        <v>1</v>
      </c>
    </row>
    <row r="913">
      <c r="A913" s="2" t="n">
        <v>912</v>
      </c>
      <c r="B913" s="2" t="s">
        <v>9716</v>
      </c>
      <c r="C913" s="2" t="n">
        <v>1012.210206715</v>
      </c>
      <c r="D913" s="2" t="n">
        <v>3.49923886036623</v>
      </c>
      <c r="E913" s="2" t="s">
        <v>9717</v>
      </c>
      <c r="F913" s="2" t="s">
        <v>522</v>
      </c>
      <c r="G913" s="2" t="s">
        <v>9718</v>
      </c>
      <c r="H913" s="2" t="s">
        <v>9719</v>
      </c>
      <c r="I913" s="2" t="s">
        <v>9720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9721</v>
      </c>
      <c r="Q913" s="2" t="s">
        <v>9722</v>
      </c>
      <c r="R913" s="2" t="s">
        <v>1490</v>
      </c>
      <c r="S913" s="2" t="s">
        <v>1491</v>
      </c>
      <c r="T913" s="2" t="s">
        <v>9107</v>
      </c>
      <c r="U913" s="2" t="s">
        <v>29</v>
      </c>
      <c r="V913" s="2" t="n">
        <v>1</v>
      </c>
    </row>
    <row r="914">
      <c r="A914" s="2" t="n">
        <v>913</v>
      </c>
      <c r="B914" s="2" t="s">
        <v>9723</v>
      </c>
      <c r="C914" s="2" t="n">
        <v>1013.581625344</v>
      </c>
      <c r="D914" s="2" t="n">
        <v>1.44121805558535</v>
      </c>
      <c r="E914" s="2" t="s">
        <v>9724</v>
      </c>
      <c r="F914" s="2" t="s">
        <v>110</v>
      </c>
      <c r="G914" s="2" t="s">
        <v>9725</v>
      </c>
      <c r="H914" s="2" t="s">
        <v>9726</v>
      </c>
      <c r="I914" s="2" t="s">
        <v>9727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9728</v>
      </c>
      <c r="Q914" s="2" t="s">
        <v>9729</v>
      </c>
      <c r="R914" s="2" t="s">
        <v>49</v>
      </c>
      <c r="S914" s="2" t="s">
        <v>6532</v>
      </c>
      <c r="T914" s="2" t="s">
        <v>7502</v>
      </c>
      <c r="U914" s="2" t="s">
        <v>29</v>
      </c>
      <c r="V914" s="2" t="n">
        <v>1</v>
      </c>
    </row>
    <row r="915">
      <c r="A915" s="2" t="n">
        <v>914</v>
      </c>
      <c r="B915" s="2" t="s">
        <v>9730</v>
      </c>
      <c r="C915" s="2" t="n">
        <v>1025.181663202</v>
      </c>
      <c r="D915" s="2" t="n">
        <v>7.31234073516662</v>
      </c>
      <c r="E915" s="2" t="s">
        <v>9731</v>
      </c>
      <c r="F915" s="2" t="s">
        <v>360</v>
      </c>
      <c r="G915" s="2" t="s">
        <v>9732</v>
      </c>
      <c r="H915" s="2" t="s">
        <v>9733</v>
      </c>
      <c r="I915" s="2" t="s">
        <v>9734</v>
      </c>
      <c r="J915" s="2" t="s">
        <v>9735</v>
      </c>
      <c r="K915" s="2" t="s">
        <v>29</v>
      </c>
      <c r="L915" s="2" t="s">
        <v>29</v>
      </c>
      <c r="M915" s="2" t="s">
        <v>29</v>
      </c>
      <c r="N915" s="2" t="s">
        <v>9736</v>
      </c>
      <c r="O915" s="2" t="s">
        <v>9737</v>
      </c>
      <c r="P915" s="2" t="s">
        <v>9738</v>
      </c>
      <c r="Q915" s="2" t="s">
        <v>9739</v>
      </c>
      <c r="R915" s="2" t="s">
        <v>2509</v>
      </c>
      <c r="S915" s="2" t="s">
        <v>5520</v>
      </c>
      <c r="T915" s="2" t="s">
        <v>5664</v>
      </c>
      <c r="U915" s="2" t="s">
        <v>29</v>
      </c>
      <c r="V915" s="2" t="n">
        <v>1</v>
      </c>
    </row>
    <row r="916">
      <c r="A916" s="2" t="n">
        <v>915</v>
      </c>
      <c r="B916" s="2" t="s">
        <v>9740</v>
      </c>
      <c r="C916" s="2" t="n">
        <v>1031.755673548</v>
      </c>
      <c r="D916" s="2" t="n">
        <v>7.93450682557304</v>
      </c>
      <c r="E916" s="2" t="s">
        <v>9741</v>
      </c>
      <c r="F916" s="2" t="s">
        <v>1019</v>
      </c>
      <c r="G916" s="2" t="s">
        <v>9742</v>
      </c>
      <c r="H916" s="2" t="s">
        <v>9743</v>
      </c>
      <c r="I916" s="2" t="s">
        <v>9744</v>
      </c>
      <c r="J916" s="2" t="s">
        <v>9745</v>
      </c>
      <c r="K916" s="2" t="s">
        <v>29</v>
      </c>
      <c r="L916" s="2" t="s">
        <v>29</v>
      </c>
      <c r="M916" s="2" t="s">
        <v>29</v>
      </c>
      <c r="N916" s="2" t="s">
        <v>9746</v>
      </c>
      <c r="O916" s="2" t="s">
        <v>9747</v>
      </c>
      <c r="P916" s="2" t="s">
        <v>9748</v>
      </c>
      <c r="Q916" s="2" t="s">
        <v>9749</v>
      </c>
      <c r="R916" s="2" t="s">
        <v>1490</v>
      </c>
      <c r="S916" s="2" t="s">
        <v>4971</v>
      </c>
      <c r="T916" s="2" t="s">
        <v>7445</v>
      </c>
      <c r="U916" s="2" t="s">
        <v>29</v>
      </c>
      <c r="V916" s="2" t="n">
        <v>1</v>
      </c>
    </row>
    <row r="917">
      <c r="A917" s="2" t="n">
        <v>916</v>
      </c>
      <c r="B917" s="2" t="s">
        <v>9750</v>
      </c>
      <c r="C917" s="2" t="n">
        <v>1037.571292563</v>
      </c>
      <c r="D917" s="2" t="n">
        <v>4.47976660623515</v>
      </c>
      <c r="E917" s="2" t="s">
        <v>9751</v>
      </c>
      <c r="F917" s="2" t="s">
        <v>360</v>
      </c>
      <c r="G917" s="2" t="s">
        <v>9752</v>
      </c>
      <c r="H917" s="2" t="s">
        <v>9753</v>
      </c>
      <c r="I917" s="2" t="s">
        <v>9754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9755</v>
      </c>
      <c r="O917" s="2" t="s">
        <v>29</v>
      </c>
      <c r="P917" s="2" t="s">
        <v>9756</v>
      </c>
      <c r="Q917" s="2" t="s">
        <v>9757</v>
      </c>
      <c r="R917" s="2" t="s">
        <v>1490</v>
      </c>
      <c r="S917" s="2" t="s">
        <v>4236</v>
      </c>
      <c r="T917" s="2" t="s">
        <v>9758</v>
      </c>
      <c r="U917" s="2" t="s">
        <v>29</v>
      </c>
      <c r="V917" s="2" t="n">
        <v>1</v>
      </c>
    </row>
    <row r="918">
      <c r="A918" s="2" t="n">
        <v>917</v>
      </c>
      <c r="B918" s="2" t="s">
        <v>9759</v>
      </c>
      <c r="C918" s="2" t="n">
        <v>1041.155075094</v>
      </c>
      <c r="D918" s="2" t="n">
        <v>8.61396521027376</v>
      </c>
      <c r="E918" s="2" t="s">
        <v>9760</v>
      </c>
      <c r="F918" s="2" t="s">
        <v>1019</v>
      </c>
      <c r="G918" s="2" t="s">
        <v>9761</v>
      </c>
      <c r="H918" s="2" t="s">
        <v>9762</v>
      </c>
      <c r="I918" s="2" t="s">
        <v>9763</v>
      </c>
      <c r="J918" s="2" t="s">
        <v>9764</v>
      </c>
      <c r="K918" s="2" t="s">
        <v>29</v>
      </c>
      <c r="L918" s="2" t="s">
        <v>9765</v>
      </c>
      <c r="M918" s="2" t="s">
        <v>9766</v>
      </c>
      <c r="N918" s="2" t="s">
        <v>9767</v>
      </c>
      <c r="O918" s="2" t="s">
        <v>29</v>
      </c>
      <c r="P918" s="2" t="s">
        <v>9768</v>
      </c>
      <c r="Q918" s="2" t="s">
        <v>9769</v>
      </c>
      <c r="R918" s="2" t="s">
        <v>2590</v>
      </c>
      <c r="S918" s="2" t="s">
        <v>4599</v>
      </c>
      <c r="T918" s="2" t="s">
        <v>7467</v>
      </c>
      <c r="U918" s="2" t="s">
        <v>39</v>
      </c>
      <c r="V918" s="2" t="n">
        <v>1</v>
      </c>
    </row>
    <row r="919">
      <c r="A919" s="2" t="n">
        <v>918</v>
      </c>
      <c r="B919" s="2" t="s">
        <v>9770</v>
      </c>
      <c r="C919" s="2" t="n">
        <v>1044.567210238</v>
      </c>
      <c r="D919" s="2" t="n">
        <v>9.93621401074396</v>
      </c>
      <c r="E919" s="2" t="s">
        <v>9771</v>
      </c>
      <c r="F919" s="2" t="s">
        <v>360</v>
      </c>
      <c r="G919" s="2" t="s">
        <v>9772</v>
      </c>
      <c r="H919" s="2" t="s">
        <v>9773</v>
      </c>
      <c r="I919" s="2" t="s">
        <v>9774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9775</v>
      </c>
      <c r="O919" s="2" t="s">
        <v>29</v>
      </c>
      <c r="P919" s="2" t="s">
        <v>9776</v>
      </c>
      <c r="Q919" s="2" t="s">
        <v>9777</v>
      </c>
      <c r="R919" s="2" t="s">
        <v>1490</v>
      </c>
      <c r="S919" s="2" t="s">
        <v>4236</v>
      </c>
      <c r="T919" s="2" t="s">
        <v>9778</v>
      </c>
      <c r="U919" s="2" t="s">
        <v>29</v>
      </c>
      <c r="V919" s="2" t="n">
        <v>1</v>
      </c>
    </row>
    <row r="920">
      <c r="A920" s="2" t="n">
        <v>919</v>
      </c>
      <c r="B920" s="2" t="s">
        <v>9779</v>
      </c>
      <c r="C920" s="2" t="n">
        <v>1050.166324058</v>
      </c>
      <c r="D920" s="2" t="n">
        <v>0.42287107273892</v>
      </c>
      <c r="E920" s="2" t="s">
        <v>9780</v>
      </c>
      <c r="F920" s="2" t="s">
        <v>24</v>
      </c>
      <c r="G920" s="2" t="s">
        <v>9781</v>
      </c>
      <c r="H920" s="2" t="s">
        <v>9782</v>
      </c>
      <c r="I920" s="2" t="s">
        <v>9783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9784</v>
      </c>
      <c r="O920" s="2" t="s">
        <v>29</v>
      </c>
      <c r="P920" s="2" t="s">
        <v>9785</v>
      </c>
      <c r="Q920" s="2" t="s">
        <v>9786</v>
      </c>
      <c r="R920" s="2" t="s">
        <v>2590</v>
      </c>
      <c r="S920" s="2" t="s">
        <v>6120</v>
      </c>
      <c r="T920" s="2" t="s">
        <v>7366</v>
      </c>
      <c r="U920" s="2" t="s">
        <v>29</v>
      </c>
      <c r="V920" s="2" t="n">
        <v>1</v>
      </c>
    </row>
    <row r="921">
      <c r="A921" s="2" t="n">
        <v>920</v>
      </c>
      <c r="B921" s="2" t="s">
        <v>9787</v>
      </c>
      <c r="C921" s="2" t="n">
        <v>1052.145592918</v>
      </c>
      <c r="D921" s="2" t="n">
        <v>0.531164576543264</v>
      </c>
      <c r="E921" s="2" t="s">
        <v>9788</v>
      </c>
      <c r="F921" s="2" t="s">
        <v>110</v>
      </c>
      <c r="G921" s="2" t="s">
        <v>9789</v>
      </c>
      <c r="H921" s="2" t="s">
        <v>9790</v>
      </c>
      <c r="I921" s="2" t="s">
        <v>9791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9792</v>
      </c>
      <c r="Q921" s="2" t="s">
        <v>9793</v>
      </c>
      <c r="R921" s="2" t="s">
        <v>2590</v>
      </c>
      <c r="S921" s="2" t="s">
        <v>3200</v>
      </c>
      <c r="T921" s="2" t="s">
        <v>9794</v>
      </c>
      <c r="U921" s="2" t="s">
        <v>29</v>
      </c>
      <c r="V921" s="2" t="n">
        <v>1</v>
      </c>
    </row>
    <row r="922">
      <c r="A922" s="2" t="n">
        <v>921</v>
      </c>
      <c r="B922" s="2" t="s">
        <v>9795</v>
      </c>
      <c r="C922" s="2" t="n">
        <v>1058.582860303</v>
      </c>
      <c r="D922" s="2" t="n">
        <v>7.87823588783544</v>
      </c>
      <c r="E922" s="2" t="s">
        <v>9796</v>
      </c>
      <c r="F922" s="2" t="s">
        <v>360</v>
      </c>
      <c r="G922" s="2" t="s">
        <v>9797</v>
      </c>
      <c r="H922" s="2" t="s">
        <v>9798</v>
      </c>
      <c r="I922" s="2" t="s">
        <v>9799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9800</v>
      </c>
      <c r="O922" s="2" t="s">
        <v>29</v>
      </c>
      <c r="P922" s="2" t="s">
        <v>9801</v>
      </c>
      <c r="Q922" s="2" t="s">
        <v>9802</v>
      </c>
      <c r="R922" s="2" t="s">
        <v>1490</v>
      </c>
      <c r="S922" s="2" t="s">
        <v>4236</v>
      </c>
      <c r="T922" s="2" t="s">
        <v>9778</v>
      </c>
      <c r="U922" s="2" t="s">
        <v>29</v>
      </c>
      <c r="V922" s="2" t="n">
        <v>1</v>
      </c>
    </row>
    <row r="923">
      <c r="A923" s="2" t="n">
        <v>922</v>
      </c>
      <c r="B923" s="2" t="s">
        <v>9803</v>
      </c>
      <c r="C923" s="2" t="n">
        <v>1063.556867148</v>
      </c>
      <c r="D923" s="2" t="n">
        <v>8.36075848931652</v>
      </c>
      <c r="E923" s="2" t="s">
        <v>9804</v>
      </c>
      <c r="F923" s="2" t="s">
        <v>110</v>
      </c>
      <c r="G923" s="2" t="s">
        <v>9805</v>
      </c>
      <c r="H923" s="2" t="s">
        <v>9806</v>
      </c>
      <c r="I923" s="2" t="s">
        <v>9807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9808</v>
      </c>
      <c r="O923" s="2" t="s">
        <v>29</v>
      </c>
      <c r="P923" s="2" t="s">
        <v>9809</v>
      </c>
      <c r="Q923" s="2" t="s">
        <v>9810</v>
      </c>
      <c r="R923" s="2" t="s">
        <v>49</v>
      </c>
      <c r="S923" s="2" t="s">
        <v>165</v>
      </c>
      <c r="T923" s="2" t="s">
        <v>166</v>
      </c>
      <c r="U923" s="2" t="s">
        <v>29</v>
      </c>
      <c r="V923" s="2" t="n">
        <v>1</v>
      </c>
    </row>
    <row r="924">
      <c r="A924" s="2" t="n">
        <v>923</v>
      </c>
      <c r="B924" s="2" t="s">
        <v>9811</v>
      </c>
      <c r="C924" s="2" t="n">
        <v>1086.585428585</v>
      </c>
      <c r="D924" s="2" t="n">
        <v>2.11110830014178</v>
      </c>
      <c r="E924" s="2" t="s">
        <v>9812</v>
      </c>
      <c r="F924" s="2" t="s">
        <v>24</v>
      </c>
      <c r="G924" s="2" t="s">
        <v>9813</v>
      </c>
      <c r="H924" s="2" t="s">
        <v>9814</v>
      </c>
      <c r="I924" s="2" t="s">
        <v>9815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9816</v>
      </c>
      <c r="O924" s="2" t="s">
        <v>29</v>
      </c>
      <c r="P924" s="2" t="s">
        <v>9817</v>
      </c>
      <c r="Q924" s="2" t="s">
        <v>9818</v>
      </c>
      <c r="R924" s="2" t="s">
        <v>64</v>
      </c>
      <c r="S924" s="2" t="s">
        <v>65</v>
      </c>
      <c r="T924" s="2" t="s">
        <v>66</v>
      </c>
      <c r="U924" s="2" t="s">
        <v>29</v>
      </c>
      <c r="V924" s="2" t="n">
        <v>1</v>
      </c>
    </row>
    <row r="925">
      <c r="A925" s="2" t="n">
        <v>924</v>
      </c>
      <c r="B925" s="2" t="s">
        <v>9819</v>
      </c>
      <c r="C925" s="2" t="n">
        <v>1087.315618356</v>
      </c>
      <c r="D925" s="2" t="n">
        <v>5.58203463021907</v>
      </c>
      <c r="E925" s="2" t="s">
        <v>9820</v>
      </c>
      <c r="F925" s="2" t="s">
        <v>1019</v>
      </c>
      <c r="G925" s="2" t="s">
        <v>9821</v>
      </c>
      <c r="H925" s="2" t="s">
        <v>9822</v>
      </c>
      <c r="I925" s="2" t="s">
        <v>9823</v>
      </c>
      <c r="J925" s="2" t="s">
        <v>9824</v>
      </c>
      <c r="K925" s="2" t="s">
        <v>29</v>
      </c>
      <c r="L925" s="2" t="s">
        <v>9825</v>
      </c>
      <c r="M925" s="2" t="s">
        <v>9826</v>
      </c>
      <c r="N925" s="2" t="s">
        <v>9827</v>
      </c>
      <c r="O925" s="2" t="s">
        <v>9828</v>
      </c>
      <c r="P925" s="2" t="s">
        <v>9829</v>
      </c>
      <c r="Q925" s="2" t="s">
        <v>9830</v>
      </c>
      <c r="R925" s="2" t="s">
        <v>1490</v>
      </c>
      <c r="S925" s="2" t="s">
        <v>3546</v>
      </c>
      <c r="T925" s="2" t="s">
        <v>7355</v>
      </c>
      <c r="U925" s="2" t="s">
        <v>39</v>
      </c>
      <c r="V925" s="2" t="n">
        <v>1</v>
      </c>
    </row>
    <row r="926">
      <c r="A926" s="2" t="n">
        <v>925</v>
      </c>
      <c r="B926" s="2" t="s">
        <v>9831</v>
      </c>
      <c r="C926" s="2" t="n">
        <v>1087.599960754</v>
      </c>
      <c r="D926" s="2" t="n">
        <v>9.38532321708628</v>
      </c>
      <c r="E926" s="2" t="s">
        <v>9832</v>
      </c>
      <c r="F926" s="2" t="s">
        <v>1019</v>
      </c>
      <c r="G926" s="2" t="s">
        <v>9833</v>
      </c>
      <c r="H926" s="2" t="s">
        <v>9834</v>
      </c>
      <c r="I926" s="2" t="s">
        <v>9835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9836</v>
      </c>
      <c r="O926" s="2" t="s">
        <v>29</v>
      </c>
      <c r="P926" s="2" t="s">
        <v>9837</v>
      </c>
      <c r="Q926" s="2" t="s">
        <v>9838</v>
      </c>
      <c r="R926" s="2" t="s">
        <v>1490</v>
      </c>
      <c r="S926" s="2" t="s">
        <v>3546</v>
      </c>
      <c r="T926" s="2" t="s">
        <v>8600</v>
      </c>
      <c r="U926" s="2" t="s">
        <v>29</v>
      </c>
      <c r="V926" s="2" t="n">
        <v>1</v>
      </c>
    </row>
    <row r="927">
      <c r="A927" s="2" t="n">
        <v>926</v>
      </c>
      <c r="B927" s="2" t="s">
        <v>9839</v>
      </c>
      <c r="C927" s="2" t="n">
        <v>1089.307642614</v>
      </c>
      <c r="D927" s="2" t="n">
        <v>2.18761770900125</v>
      </c>
      <c r="E927" s="2" t="s">
        <v>9840</v>
      </c>
      <c r="F927" s="2" t="s">
        <v>1019</v>
      </c>
      <c r="G927" s="2" t="s">
        <v>9841</v>
      </c>
      <c r="H927" s="2" t="s">
        <v>9842</v>
      </c>
      <c r="I927" s="2" t="s">
        <v>9843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9844</v>
      </c>
      <c r="O927" s="2" t="s">
        <v>29</v>
      </c>
      <c r="P927" s="2" t="s">
        <v>9845</v>
      </c>
      <c r="Q927" s="2" t="s">
        <v>9846</v>
      </c>
      <c r="R927" s="2" t="s">
        <v>49</v>
      </c>
      <c r="S927" s="2" t="s">
        <v>165</v>
      </c>
      <c r="T927" s="2" t="s">
        <v>166</v>
      </c>
      <c r="U927" s="2" t="s">
        <v>29</v>
      </c>
      <c r="V927" s="2" t="n">
        <v>1</v>
      </c>
    </row>
    <row r="928">
      <c r="A928" s="2" t="n">
        <v>927</v>
      </c>
      <c r="B928" s="2" t="s">
        <v>9847</v>
      </c>
      <c r="C928" s="2" t="n">
        <v>1095.131484254</v>
      </c>
      <c r="D928" s="2" t="n">
        <v>8.52243739835263</v>
      </c>
      <c r="E928" s="2" t="s">
        <v>9848</v>
      </c>
      <c r="F928" s="2" t="s">
        <v>42</v>
      </c>
      <c r="G928" s="2" t="s">
        <v>9849</v>
      </c>
      <c r="H928" s="2" t="s">
        <v>9850</v>
      </c>
      <c r="I928" s="2" t="s">
        <v>9851</v>
      </c>
      <c r="J928" s="2" t="s">
        <v>9852</v>
      </c>
      <c r="K928" s="2" t="s">
        <v>29</v>
      </c>
      <c r="L928" s="2" t="s">
        <v>29</v>
      </c>
      <c r="M928" s="2" t="s">
        <v>29</v>
      </c>
      <c r="N928" s="2" t="s">
        <v>9853</v>
      </c>
      <c r="O928" s="2" t="s">
        <v>9854</v>
      </c>
      <c r="P928" s="2" t="s">
        <v>9855</v>
      </c>
      <c r="Q928" s="2" t="s">
        <v>9856</v>
      </c>
      <c r="R928" s="2" t="s">
        <v>2509</v>
      </c>
      <c r="S928" s="2" t="s">
        <v>4949</v>
      </c>
      <c r="T928" s="2" t="s">
        <v>9857</v>
      </c>
      <c r="U928" s="2" t="s">
        <v>29</v>
      </c>
      <c r="V928" s="2" t="n">
        <v>1</v>
      </c>
    </row>
    <row r="929">
      <c r="A929" s="2" t="n">
        <v>928</v>
      </c>
      <c r="B929" s="2" t="s">
        <v>9858</v>
      </c>
      <c r="C929" s="2" t="n">
        <v>1097.276153578</v>
      </c>
      <c r="D929" s="2" t="n">
        <v>0.993981858695056</v>
      </c>
      <c r="E929" s="2" t="s">
        <v>9859</v>
      </c>
      <c r="F929" s="2" t="s">
        <v>1019</v>
      </c>
      <c r="G929" s="2" t="s">
        <v>9860</v>
      </c>
      <c r="H929" s="2" t="s">
        <v>9861</v>
      </c>
      <c r="I929" s="2" t="s">
        <v>9862</v>
      </c>
      <c r="J929" s="2" t="s">
        <v>72</v>
      </c>
      <c r="K929" s="2" t="s">
        <v>72</v>
      </c>
      <c r="L929" s="2" t="s">
        <v>72</v>
      </c>
      <c r="M929" s="2" t="s">
        <v>72</v>
      </c>
      <c r="N929" s="2" t="s">
        <v>9863</v>
      </c>
      <c r="O929" s="2" t="s">
        <v>72</v>
      </c>
      <c r="P929" s="2" t="s">
        <v>9864</v>
      </c>
      <c r="Q929" s="2" t="s">
        <v>9865</v>
      </c>
      <c r="R929" s="2" t="s">
        <v>150</v>
      </c>
      <c r="S929" s="2" t="s">
        <v>151</v>
      </c>
      <c r="T929" s="2" t="s">
        <v>288</v>
      </c>
      <c r="U929" s="2" t="s">
        <v>29</v>
      </c>
      <c r="V929" s="2" t="n">
        <v>2</v>
      </c>
    </row>
    <row r="930">
      <c r="A930" s="2" t="n">
        <v>929</v>
      </c>
      <c r="B930" s="2" t="s">
        <v>9866</v>
      </c>
      <c r="C930" s="2" t="n">
        <v>1101.174634694</v>
      </c>
      <c r="D930" s="2" t="n">
        <v>4.59778901695109</v>
      </c>
      <c r="E930" s="2" t="s">
        <v>9867</v>
      </c>
      <c r="F930" s="2" t="s">
        <v>1019</v>
      </c>
      <c r="G930" s="2" t="s">
        <v>9868</v>
      </c>
      <c r="H930" s="2" t="s">
        <v>9869</v>
      </c>
      <c r="I930" s="2" t="s">
        <v>9870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9871</v>
      </c>
      <c r="O930" s="2" t="s">
        <v>29</v>
      </c>
      <c r="P930" s="2" t="s">
        <v>9872</v>
      </c>
      <c r="Q930" s="2" t="s">
        <v>9873</v>
      </c>
      <c r="R930" s="2" t="s">
        <v>2590</v>
      </c>
      <c r="S930" s="2" t="s">
        <v>6120</v>
      </c>
      <c r="T930" s="2" t="s">
        <v>7366</v>
      </c>
      <c r="U930" s="2" t="s">
        <v>29</v>
      </c>
      <c r="V930" s="2" t="n">
        <v>1</v>
      </c>
    </row>
    <row r="931">
      <c r="A931" s="2" t="n">
        <v>930</v>
      </c>
      <c r="B931" s="2" t="s">
        <v>9874</v>
      </c>
      <c r="C931" s="2" t="n">
        <v>1102.293542417</v>
      </c>
      <c r="D931" s="2" t="n">
        <v>2.202825779883</v>
      </c>
      <c r="E931" s="2" t="s">
        <v>9875</v>
      </c>
      <c r="F931" s="2" t="s">
        <v>522</v>
      </c>
      <c r="G931" s="2" t="s">
        <v>9876</v>
      </c>
      <c r="H931" s="2" t="s">
        <v>9877</v>
      </c>
      <c r="I931" s="2" t="s">
        <v>9878</v>
      </c>
      <c r="J931" s="2" t="s">
        <v>29</v>
      </c>
      <c r="K931" s="2" t="s">
        <v>9879</v>
      </c>
      <c r="L931" s="2" t="s">
        <v>29</v>
      </c>
      <c r="M931" s="2" t="s">
        <v>9880</v>
      </c>
      <c r="N931" s="2" t="s">
        <v>9881</v>
      </c>
      <c r="O931" s="2" t="s">
        <v>29</v>
      </c>
      <c r="P931" s="2" t="s">
        <v>9882</v>
      </c>
      <c r="Q931" s="2" t="s">
        <v>9883</v>
      </c>
      <c r="R931" s="2" t="s">
        <v>1490</v>
      </c>
      <c r="S931" s="2" t="s">
        <v>1491</v>
      </c>
      <c r="T931" s="2" t="s">
        <v>9107</v>
      </c>
      <c r="U931" s="2" t="s">
        <v>29</v>
      </c>
      <c r="V931" s="2" t="n">
        <v>1</v>
      </c>
    </row>
    <row r="932">
      <c r="A932" s="2" t="n">
        <v>931</v>
      </c>
      <c r="B932" s="2" t="s">
        <v>9884</v>
      </c>
      <c r="C932" s="2" t="n">
        <v>1107.59566325</v>
      </c>
      <c r="D932" s="2" t="n">
        <v>5.80012327488382</v>
      </c>
      <c r="E932" s="2" t="s">
        <v>9885</v>
      </c>
      <c r="F932" s="2" t="s">
        <v>110</v>
      </c>
      <c r="G932" s="2" t="s">
        <v>9886</v>
      </c>
      <c r="H932" s="2" t="s">
        <v>9887</v>
      </c>
      <c r="I932" s="2" t="s">
        <v>9888</v>
      </c>
      <c r="J932" s="2" t="s">
        <v>9889</v>
      </c>
      <c r="K932" s="2" t="s">
        <v>29</v>
      </c>
      <c r="L932" s="2" t="s">
        <v>29</v>
      </c>
      <c r="M932" s="2" t="s">
        <v>29</v>
      </c>
      <c r="N932" s="2" t="s">
        <v>9890</v>
      </c>
      <c r="O932" s="2" t="s">
        <v>9891</v>
      </c>
      <c r="P932" s="2" t="s">
        <v>9892</v>
      </c>
      <c r="Q932" s="2" t="s">
        <v>9893</v>
      </c>
      <c r="R932" s="2" t="s">
        <v>1490</v>
      </c>
      <c r="S932" s="2" t="s">
        <v>4971</v>
      </c>
      <c r="T932" s="2" t="s">
        <v>7445</v>
      </c>
      <c r="U932" s="2" t="s">
        <v>29</v>
      </c>
      <c r="V932" s="2" t="n">
        <v>1</v>
      </c>
    </row>
    <row r="933">
      <c r="A933" s="2" t="n">
        <v>932</v>
      </c>
      <c r="B933" s="2" t="s">
        <v>9894</v>
      </c>
      <c r="C933" s="2" t="n">
        <v>1111.559552493</v>
      </c>
      <c r="D933" s="2" t="n">
        <v>7.01366954307899</v>
      </c>
      <c r="E933" s="2" t="s">
        <v>9895</v>
      </c>
      <c r="F933" s="2" t="s">
        <v>110</v>
      </c>
      <c r="G933" s="2" t="s">
        <v>9896</v>
      </c>
      <c r="H933" s="2" t="s">
        <v>9897</v>
      </c>
      <c r="I933" s="2" t="s">
        <v>9898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9899</v>
      </c>
      <c r="O933" s="2" t="s">
        <v>29</v>
      </c>
      <c r="P933" s="2" t="s">
        <v>9900</v>
      </c>
      <c r="Q933" s="2" t="s">
        <v>9901</v>
      </c>
      <c r="R933" s="2" t="s">
        <v>64</v>
      </c>
      <c r="S933" s="2" t="s">
        <v>65</v>
      </c>
      <c r="T933" s="2" t="s">
        <v>66</v>
      </c>
      <c r="U933" s="2" t="s">
        <v>29</v>
      </c>
      <c r="V933" s="2" t="n">
        <v>1</v>
      </c>
    </row>
    <row r="934">
      <c r="A934" s="2" t="n">
        <v>933</v>
      </c>
      <c r="B934" s="2" t="s">
        <v>9902</v>
      </c>
      <c r="C934" s="2" t="n">
        <v>1117.136070986</v>
      </c>
      <c r="D934" s="2" t="n">
        <v>4.83809863855486</v>
      </c>
      <c r="E934" s="2" t="s">
        <v>9903</v>
      </c>
      <c r="F934" s="2" t="s">
        <v>1019</v>
      </c>
      <c r="G934" s="2" t="s">
        <v>9904</v>
      </c>
      <c r="H934" s="2" t="s">
        <v>9905</v>
      </c>
      <c r="I934" s="2" t="s">
        <v>9906</v>
      </c>
      <c r="J934" s="2" t="s">
        <v>9907</v>
      </c>
      <c r="K934" s="2" t="s">
        <v>72</v>
      </c>
      <c r="L934" s="2" t="s">
        <v>9908</v>
      </c>
      <c r="M934" s="2" t="s">
        <v>9909</v>
      </c>
      <c r="N934" s="2" t="s">
        <v>9910</v>
      </c>
      <c r="O934" s="2" t="s">
        <v>9911</v>
      </c>
      <c r="P934" s="2" t="s">
        <v>9912</v>
      </c>
      <c r="Q934" s="2" t="s">
        <v>9913</v>
      </c>
      <c r="R934" s="2" t="s">
        <v>4405</v>
      </c>
      <c r="S934" s="2" t="s">
        <v>4406</v>
      </c>
      <c r="T934" s="2" t="s">
        <v>9914</v>
      </c>
      <c r="U934" s="2" t="s">
        <v>39</v>
      </c>
      <c r="V934" s="2" t="n">
        <v>2</v>
      </c>
    </row>
    <row r="935">
      <c r="A935" s="2" t="n">
        <v>934</v>
      </c>
      <c r="B935" s="2" t="s">
        <v>9915</v>
      </c>
      <c r="C935" s="2" t="n">
        <v>1125.575202557</v>
      </c>
      <c r="D935" s="2" t="n">
        <v>1.23882584891193</v>
      </c>
      <c r="E935" s="2" t="s">
        <v>9916</v>
      </c>
      <c r="F935" s="2" t="s">
        <v>110</v>
      </c>
      <c r="G935" s="2" t="s">
        <v>9917</v>
      </c>
      <c r="H935" s="2" t="s">
        <v>9918</v>
      </c>
      <c r="I935" s="2" t="s">
        <v>9919</v>
      </c>
      <c r="J935" s="2" t="s">
        <v>72</v>
      </c>
      <c r="K935" s="2" t="s">
        <v>72</v>
      </c>
      <c r="L935" s="2" t="s">
        <v>72</v>
      </c>
      <c r="M935" s="2" t="s">
        <v>72</v>
      </c>
      <c r="N935" s="2" t="s">
        <v>72</v>
      </c>
      <c r="O935" s="2" t="s">
        <v>72</v>
      </c>
      <c r="P935" s="2" t="s">
        <v>9920</v>
      </c>
      <c r="Q935" s="2" t="s">
        <v>9921</v>
      </c>
      <c r="R935" s="2" t="s">
        <v>150</v>
      </c>
      <c r="S935" s="2" t="s">
        <v>151</v>
      </c>
      <c r="T935" s="2" t="s">
        <v>288</v>
      </c>
      <c r="U935" s="2" t="s">
        <v>29</v>
      </c>
      <c r="V935" s="2" t="n">
        <v>2</v>
      </c>
    </row>
    <row r="936">
      <c r="A936" s="2" t="n">
        <v>935</v>
      </c>
      <c r="B936" s="2" t="s">
        <v>9922</v>
      </c>
      <c r="C936" s="2" t="n">
        <v>1130.600682129</v>
      </c>
      <c r="D936" s="2" t="n">
        <v>5.90820954555631</v>
      </c>
      <c r="E936" s="2" t="s">
        <v>9923</v>
      </c>
      <c r="F936" s="2" t="s">
        <v>360</v>
      </c>
      <c r="G936" s="2" t="s">
        <v>9924</v>
      </c>
      <c r="H936" s="2" t="s">
        <v>9925</v>
      </c>
      <c r="I936" s="2" t="s">
        <v>9926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9927</v>
      </c>
      <c r="O936" s="2" t="s">
        <v>29</v>
      </c>
      <c r="P936" s="2" t="s">
        <v>9928</v>
      </c>
      <c r="Q936" s="2" t="s">
        <v>9929</v>
      </c>
      <c r="R936" s="2" t="s">
        <v>49</v>
      </c>
      <c r="S936" s="2" t="s">
        <v>6532</v>
      </c>
      <c r="T936" s="2" t="s">
        <v>7502</v>
      </c>
      <c r="U936" s="2" t="s">
        <v>29</v>
      </c>
      <c r="V936" s="2" t="n">
        <v>1</v>
      </c>
    </row>
    <row r="937">
      <c r="A937" s="2" t="n">
        <v>936</v>
      </c>
      <c r="B937" s="2" t="s">
        <v>9930</v>
      </c>
      <c r="C937" s="2" t="n">
        <v>1132.304043633</v>
      </c>
      <c r="D937" s="2" t="n">
        <v>4.05369924687502</v>
      </c>
      <c r="E937" s="2" t="s">
        <v>9931</v>
      </c>
      <c r="F937" s="2" t="s">
        <v>250</v>
      </c>
      <c r="G937" s="2" t="s">
        <v>9932</v>
      </c>
      <c r="H937" s="2" t="s">
        <v>9933</v>
      </c>
      <c r="I937" s="2" t="s">
        <v>9934</v>
      </c>
      <c r="J937" s="2" t="s">
        <v>226</v>
      </c>
      <c r="K937" s="2" t="s">
        <v>226</v>
      </c>
      <c r="L937" s="2" t="s">
        <v>226</v>
      </c>
      <c r="M937" s="2" t="s">
        <v>226</v>
      </c>
      <c r="N937" s="2" t="s">
        <v>9935</v>
      </c>
      <c r="O937" s="2" t="s">
        <v>226</v>
      </c>
      <c r="P937" s="2" t="s">
        <v>9936</v>
      </c>
      <c r="Q937" s="2" t="s">
        <v>9937</v>
      </c>
      <c r="R937" s="2" t="s">
        <v>105</v>
      </c>
      <c r="S937" s="2" t="s">
        <v>106</v>
      </c>
      <c r="T937" s="2" t="s">
        <v>9170</v>
      </c>
      <c r="U937" s="2" t="s">
        <v>29</v>
      </c>
      <c r="V937" s="2" t="n">
        <v>3</v>
      </c>
    </row>
    <row r="938">
      <c r="A938" s="2" t="n">
        <v>937</v>
      </c>
      <c r="B938" s="2" t="s">
        <v>9938</v>
      </c>
      <c r="C938" s="2" t="n">
        <v>1138.109201486</v>
      </c>
      <c r="D938" s="2" t="n">
        <v>1.43012789319683</v>
      </c>
      <c r="E938" s="2" t="s">
        <v>9939</v>
      </c>
      <c r="F938" s="2" t="s">
        <v>42</v>
      </c>
      <c r="G938" s="2" t="s">
        <v>9940</v>
      </c>
      <c r="H938" s="2" t="s">
        <v>9941</v>
      </c>
      <c r="I938" s="2" t="s">
        <v>9942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9943</v>
      </c>
      <c r="O938" s="2" t="s">
        <v>29</v>
      </c>
      <c r="P938" s="2" t="s">
        <v>9944</v>
      </c>
      <c r="Q938" s="2" t="s">
        <v>9945</v>
      </c>
      <c r="R938" s="2" t="s">
        <v>1490</v>
      </c>
      <c r="S938" s="2" t="s">
        <v>6728</v>
      </c>
      <c r="T938" s="2" t="s">
        <v>6754</v>
      </c>
      <c r="U938" s="2" t="s">
        <v>29</v>
      </c>
      <c r="V938" s="2" t="n">
        <v>1</v>
      </c>
    </row>
    <row r="939">
      <c r="A939" s="2" t="n">
        <v>938</v>
      </c>
      <c r="B939" s="2" t="s">
        <v>9946</v>
      </c>
      <c r="C939" s="2" t="n">
        <v>1141.198616042</v>
      </c>
      <c r="D939" s="2" t="n">
        <v>7.30148293604774</v>
      </c>
      <c r="E939" s="2" t="s">
        <v>9947</v>
      </c>
      <c r="F939" s="2" t="s">
        <v>1019</v>
      </c>
      <c r="G939" s="2" t="s">
        <v>9948</v>
      </c>
      <c r="H939" s="2" t="s">
        <v>9949</v>
      </c>
      <c r="I939" s="2" t="s">
        <v>9950</v>
      </c>
      <c r="J939" s="2" t="s">
        <v>9951</v>
      </c>
      <c r="K939" s="2" t="s">
        <v>29</v>
      </c>
      <c r="L939" s="2" t="s">
        <v>29</v>
      </c>
      <c r="M939" s="2" t="s">
        <v>29</v>
      </c>
      <c r="N939" s="2" t="s">
        <v>9952</v>
      </c>
      <c r="O939" s="2" t="s">
        <v>9953</v>
      </c>
      <c r="P939" s="2" t="s">
        <v>9954</v>
      </c>
      <c r="Q939" s="2" t="s">
        <v>9955</v>
      </c>
      <c r="R939" s="2" t="s">
        <v>64</v>
      </c>
      <c r="S939" s="2" t="s">
        <v>65</v>
      </c>
      <c r="T939" s="2" t="s">
        <v>66</v>
      </c>
      <c r="U939" s="2" t="s">
        <v>29</v>
      </c>
      <c r="V939" s="2" t="n">
        <v>1</v>
      </c>
    </row>
    <row r="940">
      <c r="A940" s="2" t="n">
        <v>939</v>
      </c>
      <c r="B940" s="2" t="s">
        <v>9956</v>
      </c>
      <c r="C940" s="2" t="n">
        <v>1147.460101908</v>
      </c>
      <c r="D940" s="2" t="n">
        <v>9.32508561293198</v>
      </c>
      <c r="E940" s="2" t="s">
        <v>9957</v>
      </c>
      <c r="F940" s="2" t="s">
        <v>522</v>
      </c>
      <c r="G940" s="2" t="s">
        <v>9958</v>
      </c>
      <c r="H940" s="2" t="s">
        <v>9959</v>
      </c>
      <c r="I940" s="2" t="s">
        <v>9960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9961</v>
      </c>
      <c r="O940" s="2" t="s">
        <v>29</v>
      </c>
      <c r="P940" s="2" t="s">
        <v>9962</v>
      </c>
      <c r="Q940" s="2" t="s">
        <v>9963</v>
      </c>
      <c r="R940" s="2" t="s">
        <v>355</v>
      </c>
      <c r="S940" s="2" t="s">
        <v>1580</v>
      </c>
      <c r="T940" s="2" t="s">
        <v>4820</v>
      </c>
      <c r="U940" s="2" t="s">
        <v>29</v>
      </c>
      <c r="V940" s="2" t="n">
        <v>1</v>
      </c>
    </row>
    <row r="941">
      <c r="A941" s="2" t="n">
        <v>940</v>
      </c>
      <c r="B941" s="2" t="s">
        <v>9964</v>
      </c>
      <c r="C941" s="2" t="n">
        <v>1151.617840384</v>
      </c>
      <c r="D941" s="2" t="n">
        <v>4.56980148086684</v>
      </c>
      <c r="E941" s="2" t="s">
        <v>9965</v>
      </c>
      <c r="F941" s="2" t="s">
        <v>24</v>
      </c>
      <c r="G941" s="2" t="s">
        <v>9966</v>
      </c>
      <c r="H941" s="2" t="s">
        <v>9967</v>
      </c>
      <c r="I941" s="2" t="s">
        <v>9968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9969</v>
      </c>
      <c r="O941" s="2" t="s">
        <v>29</v>
      </c>
      <c r="P941" s="2" t="s">
        <v>9970</v>
      </c>
      <c r="Q941" s="2" t="s">
        <v>9971</v>
      </c>
      <c r="R941" s="2" t="s">
        <v>49</v>
      </c>
      <c r="S941" s="2" t="s">
        <v>165</v>
      </c>
      <c r="T941" s="2" t="s">
        <v>166</v>
      </c>
      <c r="U941" s="2" t="s">
        <v>29</v>
      </c>
      <c r="V941" s="2" t="n">
        <v>1</v>
      </c>
    </row>
    <row r="942">
      <c r="A942" s="2" t="n">
        <v>941</v>
      </c>
      <c r="B942" s="2" t="s">
        <v>9972</v>
      </c>
      <c r="C942" s="2" t="n">
        <v>1173.228219464</v>
      </c>
      <c r="D942" s="2" t="n">
        <v>2.55268018738179</v>
      </c>
      <c r="E942" s="2" t="s">
        <v>9973</v>
      </c>
      <c r="F942" s="2" t="s">
        <v>360</v>
      </c>
      <c r="G942" s="2" t="s">
        <v>9974</v>
      </c>
      <c r="H942" s="2" t="s">
        <v>9975</v>
      </c>
      <c r="I942" s="2" t="s">
        <v>9976</v>
      </c>
      <c r="J942" s="2" t="s">
        <v>9977</v>
      </c>
      <c r="K942" s="2" t="s">
        <v>72</v>
      </c>
      <c r="L942" s="2" t="s">
        <v>9978</v>
      </c>
      <c r="M942" s="2" t="s">
        <v>9979</v>
      </c>
      <c r="N942" s="2" t="s">
        <v>9980</v>
      </c>
      <c r="O942" s="2" t="s">
        <v>9981</v>
      </c>
      <c r="P942" s="2" t="s">
        <v>9982</v>
      </c>
      <c r="Q942" s="2" t="s">
        <v>9983</v>
      </c>
      <c r="R942" s="2" t="s">
        <v>3167</v>
      </c>
      <c r="S942" s="2" t="s">
        <v>4213</v>
      </c>
      <c r="T942" s="2" t="s">
        <v>9984</v>
      </c>
      <c r="U942" s="2" t="s">
        <v>39</v>
      </c>
      <c r="V942" s="2" t="n">
        <v>2</v>
      </c>
    </row>
    <row r="943">
      <c r="A943" s="2" t="n">
        <v>942</v>
      </c>
      <c r="B943" s="2" t="s">
        <v>9985</v>
      </c>
      <c r="C943" s="2" t="n">
        <v>1173.626009338</v>
      </c>
      <c r="D943" s="2" t="n">
        <v>2.39933417863217</v>
      </c>
      <c r="E943" s="2" t="s">
        <v>9986</v>
      </c>
      <c r="F943" s="2" t="s">
        <v>1019</v>
      </c>
      <c r="G943" s="2" t="s">
        <v>9987</v>
      </c>
      <c r="H943" s="2" t="s">
        <v>9988</v>
      </c>
      <c r="I943" s="2" t="s">
        <v>9989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9990</v>
      </c>
      <c r="O943" s="2" t="s">
        <v>29</v>
      </c>
      <c r="P943" s="2" t="s">
        <v>9991</v>
      </c>
      <c r="Q943" s="2" t="s">
        <v>9992</v>
      </c>
      <c r="R943" s="2" t="s">
        <v>49</v>
      </c>
      <c r="S943" s="2" t="s">
        <v>6532</v>
      </c>
      <c r="T943" s="2" t="s">
        <v>6533</v>
      </c>
      <c r="U943" s="2" t="s">
        <v>29</v>
      </c>
      <c r="V943" s="2" t="n">
        <v>1</v>
      </c>
    </row>
    <row r="944">
      <c r="A944" s="2" t="n">
        <v>943</v>
      </c>
      <c r="B944" s="2" t="s">
        <v>9993</v>
      </c>
      <c r="C944" s="2" t="n">
        <v>1174.641324293</v>
      </c>
      <c r="D944" s="2" t="n">
        <v>2.53311168944145</v>
      </c>
      <c r="E944" s="2" t="s">
        <v>9994</v>
      </c>
      <c r="F944" s="2" t="s">
        <v>42</v>
      </c>
      <c r="G944" s="2" t="s">
        <v>9995</v>
      </c>
      <c r="H944" s="2" t="s">
        <v>9996</v>
      </c>
      <c r="I944" s="2" t="s">
        <v>9997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9998</v>
      </c>
      <c r="Q944" s="2" t="s">
        <v>9999</v>
      </c>
      <c r="R944" s="2" t="s">
        <v>49</v>
      </c>
      <c r="S944" s="2" t="s">
        <v>165</v>
      </c>
      <c r="T944" s="2" t="s">
        <v>166</v>
      </c>
      <c r="U944" s="2" t="s">
        <v>29</v>
      </c>
      <c r="V944" s="2" t="n">
        <v>1</v>
      </c>
    </row>
    <row r="945">
      <c r="A945" s="2" t="n">
        <v>944</v>
      </c>
      <c r="B945" s="2" t="s">
        <v>10000</v>
      </c>
      <c r="C945" s="2" t="n">
        <v>1175.600187756</v>
      </c>
      <c r="D945" s="2" t="n">
        <v>9.79736424027293</v>
      </c>
      <c r="E945" s="2" t="s">
        <v>10001</v>
      </c>
      <c r="F945" s="2" t="s">
        <v>42</v>
      </c>
      <c r="G945" s="2" t="s">
        <v>10002</v>
      </c>
      <c r="H945" s="2" t="s">
        <v>10003</v>
      </c>
      <c r="I945" s="2" t="s">
        <v>10004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10005</v>
      </c>
      <c r="O945" s="2" t="s">
        <v>29</v>
      </c>
      <c r="P945" s="2" t="s">
        <v>10006</v>
      </c>
      <c r="Q945" s="2" t="s">
        <v>10007</v>
      </c>
      <c r="R945" s="2" t="s">
        <v>49</v>
      </c>
      <c r="S945" s="2" t="s">
        <v>165</v>
      </c>
      <c r="T945" s="2" t="s">
        <v>166</v>
      </c>
      <c r="U945" s="2" t="s">
        <v>29</v>
      </c>
      <c r="V945" s="2" t="n">
        <v>1</v>
      </c>
    </row>
    <row r="946">
      <c r="A946" s="2" t="n">
        <v>945</v>
      </c>
      <c r="B946" s="2" t="s">
        <v>10008</v>
      </c>
      <c r="C946" s="2" t="n">
        <v>1184.151616614</v>
      </c>
      <c r="D946" s="2" t="n">
        <v>5.2547165137564</v>
      </c>
      <c r="E946" s="2" t="s">
        <v>10009</v>
      </c>
      <c r="F946" s="2" t="s">
        <v>110</v>
      </c>
      <c r="G946" s="2" t="s">
        <v>10010</v>
      </c>
      <c r="H946" s="2" t="s">
        <v>10011</v>
      </c>
      <c r="I946" s="2" t="s">
        <v>10012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10013</v>
      </c>
      <c r="O946" s="2" t="s">
        <v>29</v>
      </c>
      <c r="P946" s="2" t="s">
        <v>10014</v>
      </c>
      <c r="Q946" s="2" t="s">
        <v>10015</v>
      </c>
      <c r="R946" s="2" t="s">
        <v>1490</v>
      </c>
      <c r="S946" s="2" t="s">
        <v>6728</v>
      </c>
      <c r="T946" s="2" t="s">
        <v>6754</v>
      </c>
      <c r="U946" s="2" t="s">
        <v>29</v>
      </c>
      <c r="V946" s="2" t="n">
        <v>1</v>
      </c>
    </row>
    <row r="947">
      <c r="A947" s="2" t="n">
        <v>946</v>
      </c>
      <c r="B947" s="2" t="s">
        <v>10016</v>
      </c>
      <c r="C947" s="2" t="n">
        <v>1191.105653872</v>
      </c>
      <c r="D947" s="2" t="n">
        <v>0.399976707404685</v>
      </c>
      <c r="E947" s="2" t="s">
        <v>10017</v>
      </c>
      <c r="F947" s="2" t="s">
        <v>1019</v>
      </c>
      <c r="G947" s="2" t="s">
        <v>10018</v>
      </c>
      <c r="H947" s="2" t="s">
        <v>10019</v>
      </c>
      <c r="I947" s="2" t="s">
        <v>10020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10021</v>
      </c>
      <c r="O947" s="2" t="s">
        <v>29</v>
      </c>
      <c r="P947" s="2" t="s">
        <v>10022</v>
      </c>
      <c r="Q947" s="2" t="s">
        <v>10023</v>
      </c>
      <c r="R947" s="2" t="s">
        <v>2509</v>
      </c>
      <c r="S947" s="2" t="s">
        <v>4528</v>
      </c>
      <c r="T947" s="2" t="s">
        <v>10024</v>
      </c>
      <c r="U947" s="2" t="s">
        <v>29</v>
      </c>
      <c r="V94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8" max="8" width="45.71" hidden="0" customWidth="1"/>
  </cols>
  <sheetData>
    <row r="1">
      <c r="A1" s="1" t="s">
        <v>0</v>
      </c>
      <c r="B1" s="1" t="s">
        <v>10025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10026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</v>
      </c>
      <c r="V1" s="1" t="s">
        <v>5</v>
      </c>
      <c r="W1" s="1" t="s">
        <v>20</v>
      </c>
    </row>
    <row r="2">
      <c r="A2" s="2" t="n">
        <v>1</v>
      </c>
      <c r="B2" s="2" t="s">
        <v>10027</v>
      </c>
      <c r="C2" s="2" t="s">
        <v>22</v>
      </c>
      <c r="D2" s="2" t="n">
        <v>72.009098037</v>
      </c>
      <c r="E2" s="2" t="n">
        <v>4.31820559487298</v>
      </c>
      <c r="F2" s="2" t="s">
        <v>25</v>
      </c>
      <c r="G2" s="2" t="n">
        <v>82217</v>
      </c>
      <c r="H2" s="3" t="str">
        <f>HYPERLINK("http://funmeta.oebiotech.com/network/82217", "http://funmeta.oebiotech.com/network/82217")</f>
      </c>
      <c r="I2" s="2" t="s">
        <v>27</v>
      </c>
      <c r="J2" s="2" t="s">
        <v>28</v>
      </c>
      <c r="K2" s="2"/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23</v>
      </c>
      <c r="V2" s="2" t="s">
        <v>24</v>
      </c>
      <c r="W2" s="2" t="s">
        <v>39</v>
      </c>
    </row>
    <row r="3">
      <c r="A3" s="2" t="n">
        <v>2</v>
      </c>
      <c r="B3" s="2" t="s">
        <v>10028</v>
      </c>
      <c r="C3" s="2" t="s">
        <v>40</v>
      </c>
      <c r="D3" s="2" t="n">
        <v>72.992567609</v>
      </c>
      <c r="E3" s="2" t="n">
        <v>10.7770658343497</v>
      </c>
      <c r="F3" s="2" t="s">
        <v>43</v>
      </c>
      <c r="G3" s="2" t="n">
        <v>200894</v>
      </c>
      <c r="H3" s="3" t="str">
        <f>HYPERLINK("http://funmeta.oebiotech.com/network/200894", "http://funmeta.oebiotech.com/network/200894")</f>
      </c>
      <c r="I3" s="2" t="s">
        <v>45</v>
      </c>
      <c r="J3" s="2"/>
      <c r="K3" s="2"/>
      <c r="L3" s="2"/>
      <c r="M3" s="2"/>
      <c r="N3" s="2" t="s">
        <v>46</v>
      </c>
      <c r="O3" s="2"/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41</v>
      </c>
      <c r="V3" s="2" t="s">
        <v>42</v>
      </c>
      <c r="W3" s="2"/>
    </row>
    <row r="4">
      <c r="A4" s="2" t="n">
        <v>3</v>
      </c>
      <c r="B4" s="2" t="s">
        <v>10029</v>
      </c>
      <c r="C4" s="2" t="s">
        <v>52</v>
      </c>
      <c r="D4" s="2" t="n">
        <v>73.028953122</v>
      </c>
      <c r="E4" s="2" t="n">
        <v>4.49125840393064</v>
      </c>
      <c r="F4" s="2" t="s">
        <v>54</v>
      </c>
      <c r="G4" s="2" t="n">
        <v>46888</v>
      </c>
      <c r="H4" s="3" t="str">
        <f>HYPERLINK("http://funmeta.oebiotech.com/network/46888", "http://funmeta.oebiotech.com/network/46888")</f>
      </c>
      <c r="I4" s="2" t="s">
        <v>56</v>
      </c>
      <c r="J4" s="2" t="s">
        <v>57</v>
      </c>
      <c r="K4" s="2"/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53</v>
      </c>
      <c r="V4" s="2" t="s">
        <v>42</v>
      </c>
      <c r="W4" s="2" t="s">
        <v>39</v>
      </c>
    </row>
    <row r="5">
      <c r="A5" s="2" t="n">
        <v>4</v>
      </c>
      <c r="B5" s="2" t="s">
        <v>10030</v>
      </c>
      <c r="C5" s="2" t="s">
        <v>67</v>
      </c>
      <c r="D5" s="2" t="n">
        <v>74.024202089</v>
      </c>
      <c r="E5" s="2" t="n">
        <v>5.96080824074111</v>
      </c>
      <c r="F5" s="2" t="s">
        <v>10031</v>
      </c>
      <c r="G5" s="2" t="n">
        <v>202582</v>
      </c>
      <c r="H5" s="3" t="str">
        <f>HYPERLINK("http://funmeta.oebiotech.com/network/202582", "http://funmeta.oebiotech.com/network/202582")</f>
      </c>
      <c r="I5" s="2" t="s">
        <v>10032</v>
      </c>
      <c r="J5" s="2"/>
      <c r="K5" s="2"/>
      <c r="L5" s="2"/>
      <c r="M5" s="2"/>
      <c r="N5" s="2" t="s">
        <v>10033</v>
      </c>
      <c r="O5" s="2"/>
      <c r="P5" s="2" t="s">
        <v>10034</v>
      </c>
      <c r="Q5" s="2" t="s">
        <v>10035</v>
      </c>
      <c r="R5" s="2" t="s">
        <v>49</v>
      </c>
      <c r="S5" s="2" t="s">
        <v>10036</v>
      </c>
      <c r="T5" s="2" t="s">
        <v>205</v>
      </c>
      <c r="U5" s="2" t="s">
        <v>68</v>
      </c>
      <c r="V5" s="2" t="s">
        <v>42</v>
      </c>
      <c r="W5" s="2"/>
    </row>
    <row r="6">
      <c r="A6" s="2" t="n">
        <v>4</v>
      </c>
      <c r="B6" s="2" t="s">
        <v>10037</v>
      </c>
      <c r="C6" s="2" t="s">
        <v>67</v>
      </c>
      <c r="D6" s="2" t="n">
        <v>74.024202089</v>
      </c>
      <c r="E6" s="2" t="n">
        <v>5.96080824074111</v>
      </c>
      <c r="F6" s="2" t="s">
        <v>10038</v>
      </c>
      <c r="G6" s="2" t="n">
        <v>212543</v>
      </c>
      <c r="H6" s="3" t="str">
        <f>HYPERLINK("http://funmeta.oebiotech.com/network/212543", "http://funmeta.oebiotech.com/network/212543")</f>
      </c>
      <c r="I6" s="2" t="s">
        <v>10039</v>
      </c>
      <c r="J6" s="2"/>
      <c r="K6" s="2"/>
      <c r="L6" s="2"/>
      <c r="M6" s="2"/>
      <c r="N6" s="2"/>
      <c r="O6" s="2"/>
      <c r="P6" s="2" t="s">
        <v>10040</v>
      </c>
      <c r="Q6" s="2" t="s">
        <v>10041</v>
      </c>
      <c r="R6" s="2" t="s">
        <v>64</v>
      </c>
      <c r="S6" s="2" t="s">
        <v>65</v>
      </c>
      <c r="T6" s="2" t="s">
        <v>10042</v>
      </c>
      <c r="U6" s="2" t="s">
        <v>68</v>
      </c>
      <c r="V6" s="2" t="s">
        <v>42</v>
      </c>
      <c r="W6" s="2"/>
    </row>
    <row r="7">
      <c r="A7" s="2" t="n">
        <v>5</v>
      </c>
      <c r="B7" s="2" t="s">
        <v>10043</v>
      </c>
      <c r="C7" s="2" t="s">
        <v>79</v>
      </c>
      <c r="D7" s="2" t="n">
        <v>75.008763686</v>
      </c>
      <c r="E7" s="2" t="n">
        <v>4.27304890238149</v>
      </c>
      <c r="F7" s="2" t="s">
        <v>81</v>
      </c>
      <c r="G7" s="2" t="n">
        <v>47579</v>
      </c>
      <c r="H7" s="3" t="str">
        <f>HYPERLINK("http://funmeta.oebiotech.com/network/47579", "http://funmeta.oebiotech.com/network/47579")</f>
      </c>
      <c r="I7" s="2" t="s">
        <v>83</v>
      </c>
      <c r="J7" s="2" t="s">
        <v>84</v>
      </c>
      <c r="K7" s="2"/>
      <c r="L7" s="2" t="s">
        <v>85</v>
      </c>
      <c r="M7" s="2" t="s">
        <v>86</v>
      </c>
      <c r="N7" s="2" t="s">
        <v>87</v>
      </c>
      <c r="O7" s="2" t="s">
        <v>88</v>
      </c>
      <c r="P7" s="2" t="s">
        <v>89</v>
      </c>
      <c r="Q7" s="2" t="s">
        <v>90</v>
      </c>
      <c r="R7" s="2" t="s">
        <v>64</v>
      </c>
      <c r="S7" s="2" t="s">
        <v>65</v>
      </c>
      <c r="T7" s="2" t="s">
        <v>91</v>
      </c>
      <c r="U7" s="2" t="s">
        <v>80</v>
      </c>
      <c r="V7" s="2" t="s">
        <v>24</v>
      </c>
      <c r="W7" s="2" t="s">
        <v>39</v>
      </c>
    </row>
    <row r="8">
      <c r="A8" s="2" t="n">
        <v>6</v>
      </c>
      <c r="B8" s="2" t="s">
        <v>10044</v>
      </c>
      <c r="C8" s="2" t="s">
        <v>92</v>
      </c>
      <c r="D8" s="2" t="n">
        <v>83.049688564</v>
      </c>
      <c r="E8" s="2" t="n">
        <v>4.14511051975868</v>
      </c>
      <c r="F8" s="2" t="s">
        <v>10045</v>
      </c>
      <c r="G8" s="2" t="n">
        <v>271</v>
      </c>
      <c r="H8" s="3" t="str">
        <f>HYPERLINK("http://funmeta.oebiotech.com/network/271", "http://funmeta.oebiotech.com/network/271")</f>
      </c>
      <c r="I8" s="2" t="s">
        <v>10046</v>
      </c>
      <c r="J8" s="2" t="s">
        <v>10047</v>
      </c>
      <c r="K8" s="2" t="s">
        <v>10048</v>
      </c>
      <c r="L8" s="2" t="s">
        <v>10049</v>
      </c>
      <c r="M8" s="2" t="s">
        <v>10050</v>
      </c>
      <c r="N8" s="2" t="s">
        <v>10051</v>
      </c>
      <c r="O8" s="2" t="s">
        <v>10052</v>
      </c>
      <c r="P8" s="2" t="s">
        <v>10053</v>
      </c>
      <c r="Q8" s="2" t="s">
        <v>10054</v>
      </c>
      <c r="R8" s="2" t="s">
        <v>1490</v>
      </c>
      <c r="S8" s="2" t="s">
        <v>1491</v>
      </c>
      <c r="T8" s="2" t="s">
        <v>1492</v>
      </c>
      <c r="U8" s="2" t="s">
        <v>93</v>
      </c>
      <c r="V8" s="2" t="s">
        <v>42</v>
      </c>
      <c r="W8" s="2" t="s">
        <v>39</v>
      </c>
    </row>
    <row r="9">
      <c r="A9" s="2" t="n">
        <v>6</v>
      </c>
      <c r="B9" s="2" t="s">
        <v>10055</v>
      </c>
      <c r="C9" s="2" t="s">
        <v>92</v>
      </c>
      <c r="D9" s="2" t="n">
        <v>83.049688564</v>
      </c>
      <c r="E9" s="2" t="n">
        <v>4.14511051975868</v>
      </c>
      <c r="F9" s="2" t="s">
        <v>10056</v>
      </c>
      <c r="G9" s="2" t="n">
        <v>167</v>
      </c>
      <c r="H9" s="3" t="str">
        <f>HYPERLINK("http://funmeta.oebiotech.com/network/167", "http://funmeta.oebiotech.com/network/167")</f>
      </c>
      <c r="I9" s="2" t="s">
        <v>10057</v>
      </c>
      <c r="J9" s="2" t="s">
        <v>10058</v>
      </c>
      <c r="K9" s="2" t="s">
        <v>10059</v>
      </c>
      <c r="L9" s="2" t="s">
        <v>10060</v>
      </c>
      <c r="M9" s="2" t="s">
        <v>10061</v>
      </c>
      <c r="N9" s="2" t="s">
        <v>10062</v>
      </c>
      <c r="O9" s="2" t="s">
        <v>10063</v>
      </c>
      <c r="P9" s="2" t="s">
        <v>10064</v>
      </c>
      <c r="Q9" s="2" t="s">
        <v>10065</v>
      </c>
      <c r="R9" s="2" t="s">
        <v>1490</v>
      </c>
      <c r="S9" s="2" t="s">
        <v>1491</v>
      </c>
      <c r="T9" s="2" t="s">
        <v>1492</v>
      </c>
      <c r="U9" s="2" t="s">
        <v>93</v>
      </c>
      <c r="V9" s="2" t="s">
        <v>42</v>
      </c>
      <c r="W9" s="2" t="s">
        <v>39</v>
      </c>
    </row>
    <row r="10">
      <c r="A10" s="2" t="n">
        <v>6</v>
      </c>
      <c r="B10" s="2" t="s">
        <v>10066</v>
      </c>
      <c r="C10" s="2" t="s">
        <v>92</v>
      </c>
      <c r="D10" s="2" t="n">
        <v>83.049688564</v>
      </c>
      <c r="E10" s="2" t="n">
        <v>4.14511051975868</v>
      </c>
      <c r="F10" s="2" t="s">
        <v>10067</v>
      </c>
      <c r="G10" s="2" t="n">
        <v>52</v>
      </c>
      <c r="H10" s="3" t="str">
        <f>HYPERLINK("http://funmeta.oebiotech.com/network/52", "http://funmeta.oebiotech.com/network/52")</f>
      </c>
      <c r="I10" s="2" t="s">
        <v>10068</v>
      </c>
      <c r="J10" s="2" t="s">
        <v>10069</v>
      </c>
      <c r="K10" s="2" t="s">
        <v>10070</v>
      </c>
      <c r="L10" s="2" t="s">
        <v>10071</v>
      </c>
      <c r="M10" s="2" t="s">
        <v>10072</v>
      </c>
      <c r="N10" s="2" t="s">
        <v>10073</v>
      </c>
      <c r="O10" s="2" t="s">
        <v>10074</v>
      </c>
      <c r="P10" s="2" t="s">
        <v>10075</v>
      </c>
      <c r="Q10" s="2" t="s">
        <v>10076</v>
      </c>
      <c r="R10" s="2" t="s">
        <v>1490</v>
      </c>
      <c r="S10" s="2" t="s">
        <v>1491</v>
      </c>
      <c r="T10" s="2" t="s">
        <v>1492</v>
      </c>
      <c r="U10" s="2" t="s">
        <v>93</v>
      </c>
      <c r="V10" s="2" t="s">
        <v>42</v>
      </c>
      <c r="W10" s="2" t="s">
        <v>39</v>
      </c>
    </row>
    <row r="11">
      <c r="A11" s="2" t="n">
        <v>7</v>
      </c>
      <c r="B11" s="2" t="s">
        <v>10077</v>
      </c>
      <c r="C11" s="2" t="s">
        <v>108</v>
      </c>
      <c r="D11" s="2" t="n">
        <v>84.045487851</v>
      </c>
      <c r="E11" s="2" t="n">
        <v>13.247572178913</v>
      </c>
      <c r="F11" s="2" t="s">
        <v>10078</v>
      </c>
      <c r="G11" s="2" t="n">
        <v>82326</v>
      </c>
      <c r="H11" s="3" t="str">
        <f>HYPERLINK("http://funmeta.oebiotech.com/network/82326", "http://funmeta.oebiotech.com/network/82326")</f>
      </c>
      <c r="I11" s="2" t="s">
        <v>10079</v>
      </c>
      <c r="J11" s="2" t="s">
        <v>10080</v>
      </c>
      <c r="K11" s="2"/>
      <c r="L11" s="2" t="s">
        <v>10081</v>
      </c>
      <c r="M11" s="2" t="s">
        <v>10082</v>
      </c>
      <c r="N11" s="2" t="s">
        <v>10083</v>
      </c>
      <c r="O11" s="2" t="s">
        <v>10084</v>
      </c>
      <c r="P11" s="2" t="s">
        <v>10085</v>
      </c>
      <c r="Q11" s="2" t="s">
        <v>10086</v>
      </c>
      <c r="R11" s="2" t="s">
        <v>64</v>
      </c>
      <c r="S11" s="2" t="s">
        <v>65</v>
      </c>
      <c r="T11" s="2" t="s">
        <v>2921</v>
      </c>
      <c r="U11" s="2" t="s">
        <v>109</v>
      </c>
      <c r="V11" s="2" t="s">
        <v>110</v>
      </c>
      <c r="W11" s="2" t="s">
        <v>39</v>
      </c>
    </row>
    <row r="12">
      <c r="A12" s="2" t="n">
        <v>7</v>
      </c>
      <c r="B12" s="2" t="s">
        <v>10087</v>
      </c>
      <c r="C12" s="2" t="s">
        <v>108</v>
      </c>
      <c r="D12" s="2" t="n">
        <v>84.045487851</v>
      </c>
      <c r="E12" s="2" t="n">
        <v>13.247572178913</v>
      </c>
      <c r="F12" s="2" t="s">
        <v>10088</v>
      </c>
      <c r="G12" s="2" t="n">
        <v>47775</v>
      </c>
      <c r="H12" s="3" t="str">
        <f>HYPERLINK("http://funmeta.oebiotech.com/network/47775", "http://funmeta.oebiotech.com/network/47775")</f>
      </c>
      <c r="I12" s="2" t="s">
        <v>10089</v>
      </c>
      <c r="J12" s="2" t="s">
        <v>10090</v>
      </c>
      <c r="K12" s="2"/>
      <c r="L12" s="2" t="s">
        <v>10091</v>
      </c>
      <c r="M12" s="2" t="s">
        <v>10092</v>
      </c>
      <c r="N12" s="2" t="s">
        <v>10093</v>
      </c>
      <c r="O12" s="2" t="s">
        <v>10094</v>
      </c>
      <c r="P12" s="2" t="s">
        <v>10095</v>
      </c>
      <c r="Q12" s="2" t="s">
        <v>10096</v>
      </c>
      <c r="R12" s="2" t="s">
        <v>355</v>
      </c>
      <c r="S12" s="2" t="s">
        <v>10097</v>
      </c>
      <c r="T12" s="2" t="s">
        <v>10098</v>
      </c>
      <c r="U12" s="2" t="s">
        <v>109</v>
      </c>
      <c r="V12" s="2" t="s">
        <v>110</v>
      </c>
      <c r="W12" s="2" t="s">
        <v>39</v>
      </c>
    </row>
    <row r="13">
      <c r="A13" s="2" t="n">
        <v>8</v>
      </c>
      <c r="B13" s="2" t="s">
        <v>10099</v>
      </c>
      <c r="C13" s="2" t="s">
        <v>124</v>
      </c>
      <c r="D13" s="2" t="n">
        <v>85.029503436</v>
      </c>
      <c r="E13" s="2" t="n">
        <v>2.87567655450446</v>
      </c>
      <c r="F13" s="2" t="s">
        <v>10100</v>
      </c>
      <c r="G13" s="2" t="n">
        <v>692</v>
      </c>
      <c r="H13" s="3" t="str">
        <f>HYPERLINK("http://funmeta.oebiotech.com/network/692", "http://funmeta.oebiotech.com/network/692")</f>
      </c>
      <c r="I13" s="2" t="s">
        <v>10101</v>
      </c>
      <c r="J13" s="2" t="s">
        <v>10102</v>
      </c>
      <c r="K13" s="2" t="s">
        <v>10103</v>
      </c>
      <c r="L13" s="2" t="s">
        <v>10104</v>
      </c>
      <c r="M13" s="2" t="s">
        <v>10105</v>
      </c>
      <c r="N13" s="2" t="s">
        <v>10106</v>
      </c>
      <c r="O13" s="2" t="s">
        <v>10107</v>
      </c>
      <c r="P13" s="2" t="s">
        <v>10108</v>
      </c>
      <c r="Q13" s="2" t="s">
        <v>10109</v>
      </c>
      <c r="R13" s="2" t="s">
        <v>1490</v>
      </c>
      <c r="S13" s="2" t="s">
        <v>1491</v>
      </c>
      <c r="T13" s="2" t="s">
        <v>1492</v>
      </c>
      <c r="U13" s="2" t="s">
        <v>125</v>
      </c>
      <c r="V13" s="2" t="s">
        <v>110</v>
      </c>
      <c r="W13" s="2" t="s">
        <v>39</v>
      </c>
    </row>
    <row r="14">
      <c r="A14" s="2" t="n">
        <v>8</v>
      </c>
      <c r="B14" s="2" t="s">
        <v>10110</v>
      </c>
      <c r="C14" s="2" t="s">
        <v>124</v>
      </c>
      <c r="D14" s="2" t="n">
        <v>85.029503436</v>
      </c>
      <c r="E14" s="2" t="n">
        <v>2.87567655450446</v>
      </c>
      <c r="F14" s="2" t="s">
        <v>10111</v>
      </c>
      <c r="G14" s="2" t="n">
        <v>7745</v>
      </c>
      <c r="H14" s="3" t="str">
        <f>HYPERLINK("http://funmeta.oebiotech.com/network/7745", "http://funmeta.oebiotech.com/network/7745")</f>
      </c>
      <c r="I14" s="2" t="s">
        <v>10112</v>
      </c>
      <c r="J14" s="2" t="s">
        <v>10113</v>
      </c>
      <c r="K14" s="2" t="s">
        <v>10114</v>
      </c>
      <c r="L14" s="2" t="s">
        <v>10115</v>
      </c>
      <c r="M14" s="2" t="s">
        <v>10116</v>
      </c>
      <c r="N14" s="2" t="s">
        <v>10117</v>
      </c>
      <c r="O14" s="2" t="s">
        <v>10118</v>
      </c>
      <c r="P14" s="2" t="s">
        <v>10119</v>
      </c>
      <c r="Q14" s="2" t="s">
        <v>10120</v>
      </c>
      <c r="R14" s="2" t="s">
        <v>355</v>
      </c>
      <c r="S14" s="2" t="s">
        <v>1914</v>
      </c>
      <c r="T14" s="2" t="s">
        <v>1915</v>
      </c>
      <c r="U14" s="2" t="s">
        <v>125</v>
      </c>
      <c r="V14" s="2" t="s">
        <v>110</v>
      </c>
      <c r="W14" s="2" t="s">
        <v>39</v>
      </c>
    </row>
    <row r="15">
      <c r="A15" s="2" t="n">
        <v>8</v>
      </c>
      <c r="B15" s="2" t="s">
        <v>10121</v>
      </c>
      <c r="C15" s="2" t="s">
        <v>124</v>
      </c>
      <c r="D15" s="2" t="n">
        <v>85.029503436</v>
      </c>
      <c r="E15" s="2" t="n">
        <v>2.87567655450446</v>
      </c>
      <c r="F15" s="2" t="s">
        <v>10122</v>
      </c>
      <c r="G15" s="2" t="n">
        <v>9838</v>
      </c>
      <c r="H15" s="3" t="str">
        <f>HYPERLINK("http://funmeta.oebiotech.com/network/9838", "http://funmeta.oebiotech.com/network/9838")</f>
      </c>
      <c r="I15" s="2" t="s">
        <v>10123</v>
      </c>
      <c r="J15" s="2" t="s">
        <v>10124</v>
      </c>
      <c r="K15" s="2" t="s">
        <v>10125</v>
      </c>
      <c r="L15" s="2" t="s">
        <v>10126</v>
      </c>
      <c r="M15" s="2" t="s">
        <v>10127</v>
      </c>
      <c r="N15" s="2" t="s">
        <v>10128</v>
      </c>
      <c r="O15" s="2" t="s">
        <v>10129</v>
      </c>
      <c r="P15" s="2" t="s">
        <v>10130</v>
      </c>
      <c r="Q15" s="2" t="s">
        <v>10131</v>
      </c>
      <c r="R15" s="2" t="s">
        <v>64</v>
      </c>
      <c r="S15" s="2" t="s">
        <v>65</v>
      </c>
      <c r="T15" s="2" t="s">
        <v>91</v>
      </c>
      <c r="U15" s="2" t="s">
        <v>125</v>
      </c>
      <c r="V15" s="2" t="s">
        <v>110</v>
      </c>
      <c r="W15" s="2" t="s">
        <v>39</v>
      </c>
    </row>
    <row r="16">
      <c r="A16" s="2" t="n">
        <v>9</v>
      </c>
      <c r="B16" s="2" t="s">
        <v>10132</v>
      </c>
      <c r="C16" s="2" t="s">
        <v>140</v>
      </c>
      <c r="D16" s="2" t="n">
        <v>87.008763684</v>
      </c>
      <c r="E16" s="2" t="n">
        <v>13.3332948735</v>
      </c>
      <c r="F16" s="2" t="s">
        <v>10133</v>
      </c>
      <c r="G16" s="2" t="n">
        <v>206542</v>
      </c>
      <c r="H16" s="3" t="str">
        <f>HYPERLINK("http://funmeta.oebiotech.com/network/206542", "http://funmeta.oebiotech.com/network/206542")</f>
      </c>
      <c r="I16" s="2" t="s">
        <v>10134</v>
      </c>
      <c r="J16" s="2" t="s">
        <v>10135</v>
      </c>
      <c r="K16" s="2"/>
      <c r="L16" s="2"/>
      <c r="M16" s="2" t="s">
        <v>10136</v>
      </c>
      <c r="N16" s="2" t="s">
        <v>10137</v>
      </c>
      <c r="O16" s="2"/>
      <c r="P16" s="2" t="s">
        <v>10138</v>
      </c>
      <c r="Q16" s="2" t="s">
        <v>10139</v>
      </c>
      <c r="R16" s="2" t="s">
        <v>64</v>
      </c>
      <c r="S16" s="2" t="s">
        <v>65</v>
      </c>
      <c r="T16" s="2" t="s">
        <v>10140</v>
      </c>
      <c r="U16" s="2" t="s">
        <v>141</v>
      </c>
      <c r="V16" s="2" t="s">
        <v>24</v>
      </c>
      <c r="W16" s="2"/>
    </row>
    <row r="17">
      <c r="A17" s="2" t="n">
        <v>9</v>
      </c>
      <c r="B17" s="2" t="s">
        <v>10141</v>
      </c>
      <c r="C17" s="2" t="s">
        <v>140</v>
      </c>
      <c r="D17" s="2" t="n">
        <v>87.008763684</v>
      </c>
      <c r="E17" s="2" t="n">
        <v>13.3332948735</v>
      </c>
      <c r="F17" s="2" t="s">
        <v>10142</v>
      </c>
      <c r="G17" s="2" t="n">
        <v>206613</v>
      </c>
      <c r="H17" s="3" t="str">
        <f>HYPERLINK("http://funmeta.oebiotech.com/network/206613", "http://funmeta.oebiotech.com/network/206613")</f>
      </c>
      <c r="I17" s="2" t="s">
        <v>10143</v>
      </c>
      <c r="J17" s="2"/>
      <c r="K17" s="2"/>
      <c r="L17" s="2"/>
      <c r="M17" s="2"/>
      <c r="N17" s="2" t="s">
        <v>10144</v>
      </c>
      <c r="O17" s="2"/>
      <c r="P17" s="2" t="s">
        <v>10145</v>
      </c>
      <c r="Q17" s="2" t="s">
        <v>10146</v>
      </c>
      <c r="R17" s="2" t="s">
        <v>64</v>
      </c>
      <c r="S17" s="2" t="s">
        <v>65</v>
      </c>
      <c r="T17" s="2" t="s">
        <v>10147</v>
      </c>
      <c r="U17" s="2" t="s">
        <v>141</v>
      </c>
      <c r="V17" s="2" t="s">
        <v>24</v>
      </c>
      <c r="W17" s="2"/>
    </row>
    <row r="18">
      <c r="A18" s="2" t="n">
        <v>10</v>
      </c>
      <c r="B18" s="2" t="s">
        <v>10148</v>
      </c>
      <c r="C18" s="2" t="s">
        <v>153</v>
      </c>
      <c r="D18" s="2" t="n">
        <v>88.040402473</v>
      </c>
      <c r="E18" s="2" t="n">
        <v>0.651315376896857</v>
      </c>
      <c r="F18" s="2" t="s">
        <v>155</v>
      </c>
      <c r="G18" s="2" t="n">
        <v>46848</v>
      </c>
      <c r="H18" s="3" t="str">
        <f>HYPERLINK("http://funmeta.oebiotech.com/network/46848", "http://funmeta.oebiotech.com/network/46848")</f>
      </c>
      <c r="I18" s="2" t="s">
        <v>157</v>
      </c>
      <c r="J18" s="2" t="s">
        <v>158</v>
      </c>
      <c r="K18" s="2"/>
      <c r="L18" s="2" t="s">
        <v>159</v>
      </c>
      <c r="M18" s="2" t="s">
        <v>160</v>
      </c>
      <c r="N18" s="2" t="s">
        <v>161</v>
      </c>
      <c r="O18" s="2" t="s">
        <v>162</v>
      </c>
      <c r="P18" s="2" t="s">
        <v>163</v>
      </c>
      <c r="Q18" s="2" t="s">
        <v>164</v>
      </c>
      <c r="R18" s="2" t="s">
        <v>49</v>
      </c>
      <c r="S18" s="2" t="s">
        <v>165</v>
      </c>
      <c r="T18" s="2" t="s">
        <v>166</v>
      </c>
      <c r="U18" s="2" t="s">
        <v>154</v>
      </c>
      <c r="V18" s="2" t="s">
        <v>110</v>
      </c>
      <c r="W18" s="2" t="s">
        <v>39</v>
      </c>
    </row>
    <row r="19">
      <c r="A19" s="2" t="n">
        <v>11</v>
      </c>
      <c r="B19" s="2" t="s">
        <v>10149</v>
      </c>
      <c r="C19" s="2" t="s">
        <v>167</v>
      </c>
      <c r="D19" s="2" t="n">
        <v>88.988032552</v>
      </c>
      <c r="E19" s="2" t="n">
        <v>4.15564132515355</v>
      </c>
      <c r="F19" s="2" t="s">
        <v>169</v>
      </c>
      <c r="G19" s="2" t="n">
        <v>47909</v>
      </c>
      <c r="H19" s="3" t="str">
        <f>HYPERLINK("http://funmeta.oebiotech.com/network/47909", "http://funmeta.oebiotech.com/network/47909")</f>
      </c>
      <c r="I19" s="2" t="s">
        <v>171</v>
      </c>
      <c r="J19" s="2" t="s">
        <v>172</v>
      </c>
      <c r="K19" s="2"/>
      <c r="L19" s="2" t="s">
        <v>173</v>
      </c>
      <c r="M19" s="2" t="s">
        <v>174</v>
      </c>
      <c r="N19" s="2" t="s">
        <v>175</v>
      </c>
      <c r="O19" s="2" t="s">
        <v>176</v>
      </c>
      <c r="P19" s="2" t="s">
        <v>177</v>
      </c>
      <c r="Q19" s="2" t="s">
        <v>178</v>
      </c>
      <c r="R19" s="2" t="s">
        <v>49</v>
      </c>
      <c r="S19" s="2" t="s">
        <v>165</v>
      </c>
      <c r="T19" s="2" t="s">
        <v>179</v>
      </c>
      <c r="U19" s="2" t="s">
        <v>168</v>
      </c>
      <c r="V19" s="2" t="s">
        <v>110</v>
      </c>
      <c r="W19" s="2" t="s">
        <v>39</v>
      </c>
    </row>
    <row r="20">
      <c r="A20" s="2" t="n">
        <v>12</v>
      </c>
      <c r="B20" s="2" t="s">
        <v>10150</v>
      </c>
      <c r="C20" s="2" t="s">
        <v>180</v>
      </c>
      <c r="D20" s="2" t="n">
        <v>91.022309568</v>
      </c>
      <c r="E20" s="2" t="n">
        <v>8.66892057719991</v>
      </c>
      <c r="F20" s="2" t="s">
        <v>10151</v>
      </c>
      <c r="G20" s="2" t="n">
        <v>55121</v>
      </c>
      <c r="H20" s="3" t="str">
        <f>HYPERLINK("http://funmeta.oebiotech.com/network/55121", "http://funmeta.oebiotech.com/network/55121")</f>
      </c>
      <c r="I20" s="2" t="s">
        <v>10152</v>
      </c>
      <c r="J20" s="2" t="s">
        <v>10153</v>
      </c>
      <c r="K20" s="2"/>
      <c r="L20" s="2"/>
      <c r="M20" s="2" t="s">
        <v>10154</v>
      </c>
      <c r="N20" s="2" t="s">
        <v>10155</v>
      </c>
      <c r="O20" s="2"/>
      <c r="P20" s="2" t="s">
        <v>10156</v>
      </c>
      <c r="Q20" s="2" t="s">
        <v>10157</v>
      </c>
      <c r="R20" s="2" t="s">
        <v>49</v>
      </c>
      <c r="S20" s="2" t="s">
        <v>10158</v>
      </c>
      <c r="T20" s="2" t="s">
        <v>10159</v>
      </c>
      <c r="U20" s="2" t="s">
        <v>181</v>
      </c>
      <c r="V20" s="2" t="s">
        <v>110</v>
      </c>
      <c r="W20" s="2"/>
    </row>
    <row r="21">
      <c r="A21" s="2" t="n">
        <v>12</v>
      </c>
      <c r="B21" s="2" t="s">
        <v>10160</v>
      </c>
      <c r="C21" s="2" t="s">
        <v>180</v>
      </c>
      <c r="D21" s="2" t="n">
        <v>91.022309568</v>
      </c>
      <c r="E21" s="2" t="n">
        <v>8.66892057719991</v>
      </c>
      <c r="F21" s="2" t="s">
        <v>10161</v>
      </c>
      <c r="G21" s="2" t="n">
        <v>56775</v>
      </c>
      <c r="H21" s="3" t="str">
        <f>HYPERLINK("http://funmeta.oebiotech.com/network/56775", "http://funmeta.oebiotech.com/network/56775")</f>
      </c>
      <c r="I21" s="2" t="s">
        <v>10162</v>
      </c>
      <c r="J21" s="2" t="s">
        <v>10163</v>
      </c>
      <c r="K21" s="2"/>
      <c r="L21" s="2"/>
      <c r="M21" s="2" t="s">
        <v>10164</v>
      </c>
      <c r="N21" s="2" t="s">
        <v>10165</v>
      </c>
      <c r="O21" s="2" t="s">
        <v>10166</v>
      </c>
      <c r="P21" s="2" t="s">
        <v>10167</v>
      </c>
      <c r="Q21" s="2" t="s">
        <v>10168</v>
      </c>
      <c r="R21" s="2" t="s">
        <v>638</v>
      </c>
      <c r="S21" s="2" t="s">
        <v>3092</v>
      </c>
      <c r="T21" s="2" t="s">
        <v>10169</v>
      </c>
      <c r="U21" s="2" t="s">
        <v>181</v>
      </c>
      <c r="V21" s="2" t="s">
        <v>110</v>
      </c>
      <c r="W21" s="2"/>
    </row>
    <row r="22">
      <c r="A22" s="2" t="n">
        <v>13</v>
      </c>
      <c r="B22" s="2" t="s">
        <v>10170</v>
      </c>
      <c r="C22" s="2" t="s">
        <v>194</v>
      </c>
      <c r="D22" s="2" t="n">
        <v>93.035727324</v>
      </c>
      <c r="E22" s="2" t="n">
        <v>0.355100092470618</v>
      </c>
      <c r="F22" s="2" t="s">
        <v>196</v>
      </c>
      <c r="G22" s="2" t="n">
        <v>206868</v>
      </c>
      <c r="H22" s="3" t="str">
        <f>HYPERLINK("http://funmeta.oebiotech.com/network/206868", "http://funmeta.oebiotech.com/network/206868")</f>
      </c>
      <c r="I22" s="2" t="s">
        <v>198</v>
      </c>
      <c r="J22" s="2" t="s">
        <v>199</v>
      </c>
      <c r="K22" s="2"/>
      <c r="L22" s="2"/>
      <c r="M22" s="2"/>
      <c r="N22" s="2" t="s">
        <v>200</v>
      </c>
      <c r="O22" s="2"/>
      <c r="P22" s="2" t="s">
        <v>201</v>
      </c>
      <c r="Q22" s="2" t="s">
        <v>202</v>
      </c>
      <c r="R22" s="2" t="s">
        <v>203</v>
      </c>
      <c r="S22" s="2" t="s">
        <v>204</v>
      </c>
      <c r="T22" s="2" t="s">
        <v>205</v>
      </c>
      <c r="U22" s="2" t="s">
        <v>195</v>
      </c>
      <c r="V22" s="2" t="s">
        <v>24</v>
      </c>
      <c r="W22" s="2"/>
    </row>
    <row r="23">
      <c r="A23" s="2" t="n">
        <v>14</v>
      </c>
      <c r="B23" s="2" t="s">
        <v>10171</v>
      </c>
      <c r="C23" s="2" t="s">
        <v>206</v>
      </c>
      <c r="D23" s="2" t="n">
        <v>94.980838684</v>
      </c>
      <c r="E23" s="2" t="n">
        <v>2.56976642926816</v>
      </c>
      <c r="F23" s="2" t="s">
        <v>208</v>
      </c>
      <c r="G23" s="2" t="n">
        <v>197038</v>
      </c>
      <c r="H23" s="3" t="str">
        <f>HYPERLINK("http://funmeta.oebiotech.com/network/197038", "http://funmeta.oebiotech.com/network/197038")</f>
      </c>
      <c r="I23" s="2" t="s">
        <v>210</v>
      </c>
      <c r="J23" s="2" t="s">
        <v>211</v>
      </c>
      <c r="K23" s="2"/>
      <c r="L23" s="2" t="s">
        <v>212</v>
      </c>
      <c r="M23" s="2" t="s">
        <v>213</v>
      </c>
      <c r="N23" s="2" t="s">
        <v>214</v>
      </c>
      <c r="O23" s="2" t="s">
        <v>215</v>
      </c>
      <c r="P23" s="2" t="s">
        <v>216</v>
      </c>
      <c r="Q23" s="2" t="s">
        <v>217</v>
      </c>
      <c r="R23" s="2" t="s">
        <v>49</v>
      </c>
      <c r="S23" s="2" t="s">
        <v>218</v>
      </c>
      <c r="T23" s="2" t="s">
        <v>219</v>
      </c>
      <c r="U23" s="2" t="s">
        <v>207</v>
      </c>
      <c r="V23" s="2" t="s">
        <v>110</v>
      </c>
      <c r="W23" s="2" t="s">
        <v>39</v>
      </c>
    </row>
    <row r="24">
      <c r="A24" s="2" t="n">
        <v>15</v>
      </c>
      <c r="B24" s="2" t="s">
        <v>10172</v>
      </c>
      <c r="C24" s="2" t="s">
        <v>220</v>
      </c>
      <c r="D24" s="2" t="n">
        <v>95.025086757</v>
      </c>
      <c r="E24" s="2" t="n">
        <v>6.18138062436873</v>
      </c>
      <c r="F24" s="2" t="s">
        <v>10173</v>
      </c>
      <c r="G24" s="2" t="n">
        <v>200607</v>
      </c>
      <c r="H24" s="3" t="str">
        <f>HYPERLINK("http://funmeta.oebiotech.com/network/200607", "http://funmeta.oebiotech.com/network/200607")</f>
      </c>
      <c r="I24" s="2" t="s">
        <v>10174</v>
      </c>
      <c r="J24" s="2" t="s">
        <v>10175</v>
      </c>
      <c r="K24" s="2"/>
      <c r="L24" s="2"/>
      <c r="M24" s="2"/>
      <c r="N24" s="2" t="s">
        <v>10176</v>
      </c>
      <c r="O24" s="2"/>
      <c r="P24" s="2" t="s">
        <v>10177</v>
      </c>
      <c r="Q24" s="2" t="s">
        <v>10178</v>
      </c>
      <c r="R24" s="2" t="s">
        <v>355</v>
      </c>
      <c r="S24" s="2" t="s">
        <v>3687</v>
      </c>
      <c r="T24" s="2" t="s">
        <v>10179</v>
      </c>
      <c r="U24" s="2" t="s">
        <v>221</v>
      </c>
      <c r="V24" s="2" t="s">
        <v>110</v>
      </c>
      <c r="W24" s="2"/>
    </row>
    <row r="25">
      <c r="A25" s="2" t="n">
        <v>15</v>
      </c>
      <c r="B25" s="2" t="s">
        <v>10180</v>
      </c>
      <c r="C25" s="2" t="s">
        <v>220</v>
      </c>
      <c r="D25" s="2" t="n">
        <v>95.025086757</v>
      </c>
      <c r="E25" s="2" t="n">
        <v>6.18138062436873</v>
      </c>
      <c r="F25" s="2" t="s">
        <v>10181</v>
      </c>
      <c r="G25" s="2" t="n">
        <v>201481</v>
      </c>
      <c r="H25" s="3" t="str">
        <f>HYPERLINK("http://funmeta.oebiotech.com/network/201481", "http://funmeta.oebiotech.com/network/201481")</f>
      </c>
      <c r="I25" s="2" t="s">
        <v>10182</v>
      </c>
      <c r="J25" s="2"/>
      <c r="K25" s="2"/>
      <c r="L25" s="2"/>
      <c r="M25" s="2"/>
      <c r="N25" s="2" t="s">
        <v>10183</v>
      </c>
      <c r="O25" s="2"/>
      <c r="P25" s="2" t="s">
        <v>10184</v>
      </c>
      <c r="Q25" s="2" t="s">
        <v>10185</v>
      </c>
      <c r="R25" s="2" t="s">
        <v>355</v>
      </c>
      <c r="S25" s="2" t="s">
        <v>3687</v>
      </c>
      <c r="T25" s="2" t="s">
        <v>10186</v>
      </c>
      <c r="U25" s="2" t="s">
        <v>221</v>
      </c>
      <c r="V25" s="2" t="s">
        <v>110</v>
      </c>
      <c r="W25" s="2"/>
    </row>
    <row r="26">
      <c r="A26" s="2" t="n">
        <v>15</v>
      </c>
      <c r="B26" s="2" t="s">
        <v>10187</v>
      </c>
      <c r="C26" s="2" t="s">
        <v>220</v>
      </c>
      <c r="D26" s="2" t="n">
        <v>95.025086757</v>
      </c>
      <c r="E26" s="2" t="n">
        <v>6.18138062436873</v>
      </c>
      <c r="F26" s="2" t="s">
        <v>10188</v>
      </c>
      <c r="G26" s="2" t="n">
        <v>202131</v>
      </c>
      <c r="H26" s="3" t="str">
        <f>HYPERLINK("http://funmeta.oebiotech.com/network/202131", "http://funmeta.oebiotech.com/network/202131")</f>
      </c>
      <c r="I26" s="2" t="s">
        <v>10189</v>
      </c>
      <c r="J26" s="2"/>
      <c r="K26" s="2"/>
      <c r="L26" s="2"/>
      <c r="M26" s="2"/>
      <c r="N26" s="2" t="s">
        <v>10190</v>
      </c>
      <c r="O26" s="2"/>
      <c r="P26" s="2" t="s">
        <v>10191</v>
      </c>
      <c r="Q26" s="2" t="s">
        <v>10192</v>
      </c>
      <c r="R26" s="2" t="s">
        <v>355</v>
      </c>
      <c r="S26" s="2" t="s">
        <v>3687</v>
      </c>
      <c r="T26" s="2" t="s">
        <v>3688</v>
      </c>
      <c r="U26" s="2" t="s">
        <v>221</v>
      </c>
      <c r="V26" s="2" t="s">
        <v>110</v>
      </c>
      <c r="W26" s="2"/>
    </row>
    <row r="27">
      <c r="A27" s="2" t="n">
        <v>16</v>
      </c>
      <c r="B27" s="2" t="s">
        <v>10193</v>
      </c>
      <c r="C27" s="2" t="s">
        <v>233</v>
      </c>
      <c r="D27" s="2" t="n">
        <v>96.961729542</v>
      </c>
      <c r="E27" s="2" t="n">
        <v>4.61510811892131</v>
      </c>
      <c r="F27" s="2" t="s">
        <v>10194</v>
      </c>
      <c r="G27" s="2" t="n">
        <v>54497</v>
      </c>
      <c r="H27" s="3" t="str">
        <f>HYPERLINK("http://funmeta.oebiotech.com/network/54497", "http://funmeta.oebiotech.com/network/54497")</f>
      </c>
      <c r="I27" s="2" t="s">
        <v>10195</v>
      </c>
      <c r="J27" s="2" t="s">
        <v>10196</v>
      </c>
      <c r="K27" s="2"/>
      <c r="L27" s="2" t="s">
        <v>10197</v>
      </c>
      <c r="M27" s="2" t="s">
        <v>10198</v>
      </c>
      <c r="N27" s="2" t="s">
        <v>10199</v>
      </c>
      <c r="O27" s="2" t="s">
        <v>10200</v>
      </c>
      <c r="P27" s="2" t="s">
        <v>10201</v>
      </c>
      <c r="Q27" s="2" t="s">
        <v>10202</v>
      </c>
      <c r="R27" s="2" t="s">
        <v>203</v>
      </c>
      <c r="S27" s="2" t="s">
        <v>1941</v>
      </c>
      <c r="T27" s="2" t="s">
        <v>205</v>
      </c>
      <c r="U27" s="2" t="s">
        <v>234</v>
      </c>
      <c r="V27" s="2" t="s">
        <v>110</v>
      </c>
      <c r="W27" s="2" t="s">
        <v>39</v>
      </c>
    </row>
    <row r="28">
      <c r="A28" s="2" t="n">
        <v>16</v>
      </c>
      <c r="B28" s="2" t="s">
        <v>10203</v>
      </c>
      <c r="C28" s="2" t="s">
        <v>233</v>
      </c>
      <c r="D28" s="2" t="n">
        <v>96.961729542</v>
      </c>
      <c r="E28" s="2" t="n">
        <v>4.61510811892131</v>
      </c>
      <c r="F28" s="2" t="s">
        <v>10204</v>
      </c>
      <c r="G28" s="2" t="n">
        <v>199547</v>
      </c>
      <c r="H28" s="3" t="str">
        <f>HYPERLINK("http://funmeta.oebiotech.com/network/199547", "http://funmeta.oebiotech.com/network/199547")</f>
      </c>
      <c r="I28" s="2" t="s">
        <v>10205</v>
      </c>
      <c r="J28" s="2" t="s">
        <v>10206</v>
      </c>
      <c r="K28" s="2"/>
      <c r="L28" s="2" t="s">
        <v>10207</v>
      </c>
      <c r="M28" s="2"/>
      <c r="N28" s="2" t="s">
        <v>10208</v>
      </c>
      <c r="O28" s="2" t="s">
        <v>10209</v>
      </c>
      <c r="P28" s="2" t="s">
        <v>10210</v>
      </c>
      <c r="Q28" s="2" t="s">
        <v>10211</v>
      </c>
      <c r="R28" s="2" t="s">
        <v>203</v>
      </c>
      <c r="S28" s="2" t="s">
        <v>1941</v>
      </c>
      <c r="T28" s="2" t="s">
        <v>205</v>
      </c>
      <c r="U28" s="2" t="s">
        <v>234</v>
      </c>
      <c r="V28" s="2" t="s">
        <v>110</v>
      </c>
      <c r="W28" s="2" t="s">
        <v>39</v>
      </c>
    </row>
    <row r="29">
      <c r="A29" s="2" t="n">
        <v>17</v>
      </c>
      <c r="B29" s="2" t="s">
        <v>10212</v>
      </c>
      <c r="C29" s="2" t="s">
        <v>248</v>
      </c>
      <c r="D29" s="2" t="n">
        <v>96.969734372</v>
      </c>
      <c r="E29" s="2" t="n">
        <v>9.04805674792448</v>
      </c>
      <c r="F29" s="2" t="s">
        <v>10213</v>
      </c>
      <c r="G29" s="2" t="n">
        <v>49</v>
      </c>
      <c r="H29" s="3" t="str">
        <f>HYPERLINK("http://funmeta.oebiotech.com/network/49", "http://funmeta.oebiotech.com/network/49")</f>
      </c>
      <c r="I29" s="2" t="s">
        <v>10214</v>
      </c>
      <c r="J29" s="2" t="s">
        <v>10215</v>
      </c>
      <c r="K29" s="2" t="s">
        <v>10216</v>
      </c>
      <c r="L29" s="2" t="s">
        <v>10217</v>
      </c>
      <c r="M29" s="2" t="s">
        <v>10218</v>
      </c>
      <c r="N29" s="2" t="s">
        <v>10219</v>
      </c>
      <c r="O29" s="2" t="s">
        <v>10220</v>
      </c>
      <c r="P29" s="2" t="s">
        <v>10221</v>
      </c>
      <c r="Q29" s="2" t="s">
        <v>10222</v>
      </c>
      <c r="R29" s="2" t="s">
        <v>49</v>
      </c>
      <c r="S29" s="2" t="s">
        <v>165</v>
      </c>
      <c r="T29" s="2" t="s">
        <v>10223</v>
      </c>
      <c r="U29" s="2" t="s">
        <v>249</v>
      </c>
      <c r="V29" s="2" t="s">
        <v>250</v>
      </c>
      <c r="W29" s="2" t="s">
        <v>39</v>
      </c>
    </row>
    <row r="30">
      <c r="A30" s="2" t="n">
        <v>17</v>
      </c>
      <c r="B30" s="2" t="s">
        <v>10224</v>
      </c>
      <c r="C30" s="2" t="s">
        <v>248</v>
      </c>
      <c r="D30" s="2" t="n">
        <v>96.969734372</v>
      </c>
      <c r="E30" s="2" t="n">
        <v>9.04805674792448</v>
      </c>
      <c r="F30" s="2" t="s">
        <v>10225</v>
      </c>
      <c r="G30" s="2" t="n">
        <v>48070</v>
      </c>
      <c r="H30" s="3" t="str">
        <f>HYPERLINK("http://funmeta.oebiotech.com/network/48070", "http://funmeta.oebiotech.com/network/48070")</f>
      </c>
      <c r="I30" s="2" t="s">
        <v>10226</v>
      </c>
      <c r="J30" s="2" t="s">
        <v>10227</v>
      </c>
      <c r="K30" s="2"/>
      <c r="L30" s="2" t="s">
        <v>10228</v>
      </c>
      <c r="M30" s="2" t="s">
        <v>10229</v>
      </c>
      <c r="N30" s="2" t="s">
        <v>10230</v>
      </c>
      <c r="O30" s="2" t="s">
        <v>10231</v>
      </c>
      <c r="P30" s="2" t="s">
        <v>10232</v>
      </c>
      <c r="Q30" s="2" t="s">
        <v>10233</v>
      </c>
      <c r="R30" s="2" t="s">
        <v>64</v>
      </c>
      <c r="S30" s="2" t="s">
        <v>65</v>
      </c>
      <c r="T30" s="2" t="s">
        <v>91</v>
      </c>
      <c r="U30" s="2" t="s">
        <v>249</v>
      </c>
      <c r="V30" s="2" t="s">
        <v>250</v>
      </c>
      <c r="W30" s="2" t="s">
        <v>39</v>
      </c>
    </row>
    <row r="31">
      <c r="A31" s="2" t="n">
        <v>18</v>
      </c>
      <c r="B31" s="2" t="s">
        <v>10234</v>
      </c>
      <c r="C31" s="2" t="s">
        <v>264</v>
      </c>
      <c r="D31" s="2" t="n">
        <v>99.008767994</v>
      </c>
      <c r="E31" s="2" t="n">
        <v>11.1836422695291</v>
      </c>
      <c r="F31" s="2" t="s">
        <v>266</v>
      </c>
      <c r="G31" s="2" t="n">
        <v>56827</v>
      </c>
      <c r="H31" s="3" t="str">
        <f>HYPERLINK("http://funmeta.oebiotech.com/network/56827", "http://funmeta.oebiotech.com/network/56827")</f>
      </c>
      <c r="I31" s="2" t="s">
        <v>268</v>
      </c>
      <c r="J31" s="2" t="s">
        <v>269</v>
      </c>
      <c r="K31" s="2"/>
      <c r="L31" s="2" t="s">
        <v>270</v>
      </c>
      <c r="M31" s="2" t="s">
        <v>271</v>
      </c>
      <c r="N31" s="2" t="s">
        <v>272</v>
      </c>
      <c r="O31" s="2" t="s">
        <v>273</v>
      </c>
      <c r="P31" s="2" t="s">
        <v>274</v>
      </c>
      <c r="Q31" s="2" t="s">
        <v>275</v>
      </c>
      <c r="R31" s="2" t="s">
        <v>49</v>
      </c>
      <c r="S31" s="2" t="s">
        <v>165</v>
      </c>
      <c r="T31" s="2" t="s">
        <v>179</v>
      </c>
      <c r="U31" s="2" t="s">
        <v>265</v>
      </c>
      <c r="V31" s="2" t="s">
        <v>110</v>
      </c>
      <c r="W31" s="2" t="s">
        <v>39</v>
      </c>
    </row>
    <row r="32">
      <c r="A32" s="2" t="n">
        <v>19</v>
      </c>
      <c r="B32" s="2" t="s">
        <v>10235</v>
      </c>
      <c r="C32" s="2" t="s">
        <v>276</v>
      </c>
      <c r="D32" s="2" t="n">
        <v>101.023867744</v>
      </c>
      <c r="E32" s="2" t="n">
        <v>9.04738352840949</v>
      </c>
      <c r="F32" s="2" t="s">
        <v>10236</v>
      </c>
      <c r="G32" s="2" t="n">
        <v>47971</v>
      </c>
      <c r="H32" s="3" t="str">
        <f>HYPERLINK("http://funmeta.oebiotech.com/network/47971", "http://funmeta.oebiotech.com/network/47971")</f>
      </c>
      <c r="I32" s="2" t="s">
        <v>10237</v>
      </c>
      <c r="J32" s="2" t="s">
        <v>10238</v>
      </c>
      <c r="K32" s="2"/>
      <c r="L32" s="2" t="s">
        <v>10239</v>
      </c>
      <c r="M32" s="2" t="s">
        <v>10240</v>
      </c>
      <c r="N32" s="2" t="s">
        <v>10241</v>
      </c>
      <c r="O32" s="2" t="s">
        <v>10242</v>
      </c>
      <c r="P32" s="2" t="s">
        <v>10243</v>
      </c>
      <c r="Q32" s="2" t="s">
        <v>10244</v>
      </c>
      <c r="R32" s="2" t="s">
        <v>64</v>
      </c>
      <c r="S32" s="2" t="s">
        <v>65</v>
      </c>
      <c r="T32" s="2" t="s">
        <v>66</v>
      </c>
      <c r="U32" s="2" t="s">
        <v>277</v>
      </c>
      <c r="V32" s="2" t="s">
        <v>42</v>
      </c>
      <c r="W32" s="2" t="s">
        <v>39</v>
      </c>
    </row>
    <row r="33">
      <c r="A33" s="2" t="n">
        <v>19</v>
      </c>
      <c r="B33" s="2" t="s">
        <v>10245</v>
      </c>
      <c r="C33" s="2" t="s">
        <v>276</v>
      </c>
      <c r="D33" s="2" t="n">
        <v>101.023867744</v>
      </c>
      <c r="E33" s="2" t="n">
        <v>9.04738352840949</v>
      </c>
      <c r="F33" s="2" t="s">
        <v>10246</v>
      </c>
      <c r="G33" s="2" t="n">
        <v>48700</v>
      </c>
      <c r="H33" s="3" t="str">
        <f>HYPERLINK("http://funmeta.oebiotech.com/network/48700", "http://funmeta.oebiotech.com/network/48700")</f>
      </c>
      <c r="I33" s="2" t="s">
        <v>10247</v>
      </c>
      <c r="J33" s="2" t="s">
        <v>10248</v>
      </c>
      <c r="K33" s="2"/>
      <c r="L33" s="2" t="s">
        <v>10249</v>
      </c>
      <c r="M33" s="2" t="s">
        <v>10250</v>
      </c>
      <c r="N33" s="2" t="s">
        <v>10251</v>
      </c>
      <c r="O33" s="2" t="s">
        <v>10252</v>
      </c>
      <c r="P33" s="2" t="s">
        <v>10253</v>
      </c>
      <c r="Q33" s="2" t="s">
        <v>10254</v>
      </c>
      <c r="R33" s="2" t="s">
        <v>64</v>
      </c>
      <c r="S33" s="2" t="s">
        <v>65</v>
      </c>
      <c r="T33" s="2" t="s">
        <v>66</v>
      </c>
      <c r="U33" s="2" t="s">
        <v>277</v>
      </c>
      <c r="V33" s="2" t="s">
        <v>42</v>
      </c>
      <c r="W33" s="2" t="s">
        <v>39</v>
      </c>
    </row>
    <row r="34">
      <c r="A34" s="2" t="n">
        <v>20</v>
      </c>
      <c r="B34" s="2" t="s">
        <v>10255</v>
      </c>
      <c r="C34" s="2" t="s">
        <v>289</v>
      </c>
      <c r="D34" s="2" t="n">
        <v>101.07203695</v>
      </c>
      <c r="E34" s="2" t="n">
        <v>13.2007308686673</v>
      </c>
      <c r="F34" s="2" t="s">
        <v>291</v>
      </c>
      <c r="G34" s="2" t="n">
        <v>209252</v>
      </c>
      <c r="H34" s="3" t="str">
        <f>HYPERLINK("http://funmeta.oebiotech.com/network/209252", "http://funmeta.oebiotech.com/network/209252")</f>
      </c>
      <c r="I34" s="2" t="s">
        <v>293</v>
      </c>
      <c r="J34" s="2" t="s">
        <v>294</v>
      </c>
      <c r="K34" s="2"/>
      <c r="L34" s="2"/>
      <c r="M34" s="2"/>
      <c r="N34" s="2" t="s">
        <v>295</v>
      </c>
      <c r="O34" s="2"/>
      <c r="P34" s="2" t="s">
        <v>296</v>
      </c>
      <c r="Q34" s="2" t="s">
        <v>297</v>
      </c>
      <c r="R34" s="2" t="s">
        <v>49</v>
      </c>
      <c r="S34" s="2" t="s">
        <v>50</v>
      </c>
      <c r="T34" s="2" t="s">
        <v>298</v>
      </c>
      <c r="U34" s="2" t="s">
        <v>290</v>
      </c>
      <c r="V34" s="2" t="s">
        <v>110</v>
      </c>
      <c r="W34" s="2"/>
    </row>
    <row r="35">
      <c r="A35" s="2" t="n">
        <v>21</v>
      </c>
      <c r="B35" s="2" t="s">
        <v>10256</v>
      </c>
      <c r="C35" s="2" t="s">
        <v>299</v>
      </c>
      <c r="D35" s="2" t="n">
        <v>102.056052537</v>
      </c>
      <c r="E35" s="2" t="n">
        <v>0.74037011949294</v>
      </c>
      <c r="F35" s="2" t="s">
        <v>10257</v>
      </c>
      <c r="G35" s="2" t="n">
        <v>2477</v>
      </c>
      <c r="H35" s="3" t="str">
        <f>HYPERLINK("http://funmeta.oebiotech.com/network/2477", "http://funmeta.oebiotech.com/network/2477")</f>
      </c>
      <c r="I35" s="2" t="s">
        <v>10258</v>
      </c>
      <c r="J35" s="2" t="s">
        <v>10259</v>
      </c>
      <c r="K35" s="2" t="s">
        <v>10260</v>
      </c>
      <c r="L35" s="2" t="s">
        <v>10261</v>
      </c>
      <c r="M35" s="2" t="s">
        <v>10262</v>
      </c>
      <c r="N35" s="2" t="s">
        <v>10263</v>
      </c>
      <c r="O35" s="2" t="s">
        <v>10264</v>
      </c>
      <c r="P35" s="2" t="s">
        <v>10265</v>
      </c>
      <c r="Q35" s="2" t="s">
        <v>10266</v>
      </c>
      <c r="R35" s="2" t="s">
        <v>49</v>
      </c>
      <c r="S35" s="2" t="s">
        <v>165</v>
      </c>
      <c r="T35" s="2" t="s">
        <v>166</v>
      </c>
      <c r="U35" s="2" t="s">
        <v>300</v>
      </c>
      <c r="V35" s="2" t="s">
        <v>110</v>
      </c>
      <c r="W35" s="2" t="s">
        <v>39</v>
      </c>
    </row>
    <row r="36">
      <c r="A36" s="2" t="n">
        <v>21</v>
      </c>
      <c r="B36" s="2" t="s">
        <v>10267</v>
      </c>
      <c r="C36" s="2" t="s">
        <v>299</v>
      </c>
      <c r="D36" s="2" t="n">
        <v>102.056052537</v>
      </c>
      <c r="E36" s="2" t="n">
        <v>0.74037011949294</v>
      </c>
      <c r="F36" s="2" t="s">
        <v>10268</v>
      </c>
      <c r="G36" s="2" t="n">
        <v>2482</v>
      </c>
      <c r="H36" s="3" t="str">
        <f>HYPERLINK("http://funmeta.oebiotech.com/network/2482", "http://funmeta.oebiotech.com/network/2482")</f>
      </c>
      <c r="I36" s="2" t="s">
        <v>10269</v>
      </c>
      <c r="J36" s="2"/>
      <c r="K36" s="2" t="s">
        <v>10270</v>
      </c>
      <c r="L36" s="2" t="s">
        <v>10271</v>
      </c>
      <c r="M36" s="2" t="s">
        <v>10272</v>
      </c>
      <c r="N36" s="2" t="s">
        <v>10273</v>
      </c>
      <c r="O36" s="2" t="s">
        <v>10274</v>
      </c>
      <c r="P36" s="2" t="s">
        <v>10275</v>
      </c>
      <c r="Q36" s="2" t="s">
        <v>10276</v>
      </c>
      <c r="R36" s="2" t="s">
        <v>49</v>
      </c>
      <c r="S36" s="2" t="s">
        <v>165</v>
      </c>
      <c r="T36" s="2" t="s">
        <v>166</v>
      </c>
      <c r="U36" s="2" t="s">
        <v>300</v>
      </c>
      <c r="V36" s="2" t="s">
        <v>110</v>
      </c>
      <c r="W36" s="2" t="s">
        <v>39</v>
      </c>
    </row>
    <row r="37">
      <c r="A37" s="2" t="n">
        <v>21</v>
      </c>
      <c r="B37" s="2" t="s">
        <v>10277</v>
      </c>
      <c r="C37" s="2" t="s">
        <v>299</v>
      </c>
      <c r="D37" s="2" t="n">
        <v>102.056052537</v>
      </c>
      <c r="E37" s="2" t="n">
        <v>0.74037011949294</v>
      </c>
      <c r="F37" s="2" t="s">
        <v>10278</v>
      </c>
      <c r="G37" s="2" t="n">
        <v>2486</v>
      </c>
      <c r="H37" s="3" t="str">
        <f>HYPERLINK("http://funmeta.oebiotech.com/network/2486", "http://funmeta.oebiotech.com/network/2486")</f>
      </c>
      <c r="I37" s="2" t="s">
        <v>10279</v>
      </c>
      <c r="J37" s="2" t="s">
        <v>10280</v>
      </c>
      <c r="K37" s="2" t="s">
        <v>10281</v>
      </c>
      <c r="L37" s="2" t="s">
        <v>10282</v>
      </c>
      <c r="M37" s="2" t="s">
        <v>10283</v>
      </c>
      <c r="N37" s="2" t="s">
        <v>10284</v>
      </c>
      <c r="O37" s="2" t="s">
        <v>10285</v>
      </c>
      <c r="P37" s="2" t="s">
        <v>10286</v>
      </c>
      <c r="Q37" s="2" t="s">
        <v>10287</v>
      </c>
      <c r="R37" s="2" t="s">
        <v>49</v>
      </c>
      <c r="S37" s="2" t="s">
        <v>165</v>
      </c>
      <c r="T37" s="2" t="s">
        <v>166</v>
      </c>
      <c r="U37" s="2" t="s">
        <v>300</v>
      </c>
      <c r="V37" s="2" t="s">
        <v>110</v>
      </c>
      <c r="W37" s="2" t="s">
        <v>39</v>
      </c>
    </row>
    <row r="38">
      <c r="A38" s="2" t="n">
        <v>22</v>
      </c>
      <c r="B38" s="2" t="s">
        <v>10288</v>
      </c>
      <c r="C38" s="2" t="s">
        <v>315</v>
      </c>
      <c r="D38" s="2" t="n">
        <v>103.003682616</v>
      </c>
      <c r="E38" s="2" t="n">
        <v>5.53393558058038</v>
      </c>
      <c r="F38" s="2" t="s">
        <v>10289</v>
      </c>
      <c r="G38" s="2" t="n">
        <v>2855</v>
      </c>
      <c r="H38" s="3" t="str">
        <f>HYPERLINK("http://funmeta.oebiotech.com/network/2855", "http://funmeta.oebiotech.com/network/2855")</f>
      </c>
      <c r="I38" s="2" t="s">
        <v>10290</v>
      </c>
      <c r="J38" s="2" t="s">
        <v>10291</v>
      </c>
      <c r="K38" s="2" t="s">
        <v>10292</v>
      </c>
      <c r="L38" s="2" t="s">
        <v>10293</v>
      </c>
      <c r="M38" s="2" t="s">
        <v>10294</v>
      </c>
      <c r="N38" s="2" t="s">
        <v>10295</v>
      </c>
      <c r="O38" s="2" t="s">
        <v>10296</v>
      </c>
      <c r="P38" s="2" t="s">
        <v>10297</v>
      </c>
      <c r="Q38" s="2" t="s">
        <v>10298</v>
      </c>
      <c r="R38" s="2" t="s">
        <v>49</v>
      </c>
      <c r="S38" s="2" t="s">
        <v>165</v>
      </c>
      <c r="T38" s="2" t="s">
        <v>179</v>
      </c>
      <c r="U38" s="2" t="s">
        <v>316</v>
      </c>
      <c r="V38" s="2" t="s">
        <v>110</v>
      </c>
      <c r="W38" s="2" t="s">
        <v>39</v>
      </c>
    </row>
    <row r="39">
      <c r="A39" s="2" t="n">
        <v>22</v>
      </c>
      <c r="B39" s="2" t="s">
        <v>10299</v>
      </c>
      <c r="C39" s="2" t="s">
        <v>315</v>
      </c>
      <c r="D39" s="2" t="n">
        <v>103.003682616</v>
      </c>
      <c r="E39" s="2" t="n">
        <v>5.53393558058038</v>
      </c>
      <c r="F39" s="2" t="s">
        <v>10300</v>
      </c>
      <c r="G39" s="2" t="n">
        <v>47532</v>
      </c>
      <c r="H39" s="3" t="str">
        <f>HYPERLINK("http://funmeta.oebiotech.com/network/47532", "http://funmeta.oebiotech.com/network/47532")</f>
      </c>
      <c r="I39" s="2" t="s">
        <v>10301</v>
      </c>
      <c r="J39" s="2" t="s">
        <v>10302</v>
      </c>
      <c r="K39" s="2"/>
      <c r="L39" s="2" t="s">
        <v>10303</v>
      </c>
      <c r="M39" s="2" t="s">
        <v>10304</v>
      </c>
      <c r="N39" s="2" t="s">
        <v>10305</v>
      </c>
      <c r="O39" s="2" t="s">
        <v>10306</v>
      </c>
      <c r="P39" s="2" t="s">
        <v>10307</v>
      </c>
      <c r="Q39" s="2" t="s">
        <v>10308</v>
      </c>
      <c r="R39" s="2" t="s">
        <v>49</v>
      </c>
      <c r="S39" s="2" t="s">
        <v>383</v>
      </c>
      <c r="T39" s="2" t="s">
        <v>432</v>
      </c>
      <c r="U39" s="2" t="s">
        <v>316</v>
      </c>
      <c r="V39" s="2" t="s">
        <v>110</v>
      </c>
      <c r="W39" s="2" t="s">
        <v>39</v>
      </c>
    </row>
    <row r="40">
      <c r="A40" s="2" t="n">
        <v>22</v>
      </c>
      <c r="B40" s="2" t="s">
        <v>10309</v>
      </c>
      <c r="C40" s="2" t="s">
        <v>315</v>
      </c>
      <c r="D40" s="2" t="n">
        <v>103.003682616</v>
      </c>
      <c r="E40" s="2" t="n">
        <v>5.53393558058038</v>
      </c>
      <c r="F40" s="2" t="s">
        <v>10310</v>
      </c>
      <c r="G40" s="2" t="n">
        <v>48934</v>
      </c>
      <c r="H40" s="3" t="str">
        <f>HYPERLINK("http://funmeta.oebiotech.com/network/48934", "http://funmeta.oebiotech.com/network/48934")</f>
      </c>
      <c r="I40" s="2" t="s">
        <v>10311</v>
      </c>
      <c r="J40" s="2" t="s">
        <v>10312</v>
      </c>
      <c r="K40" s="2"/>
      <c r="L40" s="2" t="s">
        <v>10313</v>
      </c>
      <c r="M40" s="2" t="s">
        <v>10314</v>
      </c>
      <c r="N40" s="2" t="s">
        <v>10315</v>
      </c>
      <c r="O40" s="2"/>
      <c r="P40" s="2" t="s">
        <v>10316</v>
      </c>
      <c r="Q40" s="2" t="s">
        <v>10317</v>
      </c>
      <c r="R40" s="2" t="s">
        <v>64</v>
      </c>
      <c r="S40" s="2" t="s">
        <v>65</v>
      </c>
      <c r="T40" s="2" t="s">
        <v>66</v>
      </c>
      <c r="U40" s="2" t="s">
        <v>316</v>
      </c>
      <c r="V40" s="2" t="s">
        <v>110</v>
      </c>
      <c r="W40" s="2" t="s">
        <v>39</v>
      </c>
    </row>
    <row r="41">
      <c r="A41" s="2" t="n">
        <v>23</v>
      </c>
      <c r="B41" s="2" t="s">
        <v>10318</v>
      </c>
      <c r="C41" s="2" t="s">
        <v>331</v>
      </c>
      <c r="D41" s="2" t="n">
        <v>104.035312787</v>
      </c>
      <c r="E41" s="2" t="n">
        <v>3.08964332441772</v>
      </c>
      <c r="F41" s="2" t="s">
        <v>10319</v>
      </c>
      <c r="G41" s="2" t="n">
        <v>47404</v>
      </c>
      <c r="H41" s="3" t="str">
        <f>HYPERLINK("http://funmeta.oebiotech.com/network/47404", "http://funmeta.oebiotech.com/network/47404")</f>
      </c>
      <c r="I41" s="2" t="s">
        <v>10320</v>
      </c>
      <c r="J41" s="2"/>
      <c r="K41" s="2"/>
      <c r="L41" s="2" t="s">
        <v>10321</v>
      </c>
      <c r="M41" s="2" t="s">
        <v>10322</v>
      </c>
      <c r="N41" s="2" t="s">
        <v>10323</v>
      </c>
      <c r="O41" s="2" t="s">
        <v>10324</v>
      </c>
      <c r="P41" s="2" t="s">
        <v>10325</v>
      </c>
      <c r="Q41" s="2" t="s">
        <v>10326</v>
      </c>
      <c r="R41" s="2" t="s">
        <v>49</v>
      </c>
      <c r="S41" s="2" t="s">
        <v>10327</v>
      </c>
      <c r="T41" s="2" t="s">
        <v>10328</v>
      </c>
      <c r="U41" s="2" t="s">
        <v>332</v>
      </c>
      <c r="V41" s="2" t="s">
        <v>24</v>
      </c>
      <c r="W41" s="2" t="s">
        <v>39</v>
      </c>
    </row>
    <row r="42">
      <c r="A42" s="2" t="n">
        <v>23</v>
      </c>
      <c r="B42" s="2" t="s">
        <v>10329</v>
      </c>
      <c r="C42" s="2" t="s">
        <v>331</v>
      </c>
      <c r="D42" s="2" t="n">
        <v>104.035312787</v>
      </c>
      <c r="E42" s="2" t="n">
        <v>3.08964332441772</v>
      </c>
      <c r="F42" s="2" t="s">
        <v>10330</v>
      </c>
      <c r="G42" s="2" t="n">
        <v>48154</v>
      </c>
      <c r="H42" s="3" t="str">
        <f>HYPERLINK("http://funmeta.oebiotech.com/network/48154", "http://funmeta.oebiotech.com/network/48154")</f>
      </c>
      <c r="I42" s="2" t="s">
        <v>10331</v>
      </c>
      <c r="J42" s="2" t="s">
        <v>10332</v>
      </c>
      <c r="K42" s="2"/>
      <c r="L42" s="2" t="s">
        <v>10333</v>
      </c>
      <c r="M42" s="2" t="s">
        <v>10334</v>
      </c>
      <c r="N42" s="2" t="s">
        <v>10335</v>
      </c>
      <c r="O42" s="2" t="s">
        <v>10336</v>
      </c>
      <c r="P42" s="2" t="s">
        <v>10337</v>
      </c>
      <c r="Q42" s="2" t="s">
        <v>10338</v>
      </c>
      <c r="R42" s="2" t="s">
        <v>36</v>
      </c>
      <c r="S42" s="2" t="s">
        <v>37</v>
      </c>
      <c r="T42" s="2" t="s">
        <v>10339</v>
      </c>
      <c r="U42" s="2" t="s">
        <v>332</v>
      </c>
      <c r="V42" s="2" t="s">
        <v>24</v>
      </c>
      <c r="W42" s="2" t="s">
        <v>39</v>
      </c>
    </row>
    <row r="43">
      <c r="A43" s="2" t="n">
        <v>23</v>
      </c>
      <c r="B43" s="2" t="s">
        <v>10340</v>
      </c>
      <c r="C43" s="2" t="s">
        <v>331</v>
      </c>
      <c r="D43" s="2" t="n">
        <v>104.035312787</v>
      </c>
      <c r="E43" s="2" t="n">
        <v>3.08964332441772</v>
      </c>
      <c r="F43" s="2" t="s">
        <v>10341</v>
      </c>
      <c r="G43" s="2" t="n">
        <v>56139</v>
      </c>
      <c r="H43" s="3" t="str">
        <f>HYPERLINK("http://funmeta.oebiotech.com/network/56139", "http://funmeta.oebiotech.com/network/56139")</f>
      </c>
      <c r="I43" s="2" t="s">
        <v>10342</v>
      </c>
      <c r="J43" s="2" t="s">
        <v>10343</v>
      </c>
      <c r="K43" s="2"/>
      <c r="L43" s="2" t="s">
        <v>10344</v>
      </c>
      <c r="M43" s="2" t="s">
        <v>10345</v>
      </c>
      <c r="N43" s="2" t="s">
        <v>10346</v>
      </c>
      <c r="O43" s="2" t="s">
        <v>10347</v>
      </c>
      <c r="P43" s="2" t="s">
        <v>10348</v>
      </c>
      <c r="Q43" s="2" t="s">
        <v>10349</v>
      </c>
      <c r="R43" s="2" t="s">
        <v>49</v>
      </c>
      <c r="S43" s="2" t="s">
        <v>10327</v>
      </c>
      <c r="T43" s="2" t="s">
        <v>10328</v>
      </c>
      <c r="U43" s="2" t="s">
        <v>332</v>
      </c>
      <c r="V43" s="2" t="s">
        <v>24</v>
      </c>
      <c r="W43" s="2" t="s">
        <v>39</v>
      </c>
    </row>
    <row r="44">
      <c r="A44" s="2" t="n">
        <v>24</v>
      </c>
      <c r="B44" s="2" t="s">
        <v>10350</v>
      </c>
      <c r="C44" s="2" t="s">
        <v>346</v>
      </c>
      <c r="D44" s="2" t="n">
        <v>108.019785419</v>
      </c>
      <c r="E44" s="2" t="n">
        <v>1.013151055466</v>
      </c>
      <c r="F44" s="2" t="s">
        <v>348</v>
      </c>
      <c r="G44" s="2" t="n">
        <v>82534</v>
      </c>
      <c r="H44" s="3" t="str">
        <f>HYPERLINK("http://funmeta.oebiotech.com/network/82534", "http://funmeta.oebiotech.com/network/82534")</f>
      </c>
      <c r="I44" s="2" t="s">
        <v>350</v>
      </c>
      <c r="J44" s="2"/>
      <c r="K44" s="2"/>
      <c r="L44" s="2" t="s">
        <v>351</v>
      </c>
      <c r="M44" s="2"/>
      <c r="N44" s="2" t="s">
        <v>352</v>
      </c>
      <c r="O44" s="2"/>
      <c r="P44" s="2" t="s">
        <v>353</v>
      </c>
      <c r="Q44" s="2" t="s">
        <v>354</v>
      </c>
      <c r="R44" s="2" t="s">
        <v>355</v>
      </c>
      <c r="S44" s="2" t="s">
        <v>356</v>
      </c>
      <c r="T44" s="2" t="s">
        <v>357</v>
      </c>
      <c r="U44" s="2" t="s">
        <v>347</v>
      </c>
      <c r="V44" s="2" t="s">
        <v>42</v>
      </c>
      <c r="W44" s="2" t="s">
        <v>39</v>
      </c>
    </row>
    <row r="45">
      <c r="A45" s="2" t="n">
        <v>25</v>
      </c>
      <c r="B45" s="2" t="s">
        <v>10351</v>
      </c>
      <c r="C45" s="2" t="s">
        <v>358</v>
      </c>
      <c r="D45" s="2" t="n">
        <v>109.038329888</v>
      </c>
      <c r="E45" s="2" t="n">
        <v>0.504910340249785</v>
      </c>
      <c r="F45" s="2" t="s">
        <v>361</v>
      </c>
      <c r="G45" s="2" t="n">
        <v>54188</v>
      </c>
      <c r="H45" s="3" t="str">
        <f>HYPERLINK("http://funmeta.oebiotech.com/network/54188", "http://funmeta.oebiotech.com/network/54188")</f>
      </c>
      <c r="I45" s="2" t="s">
        <v>363</v>
      </c>
      <c r="J45" s="2" t="s">
        <v>364</v>
      </c>
      <c r="K45" s="2"/>
      <c r="L45" s="2" t="s">
        <v>365</v>
      </c>
      <c r="M45" s="2" t="s">
        <v>366</v>
      </c>
      <c r="N45" s="2" t="s">
        <v>367</v>
      </c>
      <c r="O45" s="2" t="s">
        <v>368</v>
      </c>
      <c r="P45" s="2" t="s">
        <v>369</v>
      </c>
      <c r="Q45" s="2" t="s">
        <v>370</v>
      </c>
      <c r="R45" s="2" t="s">
        <v>49</v>
      </c>
      <c r="S45" s="2" t="s">
        <v>50</v>
      </c>
      <c r="T45" s="2" t="s">
        <v>298</v>
      </c>
      <c r="U45" s="2" t="s">
        <v>359</v>
      </c>
      <c r="V45" s="2" t="s">
        <v>360</v>
      </c>
      <c r="W45" s="2" t="s">
        <v>39</v>
      </c>
    </row>
    <row r="46">
      <c r="A46" s="2" t="n">
        <v>26</v>
      </c>
      <c r="B46" s="2" t="s">
        <v>10352</v>
      </c>
      <c r="C46" s="2" t="s">
        <v>371</v>
      </c>
      <c r="D46" s="2" t="n">
        <v>111.006361058</v>
      </c>
      <c r="E46" s="2" t="n">
        <v>14.8848659258279</v>
      </c>
      <c r="F46" s="2" t="s">
        <v>373</v>
      </c>
      <c r="G46" s="2" t="n">
        <v>46919</v>
      </c>
      <c r="H46" s="3" t="str">
        <f>HYPERLINK("http://funmeta.oebiotech.com/network/46919", "http://funmeta.oebiotech.com/network/46919")</f>
      </c>
      <c r="I46" s="2" t="s">
        <v>375</v>
      </c>
      <c r="J46" s="2" t="s">
        <v>376</v>
      </c>
      <c r="K46" s="2"/>
      <c r="L46" s="2" t="s">
        <v>377</v>
      </c>
      <c r="M46" s="2" t="s">
        <v>378</v>
      </c>
      <c r="N46" s="2" t="s">
        <v>379</v>
      </c>
      <c r="O46" s="2" t="s">
        <v>380</v>
      </c>
      <c r="P46" s="2" t="s">
        <v>381</v>
      </c>
      <c r="Q46" s="2" t="s">
        <v>382</v>
      </c>
      <c r="R46" s="2" t="s">
        <v>49</v>
      </c>
      <c r="S46" s="2" t="s">
        <v>383</v>
      </c>
      <c r="T46" s="2" t="s">
        <v>384</v>
      </c>
      <c r="U46" s="2" t="s">
        <v>372</v>
      </c>
      <c r="V46" s="2" t="s">
        <v>360</v>
      </c>
      <c r="W46" s="2" t="s">
        <v>39</v>
      </c>
    </row>
    <row r="47">
      <c r="A47" s="2" t="n">
        <v>27</v>
      </c>
      <c r="B47" s="2" t="s">
        <v>10353</v>
      </c>
      <c r="C47" s="2" t="s">
        <v>385</v>
      </c>
      <c r="D47" s="2" t="n">
        <v>113.024418058</v>
      </c>
      <c r="E47" s="2" t="n">
        <v>9.12170134742538</v>
      </c>
      <c r="F47" s="2" t="s">
        <v>387</v>
      </c>
      <c r="G47" s="2" t="n">
        <v>82356</v>
      </c>
      <c r="H47" s="3" t="str">
        <f>HYPERLINK("http://funmeta.oebiotech.com/network/82356", "http://funmeta.oebiotech.com/network/82356")</f>
      </c>
      <c r="I47" s="2" t="s">
        <v>389</v>
      </c>
      <c r="J47" s="2" t="s">
        <v>390</v>
      </c>
      <c r="K47" s="2"/>
      <c r="L47" s="2" t="s">
        <v>391</v>
      </c>
      <c r="M47" s="2" t="s">
        <v>392</v>
      </c>
      <c r="N47" s="2" t="s">
        <v>393</v>
      </c>
      <c r="O47" s="2"/>
      <c r="P47" s="2" t="s">
        <v>394</v>
      </c>
      <c r="Q47" s="2" t="s">
        <v>395</v>
      </c>
      <c r="R47" s="2" t="s">
        <v>49</v>
      </c>
      <c r="S47" s="2" t="s">
        <v>396</v>
      </c>
      <c r="T47" s="2" t="s">
        <v>397</v>
      </c>
      <c r="U47" s="2" t="s">
        <v>386</v>
      </c>
      <c r="V47" s="2" t="s">
        <v>110</v>
      </c>
      <c r="W47" s="2" t="s">
        <v>39</v>
      </c>
    </row>
    <row r="48">
      <c r="A48" s="2" t="n">
        <v>28</v>
      </c>
      <c r="B48" s="2" t="s">
        <v>10354</v>
      </c>
      <c r="C48" s="2" t="s">
        <v>398</v>
      </c>
      <c r="D48" s="2" t="n">
        <v>113.09718907</v>
      </c>
      <c r="E48" s="2" t="n">
        <v>9.54865724734803</v>
      </c>
      <c r="F48" s="2" t="s">
        <v>10355</v>
      </c>
      <c r="G48" s="2" t="n">
        <v>9830</v>
      </c>
      <c r="H48" s="3" t="str">
        <f>HYPERLINK("http://funmeta.oebiotech.com/network/9830", "http://funmeta.oebiotech.com/network/9830")</f>
      </c>
      <c r="I48" s="2" t="s">
        <v>10356</v>
      </c>
      <c r="J48" s="2" t="s">
        <v>10357</v>
      </c>
      <c r="K48" s="2" t="s">
        <v>10358</v>
      </c>
      <c r="L48" s="2" t="s">
        <v>10359</v>
      </c>
      <c r="M48" s="2" t="s">
        <v>10360</v>
      </c>
      <c r="N48" s="2" t="s">
        <v>10361</v>
      </c>
      <c r="O48" s="2" t="s">
        <v>10362</v>
      </c>
      <c r="P48" s="2" t="s">
        <v>10363</v>
      </c>
      <c r="Q48" s="2" t="s">
        <v>10364</v>
      </c>
      <c r="R48" s="2" t="s">
        <v>64</v>
      </c>
      <c r="S48" s="2" t="s">
        <v>65</v>
      </c>
      <c r="T48" s="2" t="s">
        <v>91</v>
      </c>
      <c r="U48" s="2" t="s">
        <v>399</v>
      </c>
      <c r="V48" s="2" t="s">
        <v>110</v>
      </c>
      <c r="W48" s="2" t="s">
        <v>39</v>
      </c>
    </row>
    <row r="49">
      <c r="A49" s="2" t="n">
        <v>28</v>
      </c>
      <c r="B49" s="2" t="s">
        <v>10365</v>
      </c>
      <c r="C49" s="2" t="s">
        <v>398</v>
      </c>
      <c r="D49" s="2" t="n">
        <v>113.09718907</v>
      </c>
      <c r="E49" s="2" t="n">
        <v>9.54865724734803</v>
      </c>
      <c r="F49" s="2" t="s">
        <v>10366</v>
      </c>
      <c r="G49" s="2" t="n">
        <v>6467</v>
      </c>
      <c r="H49" s="3" t="str">
        <f>HYPERLINK("http://funmeta.oebiotech.com/network/6467", "http://funmeta.oebiotech.com/network/6467")</f>
      </c>
      <c r="I49" s="2" t="s">
        <v>10367</v>
      </c>
      <c r="J49" s="2" t="s">
        <v>10368</v>
      </c>
      <c r="K49" s="2" t="s">
        <v>10369</v>
      </c>
      <c r="L49" s="2" t="s">
        <v>10370</v>
      </c>
      <c r="M49" s="2" t="s">
        <v>10371</v>
      </c>
      <c r="N49" s="2" t="s">
        <v>10372</v>
      </c>
      <c r="O49" s="2" t="s">
        <v>10373</v>
      </c>
      <c r="P49" s="2" t="s">
        <v>10374</v>
      </c>
      <c r="Q49" s="2" t="s">
        <v>10375</v>
      </c>
      <c r="R49" s="2" t="s">
        <v>64</v>
      </c>
      <c r="S49" s="2" t="s">
        <v>65</v>
      </c>
      <c r="T49" s="2" t="s">
        <v>91</v>
      </c>
      <c r="U49" s="2" t="s">
        <v>399</v>
      </c>
      <c r="V49" s="2" t="s">
        <v>110</v>
      </c>
      <c r="W49" s="2" t="s">
        <v>39</v>
      </c>
    </row>
    <row r="50">
      <c r="A50" s="2" t="n">
        <v>29</v>
      </c>
      <c r="B50" s="2" t="s">
        <v>10376</v>
      </c>
      <c r="C50" s="2" t="s">
        <v>412</v>
      </c>
      <c r="D50" s="2" t="n">
        <v>114.935671335</v>
      </c>
      <c r="E50" s="2" t="n">
        <v>19.2712654057642</v>
      </c>
      <c r="F50" s="2" t="s">
        <v>414</v>
      </c>
      <c r="G50" s="2" t="n">
        <v>256147</v>
      </c>
      <c r="H50" s="3" t="str">
        <f>HYPERLINK("http://funmeta.oebiotech.com/network/256147", "http://funmeta.oebiotech.com/network/256147")</f>
      </c>
      <c r="I50" s="2" t="s">
        <v>416</v>
      </c>
      <c r="J50" s="2"/>
      <c r="K50" s="2"/>
      <c r="L50" s="2"/>
      <c r="M50" s="2"/>
      <c r="N50" s="2" t="s">
        <v>417</v>
      </c>
      <c r="O50" s="2"/>
      <c r="P50" s="2" t="s">
        <v>418</v>
      </c>
      <c r="Q50" s="2" t="s">
        <v>419</v>
      </c>
      <c r="R50" s="2" t="s">
        <v>49</v>
      </c>
      <c r="S50" s="2" t="s">
        <v>50</v>
      </c>
      <c r="T50" s="2" t="s">
        <v>205</v>
      </c>
      <c r="U50" s="2" t="s">
        <v>413</v>
      </c>
      <c r="V50" s="2" t="s">
        <v>250</v>
      </c>
      <c r="W50" s="2"/>
    </row>
    <row r="51">
      <c r="A51" s="2" t="n">
        <v>30</v>
      </c>
      <c r="B51" s="2" t="s">
        <v>10377</v>
      </c>
      <c r="C51" s="2" t="s">
        <v>420</v>
      </c>
      <c r="D51" s="2" t="n">
        <v>115.003132302</v>
      </c>
      <c r="E51" s="2" t="n">
        <v>5.11530380527233</v>
      </c>
      <c r="F51" s="2" t="s">
        <v>422</v>
      </c>
      <c r="G51" s="2" t="n">
        <v>46899</v>
      </c>
      <c r="H51" s="3" t="str">
        <f>HYPERLINK("http://funmeta.oebiotech.com/network/46899", "http://funmeta.oebiotech.com/network/46899")</f>
      </c>
      <c r="I51" s="2" t="s">
        <v>424</v>
      </c>
      <c r="J51" s="2" t="s">
        <v>425</v>
      </c>
      <c r="K51" s="2"/>
      <c r="L51" s="2" t="s">
        <v>426</v>
      </c>
      <c r="M51" s="2" t="s">
        <v>427</v>
      </c>
      <c r="N51" s="2" t="s">
        <v>428</v>
      </c>
      <c r="O51" s="2" t="s">
        <v>429</v>
      </c>
      <c r="P51" s="2" t="s">
        <v>430</v>
      </c>
      <c r="Q51" s="2" t="s">
        <v>431</v>
      </c>
      <c r="R51" s="2" t="s">
        <v>49</v>
      </c>
      <c r="S51" s="2" t="s">
        <v>383</v>
      </c>
      <c r="T51" s="2" t="s">
        <v>432</v>
      </c>
      <c r="U51" s="2" t="s">
        <v>421</v>
      </c>
      <c r="V51" s="2" t="s">
        <v>42</v>
      </c>
      <c r="W51" s="2" t="s">
        <v>39</v>
      </c>
    </row>
    <row r="52">
      <c r="A52" s="2" t="n">
        <v>31</v>
      </c>
      <c r="B52" s="2" t="s">
        <v>10378</v>
      </c>
      <c r="C52" s="2" t="s">
        <v>433</v>
      </c>
      <c r="D52" s="2" t="n">
        <v>117.019328372</v>
      </c>
      <c r="E52" s="2" t="n">
        <v>1.67814719048509</v>
      </c>
      <c r="F52" s="2" t="s">
        <v>435</v>
      </c>
      <c r="G52" s="2" t="n">
        <v>690</v>
      </c>
      <c r="H52" s="3" t="str">
        <f>HYPERLINK("http://funmeta.oebiotech.com/network/690", "http://funmeta.oebiotech.com/network/690")</f>
      </c>
      <c r="I52" s="2" t="s">
        <v>437</v>
      </c>
      <c r="J52" s="2" t="s">
        <v>438</v>
      </c>
      <c r="K52" s="2" t="s">
        <v>439</v>
      </c>
      <c r="L52" s="2" t="s">
        <v>440</v>
      </c>
      <c r="M52" s="2" t="s">
        <v>441</v>
      </c>
      <c r="N52" s="2" t="s">
        <v>442</v>
      </c>
      <c r="O52" s="2" t="s">
        <v>443</v>
      </c>
      <c r="P52" s="2" t="s">
        <v>444</v>
      </c>
      <c r="Q52" s="2" t="s">
        <v>445</v>
      </c>
      <c r="R52" s="2" t="s">
        <v>49</v>
      </c>
      <c r="S52" s="2" t="s">
        <v>165</v>
      </c>
      <c r="T52" s="2" t="s">
        <v>446</v>
      </c>
      <c r="U52" s="2" t="s">
        <v>434</v>
      </c>
      <c r="V52" s="2" t="s">
        <v>24</v>
      </c>
      <c r="W52" s="2" t="s">
        <v>39</v>
      </c>
    </row>
    <row r="53">
      <c r="A53" s="2" t="n">
        <v>32</v>
      </c>
      <c r="B53" s="2" t="s">
        <v>10379</v>
      </c>
      <c r="C53" s="2" t="s">
        <v>447</v>
      </c>
      <c r="D53" s="2" t="n">
        <v>118.992564847</v>
      </c>
      <c r="E53" s="2" t="n">
        <v>9.29080743051666</v>
      </c>
      <c r="F53" s="2" t="s">
        <v>449</v>
      </c>
      <c r="G53" s="2" t="n">
        <v>210139</v>
      </c>
      <c r="H53" s="3" t="str">
        <f>HYPERLINK("http://funmeta.oebiotech.com/network/210139", "http://funmeta.oebiotech.com/network/210139")</f>
      </c>
      <c r="I53" s="2" t="s">
        <v>451</v>
      </c>
      <c r="J53" s="2"/>
      <c r="K53" s="2"/>
      <c r="L53" s="2"/>
      <c r="M53" s="2"/>
      <c r="N53" s="2"/>
      <c r="O53" s="2"/>
      <c r="P53" s="2" t="s">
        <v>452</v>
      </c>
      <c r="Q53" s="2" t="s">
        <v>453</v>
      </c>
      <c r="R53" s="2" t="s">
        <v>203</v>
      </c>
      <c r="S53" s="2" t="s">
        <v>204</v>
      </c>
      <c r="T53" s="2" t="s">
        <v>205</v>
      </c>
      <c r="U53" s="2" t="s">
        <v>448</v>
      </c>
      <c r="V53" s="2" t="s">
        <v>110</v>
      </c>
      <c r="W53" s="2"/>
    </row>
    <row r="54">
      <c r="A54" s="2" t="n">
        <v>33</v>
      </c>
      <c r="B54" s="2" t="s">
        <v>10380</v>
      </c>
      <c r="C54" s="2" t="s">
        <v>454</v>
      </c>
      <c r="D54" s="2" t="n">
        <v>119.036320148</v>
      </c>
      <c r="E54" s="2" t="n">
        <v>4.12809868367164</v>
      </c>
      <c r="F54" s="2" t="s">
        <v>456</v>
      </c>
      <c r="G54" s="2" t="n">
        <v>47540</v>
      </c>
      <c r="H54" s="3" t="str">
        <f>HYPERLINK("http://funmeta.oebiotech.com/network/47540", "http://funmeta.oebiotech.com/network/47540")</f>
      </c>
      <c r="I54" s="2" t="s">
        <v>458</v>
      </c>
      <c r="J54" s="2" t="s">
        <v>459</v>
      </c>
      <c r="K54" s="2"/>
      <c r="L54" s="2" t="s">
        <v>460</v>
      </c>
      <c r="M54" s="2" t="s">
        <v>461</v>
      </c>
      <c r="N54" s="2" t="s">
        <v>462</v>
      </c>
      <c r="O54" s="2" t="s">
        <v>463</v>
      </c>
      <c r="P54" s="2" t="s">
        <v>464</v>
      </c>
      <c r="Q54" s="2" t="s">
        <v>465</v>
      </c>
      <c r="R54" s="2" t="s">
        <v>355</v>
      </c>
      <c r="S54" s="2" t="s">
        <v>466</v>
      </c>
      <c r="T54" s="2" t="s">
        <v>467</v>
      </c>
      <c r="U54" s="2" t="s">
        <v>455</v>
      </c>
      <c r="V54" s="2" t="s">
        <v>110</v>
      </c>
      <c r="W54" s="2" t="s">
        <v>39</v>
      </c>
    </row>
    <row r="55">
      <c r="A55" s="2" t="n">
        <v>34</v>
      </c>
      <c r="B55" s="2" t="s">
        <v>10381</v>
      </c>
      <c r="C55" s="2" t="s">
        <v>468</v>
      </c>
      <c r="D55" s="2" t="n">
        <v>119.049688564</v>
      </c>
      <c r="E55" s="2" t="n">
        <v>1.34471214997012</v>
      </c>
      <c r="F55" s="2" t="s">
        <v>10382</v>
      </c>
      <c r="G55" s="2" t="n">
        <v>48273</v>
      </c>
      <c r="H55" s="3" t="str">
        <f>HYPERLINK("http://funmeta.oebiotech.com/network/48273", "http://funmeta.oebiotech.com/network/48273")</f>
      </c>
      <c r="I55" s="2" t="s">
        <v>10383</v>
      </c>
      <c r="J55" s="2" t="s">
        <v>10384</v>
      </c>
      <c r="K55" s="2"/>
      <c r="L55" s="2" t="s">
        <v>10385</v>
      </c>
      <c r="M55" s="2" t="s">
        <v>10386</v>
      </c>
      <c r="N55" s="2" t="s">
        <v>10387</v>
      </c>
      <c r="O55" s="2" t="s">
        <v>10388</v>
      </c>
      <c r="P55" s="2" t="s">
        <v>10389</v>
      </c>
      <c r="Q55" s="2" t="s">
        <v>10390</v>
      </c>
      <c r="R55" s="2" t="s">
        <v>502</v>
      </c>
      <c r="S55" s="2" t="s">
        <v>2369</v>
      </c>
      <c r="T55" s="2" t="s">
        <v>10391</v>
      </c>
      <c r="U55" s="2" t="s">
        <v>469</v>
      </c>
      <c r="V55" s="2" t="s">
        <v>42</v>
      </c>
      <c r="W55" s="2" t="s">
        <v>39</v>
      </c>
    </row>
    <row r="56">
      <c r="A56" s="2" t="n">
        <v>34</v>
      </c>
      <c r="B56" s="2" t="s">
        <v>10392</v>
      </c>
      <c r="C56" s="2" t="s">
        <v>468</v>
      </c>
      <c r="D56" s="2" t="n">
        <v>119.049688564</v>
      </c>
      <c r="E56" s="2" t="n">
        <v>1.34471214997012</v>
      </c>
      <c r="F56" s="2" t="s">
        <v>10393</v>
      </c>
      <c r="G56" s="2" t="n">
        <v>63400</v>
      </c>
      <c r="H56" s="3" t="str">
        <f>HYPERLINK("http://funmeta.oebiotech.com/network/63400", "http://funmeta.oebiotech.com/network/63400")</f>
      </c>
      <c r="I56" s="2" t="s">
        <v>10394</v>
      </c>
      <c r="J56" s="2" t="s">
        <v>10395</v>
      </c>
      <c r="K56" s="2"/>
      <c r="L56" s="2" t="s">
        <v>10396</v>
      </c>
      <c r="M56" s="2" t="s">
        <v>10397</v>
      </c>
      <c r="N56" s="2" t="s">
        <v>10398</v>
      </c>
      <c r="O56" s="2" t="s">
        <v>10399</v>
      </c>
      <c r="P56" s="2" t="s">
        <v>10400</v>
      </c>
      <c r="Q56" s="2" t="s">
        <v>10401</v>
      </c>
      <c r="R56" s="2" t="s">
        <v>502</v>
      </c>
      <c r="S56" s="2" t="s">
        <v>2369</v>
      </c>
      <c r="T56" s="2" t="s">
        <v>10402</v>
      </c>
      <c r="U56" s="2" t="s">
        <v>469</v>
      </c>
      <c r="V56" s="2" t="s">
        <v>42</v>
      </c>
      <c r="W56" s="2" t="s">
        <v>39</v>
      </c>
    </row>
    <row r="57">
      <c r="A57" s="2" t="n">
        <v>35</v>
      </c>
      <c r="B57" s="2" t="s">
        <v>10403</v>
      </c>
      <c r="C57" s="2" t="s">
        <v>483</v>
      </c>
      <c r="D57" s="2" t="n">
        <v>119.084217448</v>
      </c>
      <c r="E57" s="2" t="n">
        <v>13.2080576882214</v>
      </c>
      <c r="F57" s="2" t="s">
        <v>485</v>
      </c>
      <c r="G57" s="2" t="n">
        <v>83309</v>
      </c>
      <c r="H57" s="3" t="str">
        <f>HYPERLINK("http://funmeta.oebiotech.com/network/83309", "http://funmeta.oebiotech.com/network/83309")</f>
      </c>
      <c r="I57" s="2" t="s">
        <v>487</v>
      </c>
      <c r="J57" s="2"/>
      <c r="K57" s="2"/>
      <c r="L57" s="2"/>
      <c r="M57" s="2"/>
      <c r="N57" s="2" t="s">
        <v>488</v>
      </c>
      <c r="O57" s="2"/>
      <c r="P57" s="2" t="s">
        <v>489</v>
      </c>
      <c r="Q57" s="2" t="s">
        <v>490</v>
      </c>
      <c r="R57" s="2" t="s">
        <v>491</v>
      </c>
      <c r="S57" s="2" t="s">
        <v>492</v>
      </c>
      <c r="T57" s="2" t="s">
        <v>493</v>
      </c>
      <c r="U57" s="2" t="s">
        <v>484</v>
      </c>
      <c r="V57" s="2" t="s">
        <v>360</v>
      </c>
      <c r="W57" s="2"/>
    </row>
    <row r="58">
      <c r="A58" s="2" t="n">
        <v>36</v>
      </c>
      <c r="B58" s="2" t="s">
        <v>10404</v>
      </c>
      <c r="C58" s="2" t="s">
        <v>494</v>
      </c>
      <c r="D58" s="2" t="n">
        <v>121.016927373</v>
      </c>
      <c r="E58" s="2" t="n">
        <v>7.26004708745149</v>
      </c>
      <c r="F58" s="2" t="s">
        <v>496</v>
      </c>
      <c r="G58" s="2" t="n">
        <v>201062</v>
      </c>
      <c r="H58" s="3" t="str">
        <f>HYPERLINK("http://funmeta.oebiotech.com/network/201062", "http://funmeta.oebiotech.com/network/201062")</f>
      </c>
      <c r="I58" s="2" t="s">
        <v>498</v>
      </c>
      <c r="J58" s="2"/>
      <c r="K58" s="2"/>
      <c r="L58" s="2"/>
      <c r="M58" s="2"/>
      <c r="N58" s="2" t="s">
        <v>499</v>
      </c>
      <c r="O58" s="2"/>
      <c r="P58" s="2" t="s">
        <v>500</v>
      </c>
      <c r="Q58" s="2" t="s">
        <v>501</v>
      </c>
      <c r="R58" s="2" t="s">
        <v>502</v>
      </c>
      <c r="S58" s="2" t="s">
        <v>503</v>
      </c>
      <c r="T58" s="2" t="s">
        <v>504</v>
      </c>
      <c r="U58" s="2" t="s">
        <v>495</v>
      </c>
      <c r="V58" s="2" t="s">
        <v>110</v>
      </c>
      <c r="W58" s="2"/>
    </row>
    <row r="59">
      <c r="A59" s="2" t="n">
        <v>37</v>
      </c>
      <c r="B59" s="2" t="s">
        <v>10405</v>
      </c>
      <c r="C59" s="2" t="s">
        <v>505</v>
      </c>
      <c r="D59" s="2" t="n">
        <v>122.024752409</v>
      </c>
      <c r="E59" s="2" t="n">
        <v>4.18332504269331</v>
      </c>
      <c r="F59" s="2" t="s">
        <v>10406</v>
      </c>
      <c r="G59" s="2" t="n">
        <v>47609</v>
      </c>
      <c r="H59" s="3" t="str">
        <f>HYPERLINK("http://funmeta.oebiotech.com/network/47609", "http://funmeta.oebiotech.com/network/47609")</f>
      </c>
      <c r="I59" s="2" t="s">
        <v>10407</v>
      </c>
      <c r="J59" s="2" t="s">
        <v>10408</v>
      </c>
      <c r="K59" s="2"/>
      <c r="L59" s="2" t="s">
        <v>10409</v>
      </c>
      <c r="M59" s="2" t="s">
        <v>10410</v>
      </c>
      <c r="N59" s="2" t="s">
        <v>10411</v>
      </c>
      <c r="O59" s="2" t="s">
        <v>10412</v>
      </c>
      <c r="P59" s="2" t="s">
        <v>10413</v>
      </c>
      <c r="Q59" s="2" t="s">
        <v>10414</v>
      </c>
      <c r="R59" s="2" t="s">
        <v>355</v>
      </c>
      <c r="S59" s="2" t="s">
        <v>1316</v>
      </c>
      <c r="T59" s="2" t="s">
        <v>1317</v>
      </c>
      <c r="U59" s="2" t="s">
        <v>506</v>
      </c>
      <c r="V59" s="2" t="s">
        <v>110</v>
      </c>
      <c r="W59" s="2" t="s">
        <v>39</v>
      </c>
    </row>
    <row r="60">
      <c r="A60" s="2" t="n">
        <v>37</v>
      </c>
      <c r="B60" s="2" t="s">
        <v>10415</v>
      </c>
      <c r="C60" s="2" t="s">
        <v>505</v>
      </c>
      <c r="D60" s="2" t="n">
        <v>122.024752409</v>
      </c>
      <c r="E60" s="2" t="n">
        <v>4.18332504269331</v>
      </c>
      <c r="F60" s="2" t="s">
        <v>10416</v>
      </c>
      <c r="G60" s="2" t="n">
        <v>47876</v>
      </c>
      <c r="H60" s="3" t="str">
        <f>HYPERLINK("http://funmeta.oebiotech.com/network/47876", "http://funmeta.oebiotech.com/network/47876")</f>
      </c>
      <c r="I60" s="2" t="s">
        <v>10417</v>
      </c>
      <c r="J60" s="2" t="s">
        <v>10418</v>
      </c>
      <c r="K60" s="2"/>
      <c r="L60" s="2" t="s">
        <v>10419</v>
      </c>
      <c r="M60" s="2" t="s">
        <v>10420</v>
      </c>
      <c r="N60" s="2" t="s">
        <v>10421</v>
      </c>
      <c r="O60" s="2" t="s">
        <v>10422</v>
      </c>
      <c r="P60" s="2" t="s">
        <v>10423</v>
      </c>
      <c r="Q60" s="2" t="s">
        <v>10424</v>
      </c>
      <c r="R60" s="2" t="s">
        <v>355</v>
      </c>
      <c r="S60" s="2" t="s">
        <v>1316</v>
      </c>
      <c r="T60" s="2" t="s">
        <v>1317</v>
      </c>
      <c r="U60" s="2" t="s">
        <v>506</v>
      </c>
      <c r="V60" s="2" t="s">
        <v>110</v>
      </c>
      <c r="W60" s="2" t="s">
        <v>39</v>
      </c>
    </row>
    <row r="61">
      <c r="A61" s="2" t="n">
        <v>37</v>
      </c>
      <c r="B61" s="2" t="s">
        <v>10425</v>
      </c>
      <c r="C61" s="2" t="s">
        <v>505</v>
      </c>
      <c r="D61" s="2" t="n">
        <v>122.024752409</v>
      </c>
      <c r="E61" s="2" t="n">
        <v>4.18332504269331</v>
      </c>
      <c r="F61" s="2" t="s">
        <v>10426</v>
      </c>
      <c r="G61" s="2" t="n">
        <v>64960</v>
      </c>
      <c r="H61" s="3" t="str">
        <f>HYPERLINK("http://funmeta.oebiotech.com/network/64960", "http://funmeta.oebiotech.com/network/64960")</f>
      </c>
      <c r="I61" s="2" t="s">
        <v>10427</v>
      </c>
      <c r="J61" s="2" t="s">
        <v>10428</v>
      </c>
      <c r="K61" s="2"/>
      <c r="L61" s="2" t="s">
        <v>10429</v>
      </c>
      <c r="M61" s="2" t="s">
        <v>10430</v>
      </c>
      <c r="N61" s="2" t="s">
        <v>10431</v>
      </c>
      <c r="O61" s="2" t="s">
        <v>10432</v>
      </c>
      <c r="P61" s="2" t="s">
        <v>10433</v>
      </c>
      <c r="Q61" s="2" t="s">
        <v>10434</v>
      </c>
      <c r="R61" s="2" t="s">
        <v>502</v>
      </c>
      <c r="S61" s="2" t="s">
        <v>503</v>
      </c>
      <c r="T61" s="2" t="s">
        <v>504</v>
      </c>
      <c r="U61" s="2" t="s">
        <v>506</v>
      </c>
      <c r="V61" s="2" t="s">
        <v>110</v>
      </c>
      <c r="W61" s="2" t="s">
        <v>39</v>
      </c>
    </row>
    <row r="62">
      <c r="A62" s="2" t="n">
        <v>38</v>
      </c>
      <c r="B62" s="2" t="s">
        <v>10435</v>
      </c>
      <c r="C62" s="2" t="s">
        <v>520</v>
      </c>
      <c r="D62" s="2" t="n">
        <v>123.007912765</v>
      </c>
      <c r="E62" s="2" t="n">
        <v>10.470593796895</v>
      </c>
      <c r="F62" s="2" t="s">
        <v>523</v>
      </c>
      <c r="G62" s="2" t="n">
        <v>209617</v>
      </c>
      <c r="H62" s="3" t="str">
        <f>HYPERLINK("http://funmeta.oebiotech.com/network/209617", "http://funmeta.oebiotech.com/network/209617")</f>
      </c>
      <c r="I62" s="2" t="s">
        <v>525</v>
      </c>
      <c r="J62" s="2"/>
      <c r="K62" s="2"/>
      <c r="L62" s="2"/>
      <c r="M62" s="2"/>
      <c r="N62" s="2"/>
      <c r="O62" s="2"/>
      <c r="P62" s="2" t="s">
        <v>526</v>
      </c>
      <c r="Q62" s="2" t="s">
        <v>527</v>
      </c>
      <c r="R62" s="2" t="s">
        <v>36</v>
      </c>
      <c r="S62" s="2" t="s">
        <v>37</v>
      </c>
      <c r="T62" s="2" t="s">
        <v>528</v>
      </c>
      <c r="U62" s="2" t="s">
        <v>521</v>
      </c>
      <c r="V62" s="2" t="s">
        <v>522</v>
      </c>
      <c r="W62" s="2"/>
    </row>
    <row r="63">
      <c r="A63" s="2" t="n">
        <v>39</v>
      </c>
      <c r="B63" s="2" t="s">
        <v>10436</v>
      </c>
      <c r="C63" s="2" t="s">
        <v>529</v>
      </c>
      <c r="D63" s="2" t="n">
        <v>123.032573133</v>
      </c>
      <c r="E63" s="2" t="n">
        <v>12.4970775643768</v>
      </c>
      <c r="F63" s="2" t="s">
        <v>10437</v>
      </c>
      <c r="G63" s="2" t="n">
        <v>210746</v>
      </c>
      <c r="H63" s="3" t="str">
        <f>HYPERLINK("http://funmeta.oebiotech.com/network/210746", "http://funmeta.oebiotech.com/network/210746")</f>
      </c>
      <c r="I63" s="2" t="s">
        <v>10438</v>
      </c>
      <c r="J63" s="2"/>
      <c r="K63" s="2"/>
      <c r="L63" s="2"/>
      <c r="M63" s="2"/>
      <c r="N63" s="2" t="s">
        <v>10439</v>
      </c>
      <c r="O63" s="2"/>
      <c r="P63" s="2" t="s">
        <v>10440</v>
      </c>
      <c r="Q63" s="2" t="s">
        <v>10441</v>
      </c>
      <c r="R63" s="2" t="s">
        <v>355</v>
      </c>
      <c r="S63" s="2" t="s">
        <v>1316</v>
      </c>
      <c r="T63" s="2" t="s">
        <v>205</v>
      </c>
      <c r="U63" s="2" t="s">
        <v>530</v>
      </c>
      <c r="V63" s="2" t="s">
        <v>24</v>
      </c>
      <c r="W63" s="2"/>
    </row>
    <row r="64">
      <c r="A64" s="2" t="n">
        <v>39</v>
      </c>
      <c r="B64" s="2" t="s">
        <v>10442</v>
      </c>
      <c r="C64" s="2" t="s">
        <v>529</v>
      </c>
      <c r="D64" s="2" t="n">
        <v>123.032573133</v>
      </c>
      <c r="E64" s="2" t="n">
        <v>12.4970775643768</v>
      </c>
      <c r="F64" s="2" t="s">
        <v>10443</v>
      </c>
      <c r="G64" s="2" t="n">
        <v>201357</v>
      </c>
      <c r="H64" s="3" t="str">
        <f>HYPERLINK("http://funmeta.oebiotech.com/network/201357", "http://funmeta.oebiotech.com/network/201357")</f>
      </c>
      <c r="I64" s="2" t="s">
        <v>10444</v>
      </c>
      <c r="J64" s="2"/>
      <c r="K64" s="2"/>
      <c r="L64" s="2"/>
      <c r="M64" s="2"/>
      <c r="N64" s="2" t="s">
        <v>10445</v>
      </c>
      <c r="O64" s="2"/>
      <c r="P64" s="2" t="s">
        <v>10446</v>
      </c>
      <c r="Q64" s="2" t="s">
        <v>10447</v>
      </c>
      <c r="R64" s="2" t="s">
        <v>355</v>
      </c>
      <c r="S64" s="2" t="s">
        <v>1316</v>
      </c>
      <c r="T64" s="2" t="s">
        <v>205</v>
      </c>
      <c r="U64" s="2" t="s">
        <v>530</v>
      </c>
      <c r="V64" s="2" t="s">
        <v>24</v>
      </c>
      <c r="W64" s="2"/>
    </row>
    <row r="65">
      <c r="A65" s="2" t="n">
        <v>40</v>
      </c>
      <c r="B65" s="2" t="s">
        <v>10448</v>
      </c>
      <c r="C65" s="2" t="s">
        <v>539</v>
      </c>
      <c r="D65" s="2" t="n">
        <v>123.045149192</v>
      </c>
      <c r="E65" s="2" t="n">
        <v>4.49761659648737</v>
      </c>
      <c r="F65" s="2" t="s">
        <v>541</v>
      </c>
      <c r="G65" s="2" t="n">
        <v>47620</v>
      </c>
      <c r="H65" s="3" t="str">
        <f>HYPERLINK("http://funmeta.oebiotech.com/network/47620", "http://funmeta.oebiotech.com/network/47620")</f>
      </c>
      <c r="I65" s="2" t="s">
        <v>543</v>
      </c>
      <c r="J65" s="2" t="s">
        <v>544</v>
      </c>
      <c r="K65" s="2"/>
      <c r="L65" s="2" t="s">
        <v>545</v>
      </c>
      <c r="M65" s="2" t="s">
        <v>546</v>
      </c>
      <c r="N65" s="2" t="s">
        <v>547</v>
      </c>
      <c r="O65" s="2" t="s">
        <v>548</v>
      </c>
      <c r="P65" s="2" t="s">
        <v>549</v>
      </c>
      <c r="Q65" s="2" t="s">
        <v>550</v>
      </c>
      <c r="R65" s="2" t="s">
        <v>502</v>
      </c>
      <c r="S65" s="2" t="s">
        <v>503</v>
      </c>
      <c r="T65" s="2" t="s">
        <v>205</v>
      </c>
      <c r="U65" s="2" t="s">
        <v>540</v>
      </c>
      <c r="V65" s="2" t="s">
        <v>24</v>
      </c>
      <c r="W65" s="2" t="s">
        <v>39</v>
      </c>
    </row>
    <row r="66">
      <c r="A66" s="2" t="n">
        <v>41</v>
      </c>
      <c r="B66" s="2" t="s">
        <v>10449</v>
      </c>
      <c r="C66" s="2" t="s">
        <v>551</v>
      </c>
      <c r="D66" s="2" t="n">
        <v>125.012329441</v>
      </c>
      <c r="E66" s="2" t="n">
        <v>17.3470804938556</v>
      </c>
      <c r="F66" s="2" t="s">
        <v>10450</v>
      </c>
      <c r="G66" s="2" t="n">
        <v>206028</v>
      </c>
      <c r="H66" s="3" t="str">
        <f>HYPERLINK("http://funmeta.oebiotech.com/network/206028", "http://funmeta.oebiotech.com/network/206028")</f>
      </c>
      <c r="I66" s="2" t="s">
        <v>10451</v>
      </c>
      <c r="J66" s="2"/>
      <c r="K66" s="2"/>
      <c r="L66" s="2"/>
      <c r="M66" s="2"/>
      <c r="N66" s="2" t="s">
        <v>10452</v>
      </c>
      <c r="O66" s="2"/>
      <c r="P66" s="2" t="s">
        <v>10453</v>
      </c>
      <c r="Q66" s="2" t="s">
        <v>10454</v>
      </c>
      <c r="R66" s="2" t="s">
        <v>10455</v>
      </c>
      <c r="S66" s="2" t="s">
        <v>10456</v>
      </c>
      <c r="T66" s="2" t="s">
        <v>10457</v>
      </c>
      <c r="U66" s="2" t="s">
        <v>552</v>
      </c>
      <c r="V66" s="2" t="s">
        <v>522</v>
      </c>
      <c r="W66" s="2"/>
    </row>
    <row r="67">
      <c r="A67" s="2" t="n">
        <v>41</v>
      </c>
      <c r="B67" s="2" t="s">
        <v>10458</v>
      </c>
      <c r="C67" s="2" t="s">
        <v>551</v>
      </c>
      <c r="D67" s="2" t="n">
        <v>125.012329441</v>
      </c>
      <c r="E67" s="2" t="n">
        <v>17.3470804938556</v>
      </c>
      <c r="F67" s="2" t="s">
        <v>10459</v>
      </c>
      <c r="G67" s="2" t="n">
        <v>208713</v>
      </c>
      <c r="H67" s="3" t="str">
        <f>HYPERLINK("http://funmeta.oebiotech.com/network/208713", "http://funmeta.oebiotech.com/network/208713")</f>
      </c>
      <c r="I67" s="2" t="s">
        <v>10460</v>
      </c>
      <c r="J67" s="2"/>
      <c r="K67" s="2"/>
      <c r="L67" s="2"/>
      <c r="M67" s="2"/>
      <c r="N67" s="2" t="s">
        <v>10461</v>
      </c>
      <c r="O67" s="2"/>
      <c r="P67" s="2" t="s">
        <v>10462</v>
      </c>
      <c r="Q67" s="2" t="s">
        <v>10463</v>
      </c>
      <c r="R67" s="2" t="s">
        <v>10455</v>
      </c>
      <c r="S67" s="2" t="s">
        <v>10456</v>
      </c>
      <c r="T67" s="2" t="s">
        <v>10464</v>
      </c>
      <c r="U67" s="2" t="s">
        <v>552</v>
      </c>
      <c r="V67" s="2" t="s">
        <v>522</v>
      </c>
      <c r="W67" s="2"/>
    </row>
    <row r="68">
      <c r="A68" s="2" t="n">
        <v>42</v>
      </c>
      <c r="B68" s="2" t="s">
        <v>10465</v>
      </c>
      <c r="C68" s="2" t="s">
        <v>562</v>
      </c>
      <c r="D68" s="2" t="n">
        <v>125.096638756</v>
      </c>
      <c r="E68" s="2" t="n">
        <v>9.19809879885202</v>
      </c>
      <c r="F68" s="2" t="s">
        <v>10466</v>
      </c>
      <c r="G68" s="2" t="n">
        <v>361</v>
      </c>
      <c r="H68" s="3" t="str">
        <f>HYPERLINK("http://funmeta.oebiotech.com/network/361", "http://funmeta.oebiotech.com/network/361")</f>
      </c>
      <c r="I68" s="2" t="s">
        <v>10467</v>
      </c>
      <c r="J68" s="2" t="s">
        <v>10468</v>
      </c>
      <c r="K68" s="2" t="s">
        <v>10469</v>
      </c>
      <c r="L68" s="2" t="s">
        <v>10470</v>
      </c>
      <c r="M68" s="2" t="s">
        <v>10471</v>
      </c>
      <c r="N68" s="2" t="s">
        <v>10472</v>
      </c>
      <c r="O68" s="2" t="s">
        <v>10473</v>
      </c>
      <c r="P68" s="2" t="s">
        <v>10474</v>
      </c>
      <c r="Q68" s="2" t="s">
        <v>10475</v>
      </c>
      <c r="R68" s="2" t="s">
        <v>1490</v>
      </c>
      <c r="S68" s="2" t="s">
        <v>1491</v>
      </c>
      <c r="T68" s="2" t="s">
        <v>1492</v>
      </c>
      <c r="U68" s="2" t="s">
        <v>563</v>
      </c>
      <c r="V68" s="2" t="s">
        <v>42</v>
      </c>
      <c r="W68" s="2" t="s">
        <v>39</v>
      </c>
    </row>
    <row r="69">
      <c r="A69" s="2" t="n">
        <v>42</v>
      </c>
      <c r="B69" s="2" t="s">
        <v>10476</v>
      </c>
      <c r="C69" s="2" t="s">
        <v>562</v>
      </c>
      <c r="D69" s="2" t="n">
        <v>125.096638756</v>
      </c>
      <c r="E69" s="2" t="n">
        <v>9.19809879885202</v>
      </c>
      <c r="F69" s="2" t="s">
        <v>10477</v>
      </c>
      <c r="G69" s="2" t="n">
        <v>55</v>
      </c>
      <c r="H69" s="3" t="str">
        <f>HYPERLINK("http://funmeta.oebiotech.com/network/55", "http://funmeta.oebiotech.com/network/55")</f>
      </c>
      <c r="I69" s="2" t="s">
        <v>10478</v>
      </c>
      <c r="J69" s="2" t="s">
        <v>10479</v>
      </c>
      <c r="K69" s="2" t="s">
        <v>10480</v>
      </c>
      <c r="L69" s="2" t="s">
        <v>10481</v>
      </c>
      <c r="M69" s="2" t="s">
        <v>10482</v>
      </c>
      <c r="N69" s="2" t="s">
        <v>10483</v>
      </c>
      <c r="O69" s="2" t="s">
        <v>10484</v>
      </c>
      <c r="P69" s="2" t="s">
        <v>10485</v>
      </c>
      <c r="Q69" s="2" t="s">
        <v>10486</v>
      </c>
      <c r="R69" s="2" t="s">
        <v>1490</v>
      </c>
      <c r="S69" s="2" t="s">
        <v>1491</v>
      </c>
      <c r="T69" s="2" t="s">
        <v>1492</v>
      </c>
      <c r="U69" s="2" t="s">
        <v>563</v>
      </c>
      <c r="V69" s="2" t="s">
        <v>42</v>
      </c>
      <c r="W69" s="2" t="s">
        <v>39</v>
      </c>
    </row>
    <row r="70">
      <c r="A70" s="2" t="n">
        <v>43</v>
      </c>
      <c r="B70" s="2" t="s">
        <v>10487</v>
      </c>
      <c r="C70" s="2" t="s">
        <v>578</v>
      </c>
      <c r="D70" s="2" t="n">
        <v>126.985924062</v>
      </c>
      <c r="E70" s="2" t="n">
        <v>16.3518092772132</v>
      </c>
      <c r="F70" s="2" t="s">
        <v>580</v>
      </c>
      <c r="G70" s="2" t="n">
        <v>212452</v>
      </c>
      <c r="H70" s="3" t="str">
        <f>HYPERLINK("http://funmeta.oebiotech.com/network/212452", "http://funmeta.oebiotech.com/network/212452")</f>
      </c>
      <c r="I70" s="2" t="s">
        <v>582</v>
      </c>
      <c r="J70" s="2" t="s">
        <v>583</v>
      </c>
      <c r="K70" s="2"/>
      <c r="L70" s="2"/>
      <c r="M70" s="2" t="s">
        <v>584</v>
      </c>
      <c r="N70" s="2" t="s">
        <v>585</v>
      </c>
      <c r="O70" s="2"/>
      <c r="P70" s="2" t="s">
        <v>586</v>
      </c>
      <c r="Q70" s="2" t="s">
        <v>587</v>
      </c>
      <c r="R70" s="2" t="s">
        <v>355</v>
      </c>
      <c r="S70" s="2" t="s">
        <v>588</v>
      </c>
      <c r="T70" s="2" t="s">
        <v>589</v>
      </c>
      <c r="U70" s="2" t="s">
        <v>579</v>
      </c>
      <c r="V70" s="2" t="s">
        <v>110</v>
      </c>
      <c r="W70" s="2"/>
    </row>
    <row r="71">
      <c r="A71" s="2" t="n">
        <v>44</v>
      </c>
      <c r="B71" s="2" t="s">
        <v>10488</v>
      </c>
      <c r="C71" s="2" t="s">
        <v>590</v>
      </c>
      <c r="D71" s="2" t="n">
        <v>127.001233521</v>
      </c>
      <c r="E71" s="2" t="n">
        <v>5.33565120397556</v>
      </c>
      <c r="F71" s="2" t="s">
        <v>592</v>
      </c>
      <c r="G71" s="2" t="n">
        <v>212607</v>
      </c>
      <c r="H71" s="3" t="str">
        <f>HYPERLINK("http://funmeta.oebiotech.com/network/212607", "http://funmeta.oebiotech.com/network/212607")</f>
      </c>
      <c r="I71" s="2" t="s">
        <v>594</v>
      </c>
      <c r="J71" s="2" t="s">
        <v>595</v>
      </c>
      <c r="K71" s="2"/>
      <c r="L71" s="2"/>
      <c r="M71" s="2"/>
      <c r="N71" s="2" t="s">
        <v>596</v>
      </c>
      <c r="O71" s="2"/>
      <c r="P71" s="2" t="s">
        <v>597</v>
      </c>
      <c r="Q71" s="2" t="s">
        <v>598</v>
      </c>
      <c r="R71" s="2" t="s">
        <v>203</v>
      </c>
      <c r="S71" s="2" t="s">
        <v>599</v>
      </c>
      <c r="T71" s="2" t="s">
        <v>600</v>
      </c>
      <c r="U71" s="2" t="s">
        <v>591</v>
      </c>
      <c r="V71" s="2" t="s">
        <v>24</v>
      </c>
      <c r="W71" s="2"/>
    </row>
    <row r="72">
      <c r="A72" s="2" t="n">
        <v>45</v>
      </c>
      <c r="B72" s="2" t="s">
        <v>10489</v>
      </c>
      <c r="C72" s="2" t="s">
        <v>601</v>
      </c>
      <c r="D72" s="2" t="n">
        <v>127.076453626</v>
      </c>
      <c r="E72" s="2" t="n">
        <v>9.16304462950573</v>
      </c>
      <c r="F72" s="2" t="s">
        <v>10490</v>
      </c>
      <c r="G72" s="2" t="n">
        <v>204417</v>
      </c>
      <c r="H72" s="3" t="str">
        <f>HYPERLINK("http://funmeta.oebiotech.com/network/204417", "http://funmeta.oebiotech.com/network/204417")</f>
      </c>
      <c r="I72" s="2" t="s">
        <v>10491</v>
      </c>
      <c r="J72" s="2" t="s">
        <v>10492</v>
      </c>
      <c r="K72" s="2"/>
      <c r="L72" s="2" t="s">
        <v>10493</v>
      </c>
      <c r="M72" s="2" t="s">
        <v>10494</v>
      </c>
      <c r="N72" s="2" t="s">
        <v>10495</v>
      </c>
      <c r="O72" s="2" t="s">
        <v>10496</v>
      </c>
      <c r="P72" s="2" t="s">
        <v>10497</v>
      </c>
      <c r="Q72" s="2" t="s">
        <v>10498</v>
      </c>
      <c r="R72" s="2" t="s">
        <v>49</v>
      </c>
      <c r="S72" s="2" t="s">
        <v>165</v>
      </c>
      <c r="T72" s="2" t="s">
        <v>446</v>
      </c>
      <c r="U72" s="2" t="s">
        <v>602</v>
      </c>
      <c r="V72" s="2" t="s">
        <v>110</v>
      </c>
      <c r="W72" s="2" t="s">
        <v>39</v>
      </c>
    </row>
    <row r="73">
      <c r="A73" s="2" t="n">
        <v>45</v>
      </c>
      <c r="B73" s="2" t="s">
        <v>10499</v>
      </c>
      <c r="C73" s="2" t="s">
        <v>601</v>
      </c>
      <c r="D73" s="2" t="n">
        <v>127.076453628</v>
      </c>
      <c r="E73" s="2" t="n">
        <v>9.16304462950573</v>
      </c>
      <c r="F73" s="2" t="s">
        <v>10500</v>
      </c>
      <c r="G73" s="2" t="n">
        <v>55916</v>
      </c>
      <c r="H73" s="3" t="str">
        <f>HYPERLINK("http://funmeta.oebiotech.com/network/55916", "http://funmeta.oebiotech.com/network/55916")</f>
      </c>
      <c r="I73" s="2" t="s">
        <v>10501</v>
      </c>
      <c r="J73" s="2" t="s">
        <v>10502</v>
      </c>
      <c r="K73" s="2"/>
      <c r="L73" s="2" t="s">
        <v>10503</v>
      </c>
      <c r="M73" s="2" t="s">
        <v>10504</v>
      </c>
      <c r="N73" s="2" t="s">
        <v>10505</v>
      </c>
      <c r="O73" s="2" t="s">
        <v>10506</v>
      </c>
      <c r="P73" s="2" t="s">
        <v>10507</v>
      </c>
      <c r="Q73" s="2" t="s">
        <v>10508</v>
      </c>
      <c r="R73" s="2" t="s">
        <v>49</v>
      </c>
      <c r="S73" s="2" t="s">
        <v>165</v>
      </c>
      <c r="T73" s="2" t="s">
        <v>10223</v>
      </c>
      <c r="U73" s="2" t="s">
        <v>602</v>
      </c>
      <c r="V73" s="2" t="s">
        <v>110</v>
      </c>
      <c r="W73" s="2" t="s">
        <v>39</v>
      </c>
    </row>
    <row r="74">
      <c r="A74" s="2" t="n">
        <v>45</v>
      </c>
      <c r="B74" s="2" t="s">
        <v>10509</v>
      </c>
      <c r="C74" s="2" t="s">
        <v>601</v>
      </c>
      <c r="D74" s="2" t="n">
        <v>127.076453628</v>
      </c>
      <c r="E74" s="2" t="n">
        <v>9.16304462950573</v>
      </c>
      <c r="F74" s="2" t="s">
        <v>10510</v>
      </c>
      <c r="G74" s="2" t="n">
        <v>7550</v>
      </c>
      <c r="H74" s="3" t="str">
        <f>HYPERLINK("http://funmeta.oebiotech.com/network/7550", "http://funmeta.oebiotech.com/network/7550")</f>
      </c>
      <c r="I74" s="2" t="s">
        <v>10511</v>
      </c>
      <c r="J74" s="2" t="s">
        <v>10512</v>
      </c>
      <c r="K74" s="2" t="s">
        <v>10513</v>
      </c>
      <c r="L74" s="2" t="s">
        <v>10514</v>
      </c>
      <c r="M74" s="2"/>
      <c r="N74" s="2" t="s">
        <v>10515</v>
      </c>
      <c r="O74" s="2" t="s">
        <v>10516</v>
      </c>
      <c r="P74" s="2" t="s">
        <v>10517</v>
      </c>
      <c r="Q74" s="2" t="s">
        <v>10518</v>
      </c>
      <c r="R74" s="2" t="s">
        <v>1490</v>
      </c>
      <c r="S74" s="2" t="s">
        <v>1491</v>
      </c>
      <c r="T74" s="2" t="s">
        <v>3884</v>
      </c>
      <c r="U74" s="2" t="s">
        <v>602</v>
      </c>
      <c r="V74" s="2" t="s">
        <v>110</v>
      </c>
      <c r="W74" s="2" t="s">
        <v>39</v>
      </c>
    </row>
    <row r="75">
      <c r="A75" s="2" t="n">
        <v>46</v>
      </c>
      <c r="B75" s="2" t="s">
        <v>10519</v>
      </c>
      <c r="C75" s="2" t="s">
        <v>617</v>
      </c>
      <c r="D75" s="2" t="n">
        <v>127.9884585</v>
      </c>
      <c r="E75" s="2" t="n">
        <v>4.8624194151901</v>
      </c>
      <c r="F75" s="2" t="s">
        <v>619</v>
      </c>
      <c r="G75" s="2" t="n">
        <v>201233</v>
      </c>
      <c r="H75" s="3" t="str">
        <f>HYPERLINK("http://funmeta.oebiotech.com/network/201233", "http://funmeta.oebiotech.com/network/201233")</f>
      </c>
      <c r="I75" s="2" t="s">
        <v>621</v>
      </c>
      <c r="J75" s="2"/>
      <c r="K75" s="2"/>
      <c r="L75" s="2"/>
      <c r="M75" s="2"/>
      <c r="N75" s="2" t="s">
        <v>622</v>
      </c>
      <c r="O75" s="2"/>
      <c r="P75" s="2" t="s">
        <v>623</v>
      </c>
      <c r="Q75" s="2" t="s">
        <v>624</v>
      </c>
      <c r="R75" s="2" t="s">
        <v>49</v>
      </c>
      <c r="S75" s="2" t="s">
        <v>165</v>
      </c>
      <c r="T75" s="2" t="s">
        <v>625</v>
      </c>
      <c r="U75" s="2" t="s">
        <v>618</v>
      </c>
      <c r="V75" s="2" t="s">
        <v>360</v>
      </c>
      <c r="W75" s="2"/>
    </row>
    <row r="76">
      <c r="A76" s="2" t="n">
        <v>47</v>
      </c>
      <c r="B76" s="2" t="s">
        <v>10520</v>
      </c>
      <c r="C76" s="2" t="s">
        <v>626</v>
      </c>
      <c r="D76" s="2" t="n">
        <v>128.960493572</v>
      </c>
      <c r="E76" s="2" t="n">
        <v>6.02383512885239</v>
      </c>
      <c r="F76" s="2" t="s">
        <v>628</v>
      </c>
      <c r="G76" s="2" t="n">
        <v>48635</v>
      </c>
      <c r="H76" s="3" t="str">
        <f>HYPERLINK("http://funmeta.oebiotech.com/network/48635", "http://funmeta.oebiotech.com/network/48635")</f>
      </c>
      <c r="I76" s="2" t="s">
        <v>630</v>
      </c>
      <c r="J76" s="2" t="s">
        <v>631</v>
      </c>
      <c r="K76" s="2"/>
      <c r="L76" s="2" t="s">
        <v>632</v>
      </c>
      <c r="M76" s="2" t="s">
        <v>633</v>
      </c>
      <c r="N76" s="2" t="s">
        <v>634</v>
      </c>
      <c r="O76" s="2" t="s">
        <v>635</v>
      </c>
      <c r="P76" s="2" t="s">
        <v>636</v>
      </c>
      <c r="Q76" s="2" t="s">
        <v>637</v>
      </c>
      <c r="R76" s="2" t="s">
        <v>638</v>
      </c>
      <c r="S76" s="2" t="s">
        <v>639</v>
      </c>
      <c r="T76" s="2" t="s">
        <v>640</v>
      </c>
      <c r="U76" s="2" t="s">
        <v>627</v>
      </c>
      <c r="V76" s="2" t="s">
        <v>522</v>
      </c>
      <c r="W76" s="2" t="s">
        <v>39</v>
      </c>
    </row>
    <row r="77">
      <c r="A77" s="2" t="n">
        <v>48</v>
      </c>
      <c r="B77" s="2" t="s">
        <v>10521</v>
      </c>
      <c r="C77" s="2" t="s">
        <v>641</v>
      </c>
      <c r="D77" s="2" t="n">
        <v>128.983815572</v>
      </c>
      <c r="E77" s="2" t="n">
        <v>16.391608283817</v>
      </c>
      <c r="F77" s="2" t="s">
        <v>10522</v>
      </c>
      <c r="G77" s="2" t="n">
        <v>56318</v>
      </c>
      <c r="H77" s="3" t="str">
        <f>HYPERLINK("http://funmeta.oebiotech.com/network/56318", "http://funmeta.oebiotech.com/network/56318")</f>
      </c>
      <c r="I77" s="2" t="s">
        <v>10523</v>
      </c>
      <c r="J77" s="2" t="s">
        <v>10524</v>
      </c>
      <c r="K77" s="2"/>
      <c r="L77" s="2"/>
      <c r="M77" s="2"/>
      <c r="N77" s="2" t="s">
        <v>10525</v>
      </c>
      <c r="O77" s="2" t="s">
        <v>10526</v>
      </c>
      <c r="P77" s="2" t="s">
        <v>10527</v>
      </c>
      <c r="Q77" s="2" t="s">
        <v>10528</v>
      </c>
      <c r="R77" s="2" t="s">
        <v>355</v>
      </c>
      <c r="S77" s="2" t="s">
        <v>1713</v>
      </c>
      <c r="T77" s="2" t="s">
        <v>205</v>
      </c>
      <c r="U77" s="2" t="s">
        <v>642</v>
      </c>
      <c r="V77" s="2" t="s">
        <v>110</v>
      </c>
      <c r="W77" s="2"/>
    </row>
    <row r="78">
      <c r="A78" s="2" t="n">
        <v>48</v>
      </c>
      <c r="B78" s="2" t="s">
        <v>10529</v>
      </c>
      <c r="C78" s="2" t="s">
        <v>641</v>
      </c>
      <c r="D78" s="2" t="n">
        <v>128.983815572</v>
      </c>
      <c r="E78" s="2" t="n">
        <v>16.391608283817</v>
      </c>
      <c r="F78" s="2" t="s">
        <v>10530</v>
      </c>
      <c r="G78" s="2" t="n">
        <v>57202</v>
      </c>
      <c r="H78" s="3" t="str">
        <f>HYPERLINK("http://funmeta.oebiotech.com/network/57202", "http://funmeta.oebiotech.com/network/57202")</f>
      </c>
      <c r="I78" s="2" t="s">
        <v>10531</v>
      </c>
      <c r="J78" s="2" t="s">
        <v>10532</v>
      </c>
      <c r="K78" s="2"/>
      <c r="L78" s="2"/>
      <c r="M78" s="2"/>
      <c r="N78" s="2" t="s">
        <v>10533</v>
      </c>
      <c r="O78" s="2" t="s">
        <v>10534</v>
      </c>
      <c r="P78" s="2" t="s">
        <v>10535</v>
      </c>
      <c r="Q78" s="2" t="s">
        <v>10536</v>
      </c>
      <c r="R78" s="2" t="s">
        <v>638</v>
      </c>
      <c r="S78" s="2" t="s">
        <v>3092</v>
      </c>
      <c r="T78" s="2" t="s">
        <v>3093</v>
      </c>
      <c r="U78" s="2" t="s">
        <v>642</v>
      </c>
      <c r="V78" s="2" t="s">
        <v>110</v>
      </c>
      <c r="W78" s="2"/>
    </row>
    <row r="79">
      <c r="A79" s="2" t="n">
        <v>48</v>
      </c>
      <c r="B79" s="2" t="s">
        <v>10537</v>
      </c>
      <c r="C79" s="2" t="s">
        <v>641</v>
      </c>
      <c r="D79" s="2" t="n">
        <v>128.983815572</v>
      </c>
      <c r="E79" s="2" t="n">
        <v>16.391608283817</v>
      </c>
      <c r="F79" s="2" t="s">
        <v>10538</v>
      </c>
      <c r="G79" s="2" t="n">
        <v>63038</v>
      </c>
      <c r="H79" s="3" t="str">
        <f>HYPERLINK("http://funmeta.oebiotech.com/network/63038", "http://funmeta.oebiotech.com/network/63038")</f>
      </c>
      <c r="I79" s="2" t="s">
        <v>10539</v>
      </c>
      <c r="J79" s="2" t="s">
        <v>10540</v>
      </c>
      <c r="K79" s="2"/>
      <c r="L79" s="2"/>
      <c r="M79" s="2"/>
      <c r="N79" s="2" t="s">
        <v>10541</v>
      </c>
      <c r="O79" s="2" t="s">
        <v>10542</v>
      </c>
      <c r="P79" s="2" t="s">
        <v>10543</v>
      </c>
      <c r="Q79" s="2" t="s">
        <v>10544</v>
      </c>
      <c r="R79" s="2" t="s">
        <v>355</v>
      </c>
      <c r="S79" s="2" t="s">
        <v>1713</v>
      </c>
      <c r="T79" s="2" t="s">
        <v>205</v>
      </c>
      <c r="U79" s="2" t="s">
        <v>642</v>
      </c>
      <c r="V79" s="2" t="s">
        <v>110</v>
      </c>
      <c r="W79" s="2"/>
    </row>
    <row r="80">
      <c r="A80" s="2" t="n">
        <v>49</v>
      </c>
      <c r="B80" s="2" t="s">
        <v>10545</v>
      </c>
      <c r="C80" s="2" t="s">
        <v>654</v>
      </c>
      <c r="D80" s="2" t="n">
        <v>129.01933268</v>
      </c>
      <c r="E80" s="2" t="n">
        <v>8.85745640445836</v>
      </c>
      <c r="F80" s="2" t="s">
        <v>10546</v>
      </c>
      <c r="G80" s="2" t="n">
        <v>2875</v>
      </c>
      <c r="H80" s="3" t="str">
        <f>HYPERLINK("http://funmeta.oebiotech.com/network/2875", "http://funmeta.oebiotech.com/network/2875")</f>
      </c>
      <c r="I80" s="2" t="s">
        <v>10547</v>
      </c>
      <c r="J80" s="2" t="s">
        <v>10548</v>
      </c>
      <c r="K80" s="2" t="s">
        <v>10549</v>
      </c>
      <c r="L80" s="2" t="s">
        <v>10550</v>
      </c>
      <c r="M80" s="2" t="s">
        <v>10551</v>
      </c>
      <c r="N80" s="2" t="s">
        <v>10552</v>
      </c>
      <c r="O80" s="2" t="s">
        <v>10553</v>
      </c>
      <c r="P80" s="2" t="s">
        <v>10554</v>
      </c>
      <c r="Q80" s="2" t="s">
        <v>10555</v>
      </c>
      <c r="R80" s="2" t="s">
        <v>1490</v>
      </c>
      <c r="S80" s="2" t="s">
        <v>1491</v>
      </c>
      <c r="T80" s="2" t="s">
        <v>1492</v>
      </c>
      <c r="U80" s="2" t="s">
        <v>655</v>
      </c>
      <c r="V80" s="2" t="s">
        <v>110</v>
      </c>
      <c r="W80" s="2" t="s">
        <v>39</v>
      </c>
    </row>
    <row r="81">
      <c r="A81" s="2" t="n">
        <v>49</v>
      </c>
      <c r="B81" s="2" t="s">
        <v>10556</v>
      </c>
      <c r="C81" s="2" t="s">
        <v>654</v>
      </c>
      <c r="D81" s="2" t="n">
        <v>129.01933268</v>
      </c>
      <c r="E81" s="2" t="n">
        <v>8.85745640445836</v>
      </c>
      <c r="F81" s="2" t="s">
        <v>10557</v>
      </c>
      <c r="G81" s="2" t="n">
        <v>2909</v>
      </c>
      <c r="H81" s="3" t="str">
        <f>HYPERLINK("http://funmeta.oebiotech.com/network/2909", "http://funmeta.oebiotech.com/network/2909")</f>
      </c>
      <c r="I81" s="2" t="s">
        <v>10558</v>
      </c>
      <c r="J81" s="2" t="s">
        <v>10559</v>
      </c>
      <c r="K81" s="2" t="s">
        <v>10560</v>
      </c>
      <c r="L81" s="2" t="s">
        <v>10561</v>
      </c>
      <c r="M81" s="2" t="s">
        <v>10562</v>
      </c>
      <c r="N81" s="2" t="s">
        <v>10563</v>
      </c>
      <c r="O81" s="2" t="s">
        <v>10564</v>
      </c>
      <c r="P81" s="2" t="s">
        <v>10565</v>
      </c>
      <c r="Q81" s="2" t="s">
        <v>10566</v>
      </c>
      <c r="R81" s="2" t="s">
        <v>1490</v>
      </c>
      <c r="S81" s="2" t="s">
        <v>1491</v>
      </c>
      <c r="T81" s="2" t="s">
        <v>1492</v>
      </c>
      <c r="U81" s="2" t="s">
        <v>655</v>
      </c>
      <c r="V81" s="2" t="s">
        <v>110</v>
      </c>
      <c r="W81" s="2" t="s">
        <v>39</v>
      </c>
    </row>
    <row r="82">
      <c r="A82" s="2" t="n">
        <v>50</v>
      </c>
      <c r="B82" s="2" t="s">
        <v>10567</v>
      </c>
      <c r="C82" s="2" t="s">
        <v>667</v>
      </c>
      <c r="D82" s="2" t="n">
        <v>130.086802351</v>
      </c>
      <c r="E82" s="2" t="n">
        <v>2.36867080728647</v>
      </c>
      <c r="F82" s="2" t="s">
        <v>669</v>
      </c>
      <c r="G82" s="2" t="n">
        <v>56835</v>
      </c>
      <c r="H82" s="3" t="str">
        <f>HYPERLINK("http://funmeta.oebiotech.com/network/56835", "http://funmeta.oebiotech.com/network/56835")</f>
      </c>
      <c r="I82" s="2" t="s">
        <v>671</v>
      </c>
      <c r="J82" s="2" t="s">
        <v>672</v>
      </c>
      <c r="K82" s="2"/>
      <c r="L82" s="2" t="s">
        <v>673</v>
      </c>
      <c r="M82" s="2" t="s">
        <v>674</v>
      </c>
      <c r="N82" s="2" t="s">
        <v>675</v>
      </c>
      <c r="O82" s="2" t="s">
        <v>676</v>
      </c>
      <c r="P82" s="2" t="s">
        <v>677</v>
      </c>
      <c r="Q82" s="2" t="s">
        <v>678</v>
      </c>
      <c r="R82" s="2" t="s">
        <v>36</v>
      </c>
      <c r="S82" s="2" t="s">
        <v>37</v>
      </c>
      <c r="T82" s="2" t="s">
        <v>679</v>
      </c>
      <c r="U82" s="2" t="s">
        <v>668</v>
      </c>
      <c r="V82" s="2" t="s">
        <v>42</v>
      </c>
      <c r="W82" s="2" t="s">
        <v>39</v>
      </c>
    </row>
    <row r="83">
      <c r="A83" s="2" t="n">
        <v>51</v>
      </c>
      <c r="B83" s="2" t="s">
        <v>10568</v>
      </c>
      <c r="C83" s="2" t="s">
        <v>680</v>
      </c>
      <c r="D83" s="2" t="n">
        <v>130.996148141</v>
      </c>
      <c r="E83" s="2" t="n">
        <v>0.342040189762709</v>
      </c>
      <c r="F83" s="2" t="s">
        <v>682</v>
      </c>
      <c r="G83" s="2" t="n">
        <v>212609</v>
      </c>
      <c r="H83" s="3" t="str">
        <f>HYPERLINK("http://funmeta.oebiotech.com/network/212609", "http://funmeta.oebiotech.com/network/212609")</f>
      </c>
      <c r="I83" s="2" t="s">
        <v>684</v>
      </c>
      <c r="J83" s="2" t="s">
        <v>685</v>
      </c>
      <c r="K83" s="2"/>
      <c r="L83" s="2"/>
      <c r="M83" s="2"/>
      <c r="N83" s="2" t="s">
        <v>686</v>
      </c>
      <c r="O83" s="2"/>
      <c r="P83" s="2" t="s">
        <v>687</v>
      </c>
      <c r="Q83" s="2" t="s">
        <v>688</v>
      </c>
      <c r="R83" s="2" t="s">
        <v>203</v>
      </c>
      <c r="S83" s="2" t="s">
        <v>689</v>
      </c>
      <c r="T83" s="2" t="s">
        <v>690</v>
      </c>
      <c r="U83" s="2" t="s">
        <v>681</v>
      </c>
      <c r="V83" s="2" t="s">
        <v>24</v>
      </c>
      <c r="W83" s="2"/>
    </row>
    <row r="84">
      <c r="A84" s="2" t="n">
        <v>52</v>
      </c>
      <c r="B84" s="2" t="s">
        <v>10569</v>
      </c>
      <c r="C84" s="2" t="s">
        <v>691</v>
      </c>
      <c r="D84" s="2" t="n">
        <v>131.046216132</v>
      </c>
      <c r="E84" s="2" t="n">
        <v>0.65504106743497</v>
      </c>
      <c r="F84" s="2" t="s">
        <v>693</v>
      </c>
      <c r="G84" s="2" t="n">
        <v>46833</v>
      </c>
      <c r="H84" s="3" t="str">
        <f>HYPERLINK("http://funmeta.oebiotech.com/network/46833", "http://funmeta.oebiotech.com/network/46833")</f>
      </c>
      <c r="I84" s="2" t="s">
        <v>695</v>
      </c>
      <c r="J84" s="2" t="s">
        <v>696</v>
      </c>
      <c r="K84" s="2"/>
      <c r="L84" s="2" t="s">
        <v>697</v>
      </c>
      <c r="M84" s="2" t="s">
        <v>698</v>
      </c>
      <c r="N84" s="2" t="s">
        <v>699</v>
      </c>
      <c r="O84" s="2" t="s">
        <v>700</v>
      </c>
      <c r="P84" s="2" t="s">
        <v>701</v>
      </c>
      <c r="Q84" s="2" t="s">
        <v>702</v>
      </c>
      <c r="R84" s="2" t="s">
        <v>49</v>
      </c>
      <c r="S84" s="2" t="s">
        <v>50</v>
      </c>
      <c r="T84" s="2" t="s">
        <v>298</v>
      </c>
      <c r="U84" s="2" t="s">
        <v>692</v>
      </c>
      <c r="V84" s="2" t="s">
        <v>110</v>
      </c>
      <c r="W84" s="2" t="s">
        <v>39</v>
      </c>
    </row>
    <row r="85">
      <c r="A85" s="2" t="n">
        <v>53</v>
      </c>
      <c r="B85" s="2" t="s">
        <v>10570</v>
      </c>
      <c r="C85" s="2" t="s">
        <v>703</v>
      </c>
      <c r="D85" s="2" t="n">
        <v>131.082601638</v>
      </c>
      <c r="E85" s="2" t="n">
        <v>1.08044388984414</v>
      </c>
      <c r="F85" s="2" t="s">
        <v>10571</v>
      </c>
      <c r="G85" s="2" t="n">
        <v>48082</v>
      </c>
      <c r="H85" s="3" t="str">
        <f>HYPERLINK("http://funmeta.oebiotech.com/network/48082", "http://funmeta.oebiotech.com/network/48082")</f>
      </c>
      <c r="I85" s="2" t="s">
        <v>10572</v>
      </c>
      <c r="J85" s="2" t="s">
        <v>10573</v>
      </c>
      <c r="K85" s="2"/>
      <c r="L85" s="2" t="s">
        <v>10574</v>
      </c>
      <c r="M85" s="2" t="s">
        <v>10575</v>
      </c>
      <c r="N85" s="2" t="s">
        <v>10576</v>
      </c>
      <c r="O85" s="2" t="s">
        <v>10577</v>
      </c>
      <c r="P85" s="2" t="s">
        <v>10578</v>
      </c>
      <c r="Q85" s="2" t="s">
        <v>10579</v>
      </c>
      <c r="R85" s="2" t="s">
        <v>49</v>
      </c>
      <c r="S85" s="2" t="s">
        <v>165</v>
      </c>
      <c r="T85" s="2" t="s">
        <v>166</v>
      </c>
      <c r="U85" s="2" t="s">
        <v>704</v>
      </c>
      <c r="V85" s="2" t="s">
        <v>110</v>
      </c>
      <c r="W85" s="2" t="s">
        <v>39</v>
      </c>
    </row>
    <row r="86">
      <c r="A86" s="2" t="n">
        <v>53</v>
      </c>
      <c r="B86" s="2" t="s">
        <v>10580</v>
      </c>
      <c r="C86" s="2" t="s">
        <v>703</v>
      </c>
      <c r="D86" s="2" t="n">
        <v>131.082601638</v>
      </c>
      <c r="E86" s="2" t="n">
        <v>1.08044388984414</v>
      </c>
      <c r="F86" s="2" t="s">
        <v>10581</v>
      </c>
      <c r="G86" s="2" t="n">
        <v>46935</v>
      </c>
      <c r="H86" s="3" t="str">
        <f>HYPERLINK("http://funmeta.oebiotech.com/network/46935", "http://funmeta.oebiotech.com/network/46935")</f>
      </c>
      <c r="I86" s="2" t="s">
        <v>10582</v>
      </c>
      <c r="J86" s="2" t="s">
        <v>10583</v>
      </c>
      <c r="K86" s="2"/>
      <c r="L86" s="2" t="s">
        <v>10584</v>
      </c>
      <c r="M86" s="2" t="s">
        <v>10585</v>
      </c>
      <c r="N86" s="2" t="s">
        <v>10586</v>
      </c>
      <c r="O86" s="2" t="s">
        <v>10587</v>
      </c>
      <c r="P86" s="2" t="s">
        <v>10588</v>
      </c>
      <c r="Q86" s="2" t="s">
        <v>10589</v>
      </c>
      <c r="R86" s="2" t="s">
        <v>49</v>
      </c>
      <c r="S86" s="2" t="s">
        <v>165</v>
      </c>
      <c r="T86" s="2" t="s">
        <v>166</v>
      </c>
      <c r="U86" s="2" t="s">
        <v>704</v>
      </c>
      <c r="V86" s="2" t="s">
        <v>110</v>
      </c>
      <c r="W86" s="2" t="s">
        <v>39</v>
      </c>
    </row>
    <row r="87">
      <c r="A87" s="2" t="n">
        <v>54</v>
      </c>
      <c r="B87" s="2" t="s">
        <v>10590</v>
      </c>
      <c r="C87" s="2" t="s">
        <v>718</v>
      </c>
      <c r="D87" s="2" t="n">
        <v>132.030231717</v>
      </c>
      <c r="E87" s="2" t="n">
        <v>3.36955145592429</v>
      </c>
      <c r="F87" s="2" t="s">
        <v>10591</v>
      </c>
      <c r="G87" s="2" t="n">
        <v>46920</v>
      </c>
      <c r="H87" s="3" t="str">
        <f>HYPERLINK("http://funmeta.oebiotech.com/network/46920", "http://funmeta.oebiotech.com/network/46920")</f>
      </c>
      <c r="I87" s="2" t="s">
        <v>10592</v>
      </c>
      <c r="J87" s="2" t="s">
        <v>10593</v>
      </c>
      <c r="K87" s="2"/>
      <c r="L87" s="2" t="s">
        <v>10594</v>
      </c>
      <c r="M87" s="2" t="s">
        <v>10595</v>
      </c>
      <c r="N87" s="2" t="s">
        <v>10596</v>
      </c>
      <c r="O87" s="2" t="s">
        <v>10597</v>
      </c>
      <c r="P87" s="2" t="s">
        <v>10598</v>
      </c>
      <c r="Q87" s="2" t="s">
        <v>10599</v>
      </c>
      <c r="R87" s="2" t="s">
        <v>49</v>
      </c>
      <c r="S87" s="2" t="s">
        <v>165</v>
      </c>
      <c r="T87" s="2" t="s">
        <v>166</v>
      </c>
      <c r="U87" s="2" t="s">
        <v>719</v>
      </c>
      <c r="V87" s="2" t="s">
        <v>110</v>
      </c>
      <c r="W87" s="2" t="s">
        <v>39</v>
      </c>
    </row>
    <row r="88">
      <c r="A88" s="2" t="n">
        <v>54</v>
      </c>
      <c r="B88" s="2" t="s">
        <v>10600</v>
      </c>
      <c r="C88" s="2" t="s">
        <v>718</v>
      </c>
      <c r="D88" s="2" t="n">
        <v>132.030231717</v>
      </c>
      <c r="E88" s="2" t="n">
        <v>3.36955145592429</v>
      </c>
      <c r="F88" s="2" t="s">
        <v>10601</v>
      </c>
      <c r="G88" s="2" t="n">
        <v>48738</v>
      </c>
      <c r="H88" s="3" t="str">
        <f>HYPERLINK("http://funmeta.oebiotech.com/network/48738", "http://funmeta.oebiotech.com/network/48738")</f>
      </c>
      <c r="I88" s="2" t="s">
        <v>10602</v>
      </c>
      <c r="J88" s="2" t="s">
        <v>10603</v>
      </c>
      <c r="K88" s="2"/>
      <c r="L88" s="2" t="s">
        <v>10604</v>
      </c>
      <c r="M88" s="2" t="s">
        <v>10605</v>
      </c>
      <c r="N88" s="2" t="s">
        <v>10606</v>
      </c>
      <c r="O88" s="2" t="s">
        <v>10607</v>
      </c>
      <c r="P88" s="2" t="s">
        <v>10608</v>
      </c>
      <c r="Q88" s="2" t="s">
        <v>10609</v>
      </c>
      <c r="R88" s="2" t="s">
        <v>49</v>
      </c>
      <c r="S88" s="2" t="s">
        <v>165</v>
      </c>
      <c r="T88" s="2" t="s">
        <v>166</v>
      </c>
      <c r="U88" s="2" t="s">
        <v>719</v>
      </c>
      <c r="V88" s="2" t="s">
        <v>110</v>
      </c>
      <c r="W88" s="2" t="s">
        <v>39</v>
      </c>
    </row>
    <row r="89">
      <c r="A89" s="2" t="n">
        <v>55</v>
      </c>
      <c r="B89" s="2" t="s">
        <v>10610</v>
      </c>
      <c r="C89" s="2" t="s">
        <v>730</v>
      </c>
      <c r="D89" s="2" t="n">
        <v>133.015034392</v>
      </c>
      <c r="E89" s="2" t="n">
        <v>11.2816662810085</v>
      </c>
      <c r="F89" s="2" t="s">
        <v>10611</v>
      </c>
      <c r="G89" s="2" t="n">
        <v>46978</v>
      </c>
      <c r="H89" s="3" t="str">
        <f>HYPERLINK("http://funmeta.oebiotech.com/network/46978", "http://funmeta.oebiotech.com/network/46978")</f>
      </c>
      <c r="I89" s="2" t="s">
        <v>10612</v>
      </c>
      <c r="J89" s="2" t="s">
        <v>10613</v>
      </c>
      <c r="K89" s="2"/>
      <c r="L89" s="2" t="s">
        <v>10614</v>
      </c>
      <c r="M89" s="2" t="s">
        <v>10615</v>
      </c>
      <c r="N89" s="2" t="s">
        <v>10616</v>
      </c>
      <c r="O89" s="2" t="s">
        <v>10617</v>
      </c>
      <c r="P89" s="2" t="s">
        <v>10618</v>
      </c>
      <c r="Q89" s="2" t="s">
        <v>10619</v>
      </c>
      <c r="R89" s="2" t="s">
        <v>355</v>
      </c>
      <c r="S89" s="2" t="s">
        <v>466</v>
      </c>
      <c r="T89" s="2" t="s">
        <v>467</v>
      </c>
      <c r="U89" s="2" t="s">
        <v>731</v>
      </c>
      <c r="V89" s="2" t="s">
        <v>42</v>
      </c>
      <c r="W89" s="2" t="s">
        <v>39</v>
      </c>
    </row>
    <row r="90">
      <c r="A90" s="2" t="n">
        <v>55</v>
      </c>
      <c r="B90" s="2" t="s">
        <v>10620</v>
      </c>
      <c r="C90" s="2" t="s">
        <v>730</v>
      </c>
      <c r="D90" s="2" t="n">
        <v>133.015034392</v>
      </c>
      <c r="E90" s="2" t="n">
        <v>11.2816662810085</v>
      </c>
      <c r="F90" s="2" t="s">
        <v>10621</v>
      </c>
      <c r="G90" s="2" t="n">
        <v>47221</v>
      </c>
      <c r="H90" s="3" t="str">
        <f>HYPERLINK("http://funmeta.oebiotech.com/network/47221", "http://funmeta.oebiotech.com/network/47221")</f>
      </c>
      <c r="I90" s="2" t="s">
        <v>10622</v>
      </c>
      <c r="J90" s="2" t="s">
        <v>10623</v>
      </c>
      <c r="K90" s="2"/>
      <c r="L90" s="2" t="s">
        <v>10624</v>
      </c>
      <c r="M90" s="2" t="s">
        <v>10625</v>
      </c>
      <c r="N90" s="2" t="s">
        <v>10626</v>
      </c>
      <c r="O90" s="2" t="s">
        <v>10627</v>
      </c>
      <c r="P90" s="2" t="s">
        <v>10628</v>
      </c>
      <c r="Q90" s="2" t="s">
        <v>10629</v>
      </c>
      <c r="R90" s="2" t="s">
        <v>355</v>
      </c>
      <c r="S90" s="2" t="s">
        <v>466</v>
      </c>
      <c r="T90" s="2" t="s">
        <v>467</v>
      </c>
      <c r="U90" s="2" t="s">
        <v>731</v>
      </c>
      <c r="V90" s="2" t="s">
        <v>42</v>
      </c>
      <c r="W90" s="2" t="s">
        <v>39</v>
      </c>
    </row>
    <row r="91">
      <c r="A91" s="2" t="n">
        <v>56</v>
      </c>
      <c r="B91" s="2" t="s">
        <v>10630</v>
      </c>
      <c r="C91" s="2" t="s">
        <v>744</v>
      </c>
      <c r="D91" s="2" t="n">
        <v>133.0506285</v>
      </c>
      <c r="E91" s="2" t="n">
        <v>1.95885442108565</v>
      </c>
      <c r="F91" s="2" t="s">
        <v>10631</v>
      </c>
      <c r="G91" s="2" t="n">
        <v>51</v>
      </c>
      <c r="H91" s="3" t="str">
        <f>HYPERLINK("http://funmeta.oebiotech.com/network/51", "http://funmeta.oebiotech.com/network/51")</f>
      </c>
      <c r="I91" s="2" t="s">
        <v>10632</v>
      </c>
      <c r="J91" s="2" t="s">
        <v>10633</v>
      </c>
      <c r="K91" s="2" t="s">
        <v>10634</v>
      </c>
      <c r="L91" s="2" t="s">
        <v>10635</v>
      </c>
      <c r="M91" s="2" t="s">
        <v>10636</v>
      </c>
      <c r="N91" s="2" t="s">
        <v>10637</v>
      </c>
      <c r="O91" s="2" t="s">
        <v>10638</v>
      </c>
      <c r="P91" s="2" t="s">
        <v>10639</v>
      </c>
      <c r="Q91" s="2" t="s">
        <v>10640</v>
      </c>
      <c r="R91" s="2" t="s">
        <v>1490</v>
      </c>
      <c r="S91" s="2" t="s">
        <v>1491</v>
      </c>
      <c r="T91" s="2" t="s">
        <v>1492</v>
      </c>
      <c r="U91" s="2" t="s">
        <v>745</v>
      </c>
      <c r="V91" s="2" t="s">
        <v>24</v>
      </c>
      <c r="W91" s="2" t="s">
        <v>39</v>
      </c>
    </row>
    <row r="92">
      <c r="A92" s="2" t="n">
        <v>56</v>
      </c>
      <c r="B92" s="2" t="s">
        <v>10641</v>
      </c>
      <c r="C92" s="2" t="s">
        <v>744</v>
      </c>
      <c r="D92" s="2" t="n">
        <v>133.0506285</v>
      </c>
      <c r="E92" s="2" t="n">
        <v>1.95885442108565</v>
      </c>
      <c r="F92" s="2" t="s">
        <v>10642</v>
      </c>
      <c r="G92" s="2" t="n">
        <v>166</v>
      </c>
      <c r="H92" s="3" t="str">
        <f>HYPERLINK("http://funmeta.oebiotech.com/network/166", "http://funmeta.oebiotech.com/network/166")</f>
      </c>
      <c r="I92" s="2" t="s">
        <v>10643</v>
      </c>
      <c r="J92" s="2" t="s">
        <v>10644</v>
      </c>
      <c r="K92" s="2" t="s">
        <v>10645</v>
      </c>
      <c r="L92" s="2" t="s">
        <v>10646</v>
      </c>
      <c r="M92" s="2" t="s">
        <v>10647</v>
      </c>
      <c r="N92" s="2" t="s">
        <v>10648</v>
      </c>
      <c r="O92" s="2" t="s">
        <v>10649</v>
      </c>
      <c r="P92" s="2" t="s">
        <v>10650</v>
      </c>
      <c r="Q92" s="2" t="s">
        <v>10651</v>
      </c>
      <c r="R92" s="2" t="s">
        <v>49</v>
      </c>
      <c r="S92" s="2" t="s">
        <v>165</v>
      </c>
      <c r="T92" s="2" t="s">
        <v>10223</v>
      </c>
      <c r="U92" s="2" t="s">
        <v>745</v>
      </c>
      <c r="V92" s="2" t="s">
        <v>24</v>
      </c>
      <c r="W92" s="2" t="s">
        <v>39</v>
      </c>
    </row>
    <row r="93">
      <c r="A93" s="2" t="n">
        <v>56</v>
      </c>
      <c r="B93" s="2" t="s">
        <v>10652</v>
      </c>
      <c r="C93" s="2" t="s">
        <v>744</v>
      </c>
      <c r="D93" s="2" t="n">
        <v>133.0506285</v>
      </c>
      <c r="E93" s="2" t="n">
        <v>1.95885442108565</v>
      </c>
      <c r="F93" s="2" t="s">
        <v>10653</v>
      </c>
      <c r="G93" s="2" t="n">
        <v>9846</v>
      </c>
      <c r="H93" s="3" t="str">
        <f>HYPERLINK("http://funmeta.oebiotech.com/network/9846", "http://funmeta.oebiotech.com/network/9846")</f>
      </c>
      <c r="I93" s="2" t="s">
        <v>10654</v>
      </c>
      <c r="J93" s="2" t="s">
        <v>10655</v>
      </c>
      <c r="K93" s="2" t="s">
        <v>10656</v>
      </c>
      <c r="L93" s="2" t="s">
        <v>10657</v>
      </c>
      <c r="M93" s="2" t="s">
        <v>10658</v>
      </c>
      <c r="N93" s="2" t="s">
        <v>10659</v>
      </c>
      <c r="O93" s="2" t="s">
        <v>10660</v>
      </c>
      <c r="P93" s="2" t="s">
        <v>10661</v>
      </c>
      <c r="Q93" s="2" t="s">
        <v>10662</v>
      </c>
      <c r="R93" s="2" t="s">
        <v>64</v>
      </c>
      <c r="S93" s="2" t="s">
        <v>65</v>
      </c>
      <c r="T93" s="2" t="s">
        <v>91</v>
      </c>
      <c r="U93" s="2" t="s">
        <v>745</v>
      </c>
      <c r="V93" s="2" t="s">
        <v>24</v>
      </c>
      <c r="W93" s="2" t="s">
        <v>39</v>
      </c>
    </row>
    <row r="94">
      <c r="A94" s="2" t="n">
        <v>57</v>
      </c>
      <c r="B94" s="2" t="s">
        <v>10663</v>
      </c>
      <c r="C94" s="2" t="s">
        <v>760</v>
      </c>
      <c r="D94" s="2" t="n">
        <v>136.016353325</v>
      </c>
      <c r="E94" s="2" t="n">
        <v>3.11026104331375</v>
      </c>
      <c r="F94" s="2" t="s">
        <v>762</v>
      </c>
      <c r="G94" s="2" t="n">
        <v>82146</v>
      </c>
      <c r="H94" s="3" t="str">
        <f>HYPERLINK("http://funmeta.oebiotech.com/network/82146", "http://funmeta.oebiotech.com/network/82146")</f>
      </c>
      <c r="I94" s="2" t="s">
        <v>764</v>
      </c>
      <c r="J94" s="2" t="s">
        <v>765</v>
      </c>
      <c r="K94" s="2"/>
      <c r="L94" s="2" t="s">
        <v>766</v>
      </c>
      <c r="M94" s="2" t="s">
        <v>767</v>
      </c>
      <c r="N94" s="2" t="s">
        <v>768</v>
      </c>
      <c r="O94" s="2"/>
      <c r="P94" s="2" t="s">
        <v>769</v>
      </c>
      <c r="Q94" s="2" t="s">
        <v>770</v>
      </c>
      <c r="R94" s="2" t="s">
        <v>49</v>
      </c>
      <c r="S94" s="2" t="s">
        <v>771</v>
      </c>
      <c r="T94" s="2" t="s">
        <v>772</v>
      </c>
      <c r="U94" s="2" t="s">
        <v>761</v>
      </c>
      <c r="V94" s="2" t="s">
        <v>42</v>
      </c>
      <c r="W94" s="2" t="s">
        <v>39</v>
      </c>
    </row>
    <row r="95">
      <c r="A95" s="2" t="n">
        <v>58</v>
      </c>
      <c r="B95" s="2" t="s">
        <v>10664</v>
      </c>
      <c r="C95" s="2" t="s">
        <v>773</v>
      </c>
      <c r="D95" s="2" t="n">
        <v>136.937563041</v>
      </c>
      <c r="E95" s="2" t="n">
        <v>10.8633289494137</v>
      </c>
      <c r="F95" s="2" t="s">
        <v>775</v>
      </c>
      <c r="G95" s="2" t="n">
        <v>205908</v>
      </c>
      <c r="H95" s="3" t="str">
        <f>HYPERLINK("http://funmeta.oebiotech.com/network/205908", "http://funmeta.oebiotech.com/network/205908")</f>
      </c>
      <c r="I95" s="2" t="s">
        <v>777</v>
      </c>
      <c r="J95" s="2" t="s">
        <v>778</v>
      </c>
      <c r="K95" s="2"/>
      <c r="L95" s="2"/>
      <c r="M95" s="2"/>
      <c r="N95" s="2" t="s">
        <v>779</v>
      </c>
      <c r="O95" s="2"/>
      <c r="P95" s="2" t="s">
        <v>780</v>
      </c>
      <c r="Q95" s="2" t="s">
        <v>781</v>
      </c>
      <c r="R95" s="2" t="s">
        <v>49</v>
      </c>
      <c r="S95" s="2" t="s">
        <v>782</v>
      </c>
      <c r="T95" s="2" t="s">
        <v>205</v>
      </c>
      <c r="U95" s="2" t="s">
        <v>774</v>
      </c>
      <c r="V95" s="2" t="s">
        <v>250</v>
      </c>
      <c r="W95" s="2"/>
    </row>
    <row r="96">
      <c r="A96" s="2" t="n">
        <v>59</v>
      </c>
      <c r="B96" s="2" t="s">
        <v>10665</v>
      </c>
      <c r="C96" s="2" t="s">
        <v>783</v>
      </c>
      <c r="D96" s="2" t="n">
        <v>136.987482238</v>
      </c>
      <c r="E96" s="2" t="n">
        <v>7.76589788605331</v>
      </c>
      <c r="F96" s="2" t="s">
        <v>785</v>
      </c>
      <c r="G96" s="2" t="n">
        <v>48310</v>
      </c>
      <c r="H96" s="3" t="str">
        <f>HYPERLINK("http://funmeta.oebiotech.com/network/48310", "http://funmeta.oebiotech.com/network/48310")</f>
      </c>
      <c r="I96" s="2" t="s">
        <v>787</v>
      </c>
      <c r="J96" s="2" t="s">
        <v>788</v>
      </c>
      <c r="K96" s="2"/>
      <c r="L96" s="2" t="s">
        <v>789</v>
      </c>
      <c r="M96" s="2" t="s">
        <v>790</v>
      </c>
      <c r="N96" s="2" t="s">
        <v>791</v>
      </c>
      <c r="O96" s="2" t="s">
        <v>792</v>
      </c>
      <c r="P96" s="2" t="s">
        <v>793</v>
      </c>
      <c r="Q96" s="2" t="s">
        <v>794</v>
      </c>
      <c r="R96" s="2" t="s">
        <v>355</v>
      </c>
      <c r="S96" s="2" t="s">
        <v>795</v>
      </c>
      <c r="T96" s="2" t="s">
        <v>796</v>
      </c>
      <c r="U96" s="2" t="s">
        <v>784</v>
      </c>
      <c r="V96" s="2" t="s">
        <v>42</v>
      </c>
      <c r="W96" s="2" t="s">
        <v>39</v>
      </c>
    </row>
    <row r="97">
      <c r="A97" s="2" t="n">
        <v>60</v>
      </c>
      <c r="B97" s="2" t="s">
        <v>10666</v>
      </c>
      <c r="C97" s="2" t="s">
        <v>797</v>
      </c>
      <c r="D97" s="2" t="n">
        <v>137.023562829</v>
      </c>
      <c r="E97" s="2" t="n">
        <v>8.1489225448675</v>
      </c>
      <c r="F97" s="2" t="s">
        <v>799</v>
      </c>
      <c r="G97" s="2" t="n">
        <v>209199</v>
      </c>
      <c r="H97" s="3" t="str">
        <f>HYPERLINK("http://funmeta.oebiotech.com/network/209199", "http://funmeta.oebiotech.com/network/209199")</f>
      </c>
      <c r="I97" s="2" t="s">
        <v>801</v>
      </c>
      <c r="J97" s="2" t="s">
        <v>802</v>
      </c>
      <c r="K97" s="2"/>
      <c r="L97" s="2"/>
      <c r="M97" s="2"/>
      <c r="N97" s="2" t="s">
        <v>803</v>
      </c>
      <c r="O97" s="2"/>
      <c r="P97" s="2" t="s">
        <v>804</v>
      </c>
      <c r="Q97" s="2" t="s">
        <v>805</v>
      </c>
      <c r="R97" s="2" t="s">
        <v>36</v>
      </c>
      <c r="S97" s="2" t="s">
        <v>37</v>
      </c>
      <c r="T97" s="2" t="s">
        <v>528</v>
      </c>
      <c r="U97" s="2" t="s">
        <v>798</v>
      </c>
      <c r="V97" s="2" t="s">
        <v>522</v>
      </c>
      <c r="W97" s="2"/>
    </row>
    <row r="98">
      <c r="A98" s="2" t="n">
        <v>61</v>
      </c>
      <c r="B98" s="2" t="s">
        <v>10667</v>
      </c>
      <c r="C98" s="2" t="s">
        <v>806</v>
      </c>
      <c r="D98" s="2" t="n">
        <v>137.942139895</v>
      </c>
      <c r="E98" s="2" t="n">
        <v>11.4373493183221</v>
      </c>
      <c r="F98" s="2" t="s">
        <v>808</v>
      </c>
      <c r="G98" s="2" t="n">
        <v>208002</v>
      </c>
      <c r="H98" s="3" t="str">
        <f>HYPERLINK("http://funmeta.oebiotech.com/network/208002", "http://funmeta.oebiotech.com/network/208002")</f>
      </c>
      <c r="I98" s="2" t="s">
        <v>810</v>
      </c>
      <c r="J98" s="2"/>
      <c r="K98" s="2"/>
      <c r="L98" s="2"/>
      <c r="M98" s="2"/>
      <c r="N98" s="2" t="s">
        <v>811</v>
      </c>
      <c r="O98" s="2"/>
      <c r="P98" s="2" t="s">
        <v>812</v>
      </c>
      <c r="Q98" s="2" t="s">
        <v>813</v>
      </c>
      <c r="R98" s="2" t="s">
        <v>355</v>
      </c>
      <c r="S98" s="2" t="s">
        <v>356</v>
      </c>
      <c r="T98" s="2" t="s">
        <v>814</v>
      </c>
      <c r="U98" s="2" t="s">
        <v>807</v>
      </c>
      <c r="V98" s="2" t="s">
        <v>250</v>
      </c>
      <c r="W98" s="2"/>
    </row>
    <row r="99">
      <c r="A99" s="2" t="n">
        <v>62</v>
      </c>
      <c r="B99" s="2" t="s">
        <v>10668</v>
      </c>
      <c r="C99" s="2" t="s">
        <v>815</v>
      </c>
      <c r="D99" s="2" t="n">
        <v>138.019116717</v>
      </c>
      <c r="E99" s="2" t="n">
        <v>3.46977656916121</v>
      </c>
      <c r="F99" s="2" t="s">
        <v>817</v>
      </c>
      <c r="G99" s="2" t="n">
        <v>2894</v>
      </c>
      <c r="H99" s="3" t="str">
        <f>HYPERLINK("http://funmeta.oebiotech.com/network/2894", "http://funmeta.oebiotech.com/network/2894")</f>
      </c>
      <c r="I99" s="2" t="s">
        <v>819</v>
      </c>
      <c r="J99" s="2" t="s">
        <v>820</v>
      </c>
      <c r="K99" s="2" t="s">
        <v>821</v>
      </c>
      <c r="L99" s="2" t="s">
        <v>822</v>
      </c>
      <c r="M99" s="2" t="s">
        <v>823</v>
      </c>
      <c r="N99" s="2" t="s">
        <v>824</v>
      </c>
      <c r="O99" s="2" t="s">
        <v>825</v>
      </c>
      <c r="P99" s="2" t="s">
        <v>826</v>
      </c>
      <c r="Q99" s="2" t="s">
        <v>827</v>
      </c>
      <c r="R99" s="2" t="s">
        <v>49</v>
      </c>
      <c r="S99" s="2" t="s">
        <v>165</v>
      </c>
      <c r="T99" s="2" t="s">
        <v>166</v>
      </c>
      <c r="U99" s="2" t="s">
        <v>816</v>
      </c>
      <c r="V99" s="2" t="s">
        <v>42</v>
      </c>
      <c r="W99" s="2" t="s">
        <v>39</v>
      </c>
    </row>
    <row r="100">
      <c r="A100" s="2" t="n">
        <v>63</v>
      </c>
      <c r="B100" s="2" t="s">
        <v>10669</v>
      </c>
      <c r="C100" s="2" t="s">
        <v>828</v>
      </c>
      <c r="D100" s="2" t="n">
        <v>138.056052537</v>
      </c>
      <c r="E100" s="2" t="n">
        <v>3.41365622424992</v>
      </c>
      <c r="F100" s="2" t="s">
        <v>830</v>
      </c>
      <c r="G100" s="2" t="n">
        <v>206136</v>
      </c>
      <c r="H100" s="3" t="str">
        <f>HYPERLINK("http://funmeta.oebiotech.com/network/206136", "http://funmeta.oebiotech.com/network/206136")</f>
      </c>
      <c r="I100" s="2" t="s">
        <v>832</v>
      </c>
      <c r="J100" s="2" t="s">
        <v>833</v>
      </c>
      <c r="K100" s="2"/>
      <c r="L100" s="2" t="s">
        <v>834</v>
      </c>
      <c r="M100" s="2" t="s">
        <v>835</v>
      </c>
      <c r="N100" s="2" t="s">
        <v>836</v>
      </c>
      <c r="O100" s="2" t="s">
        <v>837</v>
      </c>
      <c r="P100" s="2" t="s">
        <v>838</v>
      </c>
      <c r="Q100" s="2" t="s">
        <v>839</v>
      </c>
      <c r="R100" s="2" t="s">
        <v>49</v>
      </c>
      <c r="S100" s="2" t="s">
        <v>165</v>
      </c>
      <c r="T100" s="2" t="s">
        <v>166</v>
      </c>
      <c r="U100" s="2" t="s">
        <v>829</v>
      </c>
      <c r="V100" s="2" t="s">
        <v>110</v>
      </c>
      <c r="W100" s="2" t="s">
        <v>39</v>
      </c>
    </row>
    <row r="101">
      <c r="A101" s="2" t="n">
        <v>64</v>
      </c>
      <c r="B101" s="2" t="s">
        <v>10670</v>
      </c>
      <c r="C101" s="2" t="s">
        <v>840</v>
      </c>
      <c r="D101" s="2" t="n">
        <v>138.938189443</v>
      </c>
      <c r="E101" s="2" t="n">
        <v>7.62138259775919</v>
      </c>
      <c r="F101" s="2" t="s">
        <v>842</v>
      </c>
      <c r="G101" s="2" t="n">
        <v>51951</v>
      </c>
      <c r="H101" s="3" t="str">
        <f>HYPERLINK("http://funmeta.oebiotech.com/network/51951", "http://funmeta.oebiotech.com/network/51951")</f>
      </c>
      <c r="I101" s="2" t="s">
        <v>844</v>
      </c>
      <c r="J101" s="2"/>
      <c r="K101" s="2"/>
      <c r="L101" s="2" t="s">
        <v>845</v>
      </c>
      <c r="M101" s="2" t="s">
        <v>846</v>
      </c>
      <c r="N101" s="2" t="s">
        <v>847</v>
      </c>
      <c r="O101" s="2" t="s">
        <v>848</v>
      </c>
      <c r="P101" s="2" t="s">
        <v>849</v>
      </c>
      <c r="Q101" s="2" t="s">
        <v>850</v>
      </c>
      <c r="R101" s="2" t="s">
        <v>851</v>
      </c>
      <c r="S101" s="2" t="s">
        <v>852</v>
      </c>
      <c r="T101" s="2" t="s">
        <v>853</v>
      </c>
      <c r="U101" s="2" t="s">
        <v>841</v>
      </c>
      <c r="V101" s="2" t="s">
        <v>110</v>
      </c>
      <c r="W101" s="2" t="s">
        <v>39</v>
      </c>
    </row>
    <row r="102">
      <c r="A102" s="2" t="n">
        <v>65</v>
      </c>
      <c r="B102" s="2" t="s">
        <v>10671</v>
      </c>
      <c r="C102" s="2" t="s">
        <v>854</v>
      </c>
      <c r="D102" s="2" t="n">
        <v>138.980179955</v>
      </c>
      <c r="E102" s="2" t="n">
        <v>13.4056651020581</v>
      </c>
      <c r="F102" s="2" t="s">
        <v>856</v>
      </c>
      <c r="G102" s="2" t="n">
        <v>208697</v>
      </c>
      <c r="H102" s="3" t="str">
        <f>HYPERLINK("http://funmeta.oebiotech.com/network/208697", "http://funmeta.oebiotech.com/network/208697")</f>
      </c>
      <c r="I102" s="2" t="s">
        <v>858</v>
      </c>
      <c r="J102" s="2" t="s">
        <v>859</v>
      </c>
      <c r="K102" s="2"/>
      <c r="L102" s="2"/>
      <c r="M102" s="2"/>
      <c r="N102" s="2" t="s">
        <v>860</v>
      </c>
      <c r="O102" s="2"/>
      <c r="P102" s="2" t="s">
        <v>861</v>
      </c>
      <c r="Q102" s="2" t="s">
        <v>862</v>
      </c>
      <c r="R102" s="2" t="s">
        <v>64</v>
      </c>
      <c r="S102" s="2" t="s">
        <v>65</v>
      </c>
      <c r="T102" s="2" t="s">
        <v>205</v>
      </c>
      <c r="U102" s="2" t="s">
        <v>855</v>
      </c>
      <c r="V102" s="2" t="s">
        <v>24</v>
      </c>
      <c r="W102" s="2"/>
    </row>
    <row r="103">
      <c r="A103" s="2" t="n">
        <v>66</v>
      </c>
      <c r="B103" s="2" t="s">
        <v>10672</v>
      </c>
      <c r="C103" s="2" t="s">
        <v>863</v>
      </c>
      <c r="D103" s="2" t="n">
        <v>139.040068122</v>
      </c>
      <c r="E103" s="2" t="n">
        <v>15.3247801192578</v>
      </c>
      <c r="F103" s="2" t="s">
        <v>865</v>
      </c>
      <c r="G103" s="2" t="n">
        <v>56212</v>
      </c>
      <c r="H103" s="3" t="str">
        <f>HYPERLINK("http://funmeta.oebiotech.com/network/56212", "http://funmeta.oebiotech.com/network/56212")</f>
      </c>
      <c r="I103" s="2" t="s">
        <v>867</v>
      </c>
      <c r="J103" s="2" t="s">
        <v>868</v>
      </c>
      <c r="K103" s="2"/>
      <c r="L103" s="2" t="s">
        <v>869</v>
      </c>
      <c r="M103" s="2"/>
      <c r="N103" s="2" t="s">
        <v>870</v>
      </c>
      <c r="O103" s="2" t="s">
        <v>871</v>
      </c>
      <c r="P103" s="2" t="s">
        <v>872</v>
      </c>
      <c r="Q103" s="2" t="s">
        <v>873</v>
      </c>
      <c r="R103" s="2" t="s">
        <v>355</v>
      </c>
      <c r="S103" s="2" t="s">
        <v>874</v>
      </c>
      <c r="T103" s="2" t="s">
        <v>875</v>
      </c>
      <c r="U103" s="2" t="s">
        <v>864</v>
      </c>
      <c r="V103" s="2" t="s">
        <v>110</v>
      </c>
      <c r="W103" s="2" t="s">
        <v>39</v>
      </c>
    </row>
    <row r="104">
      <c r="A104" s="2" t="n">
        <v>67</v>
      </c>
      <c r="B104" s="2" t="s">
        <v>10673</v>
      </c>
      <c r="C104" s="2" t="s">
        <v>876</v>
      </c>
      <c r="D104" s="2" t="n">
        <v>141.001574126</v>
      </c>
      <c r="E104" s="2" t="n">
        <v>1.43411674143344</v>
      </c>
      <c r="F104" s="2" t="s">
        <v>10674</v>
      </c>
      <c r="G104" s="2" t="n">
        <v>54618</v>
      </c>
      <c r="H104" s="3" t="str">
        <f>HYPERLINK("http://funmeta.oebiotech.com/network/54618", "http://funmeta.oebiotech.com/network/54618")</f>
      </c>
      <c r="I104" s="2" t="s">
        <v>10675</v>
      </c>
      <c r="J104" s="2" t="s">
        <v>10676</v>
      </c>
      <c r="K104" s="2"/>
      <c r="L104" s="2"/>
      <c r="M104" s="2"/>
      <c r="N104" s="2" t="s">
        <v>10677</v>
      </c>
      <c r="O104" s="2" t="s">
        <v>10678</v>
      </c>
      <c r="P104" s="2" t="s">
        <v>10679</v>
      </c>
      <c r="Q104" s="2" t="s">
        <v>10680</v>
      </c>
      <c r="R104" s="2" t="s">
        <v>355</v>
      </c>
      <c r="S104" s="2" t="s">
        <v>588</v>
      </c>
      <c r="T104" s="2" t="s">
        <v>589</v>
      </c>
      <c r="U104" s="2" t="s">
        <v>877</v>
      </c>
      <c r="V104" s="2" t="s">
        <v>110</v>
      </c>
      <c r="W104" s="2"/>
    </row>
    <row r="105">
      <c r="A105" s="2" t="n">
        <v>67</v>
      </c>
      <c r="B105" s="2" t="s">
        <v>10681</v>
      </c>
      <c r="C105" s="2" t="s">
        <v>876</v>
      </c>
      <c r="D105" s="2" t="n">
        <v>141.001574126</v>
      </c>
      <c r="E105" s="2" t="n">
        <v>1.43411674143344</v>
      </c>
      <c r="F105" s="2" t="s">
        <v>10682</v>
      </c>
      <c r="G105" s="2" t="n">
        <v>61239</v>
      </c>
      <c r="H105" s="3" t="str">
        <f>HYPERLINK("http://funmeta.oebiotech.com/network/61239", "http://funmeta.oebiotech.com/network/61239")</f>
      </c>
      <c r="I105" s="2" t="s">
        <v>10683</v>
      </c>
      <c r="J105" s="2" t="s">
        <v>10684</v>
      </c>
      <c r="K105" s="2"/>
      <c r="L105" s="2"/>
      <c r="M105" s="2"/>
      <c r="N105" s="2" t="s">
        <v>10685</v>
      </c>
      <c r="O105" s="2" t="s">
        <v>10686</v>
      </c>
      <c r="P105" s="2" t="s">
        <v>10687</v>
      </c>
      <c r="Q105" s="2" t="s">
        <v>10688</v>
      </c>
      <c r="R105" s="2" t="s">
        <v>355</v>
      </c>
      <c r="S105" s="2" t="s">
        <v>1713</v>
      </c>
      <c r="T105" s="2" t="s">
        <v>205</v>
      </c>
      <c r="U105" s="2" t="s">
        <v>877</v>
      </c>
      <c r="V105" s="2" t="s">
        <v>110</v>
      </c>
      <c r="W105" s="2"/>
    </row>
    <row r="106">
      <c r="A106" s="2" t="n">
        <v>67</v>
      </c>
      <c r="B106" s="2" t="s">
        <v>10689</v>
      </c>
      <c r="C106" s="2" t="s">
        <v>876</v>
      </c>
      <c r="D106" s="2" t="n">
        <v>141.001574126</v>
      </c>
      <c r="E106" s="2" t="n">
        <v>1.43411674143344</v>
      </c>
      <c r="F106" s="2" t="s">
        <v>10690</v>
      </c>
      <c r="G106" s="2" t="n">
        <v>61261</v>
      </c>
      <c r="H106" s="3" t="str">
        <f>HYPERLINK("http://funmeta.oebiotech.com/network/61261", "http://funmeta.oebiotech.com/network/61261")</f>
      </c>
      <c r="I106" s="2" t="s">
        <v>10691</v>
      </c>
      <c r="J106" s="2" t="s">
        <v>10692</v>
      </c>
      <c r="K106" s="2"/>
      <c r="L106" s="2"/>
      <c r="M106" s="2"/>
      <c r="N106" s="2" t="s">
        <v>10693</v>
      </c>
      <c r="O106" s="2" t="s">
        <v>10694</v>
      </c>
      <c r="P106" s="2" t="s">
        <v>10695</v>
      </c>
      <c r="Q106" s="2" t="s">
        <v>10696</v>
      </c>
      <c r="R106" s="2" t="s">
        <v>355</v>
      </c>
      <c r="S106" s="2" t="s">
        <v>795</v>
      </c>
      <c r="T106" s="2" t="s">
        <v>796</v>
      </c>
      <c r="U106" s="2" t="s">
        <v>877</v>
      </c>
      <c r="V106" s="2" t="s">
        <v>110</v>
      </c>
      <c r="W106" s="2"/>
    </row>
    <row r="107">
      <c r="A107" s="2" t="n">
        <v>68</v>
      </c>
      <c r="B107" s="2" t="s">
        <v>10697</v>
      </c>
      <c r="C107" s="2" t="s">
        <v>888</v>
      </c>
      <c r="D107" s="2" t="n">
        <v>141.092103692</v>
      </c>
      <c r="E107" s="2" t="n">
        <v>3.65182899723854</v>
      </c>
      <c r="F107" s="2" t="s">
        <v>10698</v>
      </c>
      <c r="G107" s="2" t="n">
        <v>1339</v>
      </c>
      <c r="H107" s="3" t="str">
        <f>HYPERLINK("http://funmeta.oebiotech.com/network/1339", "http://funmeta.oebiotech.com/network/1339")</f>
      </c>
      <c r="I107" s="2" t="s">
        <v>10699</v>
      </c>
      <c r="J107" s="2" t="s">
        <v>10700</v>
      </c>
      <c r="K107" s="2" t="s">
        <v>10701</v>
      </c>
      <c r="L107" s="2" t="s">
        <v>10702</v>
      </c>
      <c r="M107" s="2"/>
      <c r="N107" s="2" t="s">
        <v>10703</v>
      </c>
      <c r="O107" s="2" t="s">
        <v>10704</v>
      </c>
      <c r="P107" s="2" t="s">
        <v>10705</v>
      </c>
      <c r="Q107" s="2" t="s">
        <v>10706</v>
      </c>
      <c r="R107" s="2" t="s">
        <v>1490</v>
      </c>
      <c r="S107" s="2" t="s">
        <v>1491</v>
      </c>
      <c r="T107" s="2" t="s">
        <v>1492</v>
      </c>
      <c r="U107" s="2" t="s">
        <v>889</v>
      </c>
      <c r="V107" s="2" t="s">
        <v>110</v>
      </c>
      <c r="W107" s="2" t="s">
        <v>39</v>
      </c>
    </row>
    <row r="108">
      <c r="A108" s="2" t="n">
        <v>68</v>
      </c>
      <c r="B108" s="2" t="s">
        <v>10707</v>
      </c>
      <c r="C108" s="2" t="s">
        <v>888</v>
      </c>
      <c r="D108" s="2" t="n">
        <v>141.092103692</v>
      </c>
      <c r="E108" s="2" t="n">
        <v>3.65182899723854</v>
      </c>
      <c r="F108" s="2" t="s">
        <v>10708</v>
      </c>
      <c r="G108" s="2" t="n">
        <v>1340</v>
      </c>
      <c r="H108" s="3" t="str">
        <f>HYPERLINK("http://funmeta.oebiotech.com/network/1340", "http://funmeta.oebiotech.com/network/1340")</f>
      </c>
      <c r="I108" s="2" t="s">
        <v>10709</v>
      </c>
      <c r="J108" s="2"/>
      <c r="K108" s="2" t="s">
        <v>10710</v>
      </c>
      <c r="L108" s="2" t="s">
        <v>10702</v>
      </c>
      <c r="M108" s="2" t="s">
        <v>10711</v>
      </c>
      <c r="N108" s="2" t="s">
        <v>10712</v>
      </c>
      <c r="O108" s="2"/>
      <c r="P108" s="2" t="s">
        <v>10713</v>
      </c>
      <c r="Q108" s="2" t="s">
        <v>10714</v>
      </c>
      <c r="R108" s="2" t="s">
        <v>1490</v>
      </c>
      <c r="S108" s="2" t="s">
        <v>1491</v>
      </c>
      <c r="T108" s="2" t="s">
        <v>1492</v>
      </c>
      <c r="U108" s="2" t="s">
        <v>889</v>
      </c>
      <c r="V108" s="2" t="s">
        <v>110</v>
      </c>
      <c r="W108" s="2" t="s">
        <v>39</v>
      </c>
    </row>
    <row r="109">
      <c r="A109" s="2" t="n">
        <v>68</v>
      </c>
      <c r="B109" s="2" t="s">
        <v>10715</v>
      </c>
      <c r="C109" s="2" t="s">
        <v>888</v>
      </c>
      <c r="D109" s="2" t="n">
        <v>141.092103692</v>
      </c>
      <c r="E109" s="2" t="n">
        <v>3.65182899723854</v>
      </c>
      <c r="F109" s="2" t="s">
        <v>10716</v>
      </c>
      <c r="G109" s="2" t="n">
        <v>1349</v>
      </c>
      <c r="H109" s="3" t="str">
        <f>HYPERLINK("http://funmeta.oebiotech.com/network/1349", "http://funmeta.oebiotech.com/network/1349")</f>
      </c>
      <c r="I109" s="2" t="s">
        <v>10717</v>
      </c>
      <c r="J109" s="2"/>
      <c r="K109" s="2" t="s">
        <v>10718</v>
      </c>
      <c r="L109" s="2" t="s">
        <v>10719</v>
      </c>
      <c r="M109" s="2" t="s">
        <v>10720</v>
      </c>
      <c r="N109" s="2" t="s">
        <v>10721</v>
      </c>
      <c r="O109" s="2"/>
      <c r="P109" s="2" t="s">
        <v>10722</v>
      </c>
      <c r="Q109" s="2" t="s">
        <v>10723</v>
      </c>
      <c r="R109" s="2" t="s">
        <v>1490</v>
      </c>
      <c r="S109" s="2" t="s">
        <v>1491</v>
      </c>
      <c r="T109" s="2" t="s">
        <v>1492</v>
      </c>
      <c r="U109" s="2" t="s">
        <v>889</v>
      </c>
      <c r="V109" s="2" t="s">
        <v>110</v>
      </c>
      <c r="W109" s="2" t="s">
        <v>39</v>
      </c>
    </row>
    <row r="110">
      <c r="A110" s="2" t="n">
        <v>69</v>
      </c>
      <c r="B110" s="2" t="s">
        <v>10724</v>
      </c>
      <c r="C110" s="2" t="s">
        <v>901</v>
      </c>
      <c r="D110" s="2" t="n">
        <v>143.0210597</v>
      </c>
      <c r="E110" s="2" t="n">
        <v>11.5805155975749</v>
      </c>
      <c r="F110" s="2" t="s">
        <v>903</v>
      </c>
      <c r="G110" s="2" t="n">
        <v>212367</v>
      </c>
      <c r="H110" s="3" t="str">
        <f>HYPERLINK("http://funmeta.oebiotech.com/network/212367", "http://funmeta.oebiotech.com/network/212367")</f>
      </c>
      <c r="I110" s="2" t="s">
        <v>905</v>
      </c>
      <c r="J110" s="2"/>
      <c r="K110" s="2"/>
      <c r="L110" s="2"/>
      <c r="M110" s="2"/>
      <c r="N110" s="2" t="s">
        <v>906</v>
      </c>
      <c r="O110" s="2"/>
      <c r="P110" s="2" t="s">
        <v>907</v>
      </c>
      <c r="Q110" s="2" t="s">
        <v>908</v>
      </c>
      <c r="R110" s="2" t="s">
        <v>355</v>
      </c>
      <c r="S110" s="2" t="s">
        <v>909</v>
      </c>
      <c r="T110" s="2" t="s">
        <v>205</v>
      </c>
      <c r="U110" s="2" t="s">
        <v>902</v>
      </c>
      <c r="V110" s="2" t="s">
        <v>24</v>
      </c>
      <c r="W110" s="2"/>
    </row>
    <row r="111">
      <c r="A111" s="2" t="n">
        <v>70</v>
      </c>
      <c r="B111" s="2" t="s">
        <v>10725</v>
      </c>
      <c r="C111" s="2" t="s">
        <v>910</v>
      </c>
      <c r="D111" s="2" t="n">
        <v>144.029681394</v>
      </c>
      <c r="E111" s="2" t="n">
        <v>10.0163860809311</v>
      </c>
      <c r="F111" s="2" t="s">
        <v>10726</v>
      </c>
      <c r="G111" s="2" t="n">
        <v>83769</v>
      </c>
      <c r="H111" s="3" t="str">
        <f>HYPERLINK("http://funmeta.oebiotech.com/network/83769", "http://funmeta.oebiotech.com/network/83769")</f>
      </c>
      <c r="I111" s="2" t="s">
        <v>10727</v>
      </c>
      <c r="J111" s="2" t="s">
        <v>10728</v>
      </c>
      <c r="K111" s="2"/>
      <c r="L111" s="2" t="s">
        <v>10729</v>
      </c>
      <c r="M111" s="2" t="s">
        <v>10730</v>
      </c>
      <c r="N111" s="2" t="s">
        <v>10731</v>
      </c>
      <c r="O111" s="2"/>
      <c r="P111" s="2" t="s">
        <v>10732</v>
      </c>
      <c r="Q111" s="2" t="s">
        <v>10733</v>
      </c>
      <c r="R111" s="2" t="s">
        <v>49</v>
      </c>
      <c r="S111" s="2" t="s">
        <v>165</v>
      </c>
      <c r="T111" s="2" t="s">
        <v>166</v>
      </c>
      <c r="U111" s="2" t="s">
        <v>911</v>
      </c>
      <c r="V111" s="2" t="s">
        <v>42</v>
      </c>
      <c r="W111" s="2" t="s">
        <v>39</v>
      </c>
    </row>
    <row r="112">
      <c r="A112" s="2" t="n">
        <v>70</v>
      </c>
      <c r="B112" s="2" t="s">
        <v>10734</v>
      </c>
      <c r="C112" s="2" t="s">
        <v>910</v>
      </c>
      <c r="D112" s="2" t="n">
        <v>144.029681403</v>
      </c>
      <c r="E112" s="2" t="n">
        <v>10.0163860809311</v>
      </c>
      <c r="F112" s="2" t="s">
        <v>10735</v>
      </c>
      <c r="G112" s="2" t="n">
        <v>47885</v>
      </c>
      <c r="H112" s="3" t="str">
        <f>HYPERLINK("http://funmeta.oebiotech.com/network/47885", "http://funmeta.oebiotech.com/network/47885")</f>
      </c>
      <c r="I112" s="2" t="s">
        <v>10736</v>
      </c>
      <c r="J112" s="2" t="s">
        <v>10737</v>
      </c>
      <c r="K112" s="2"/>
      <c r="L112" s="2" t="s">
        <v>10738</v>
      </c>
      <c r="M112" s="2" t="s">
        <v>10739</v>
      </c>
      <c r="N112" s="2" t="s">
        <v>10740</v>
      </c>
      <c r="O112" s="2" t="s">
        <v>10741</v>
      </c>
      <c r="P112" s="2" t="s">
        <v>10742</v>
      </c>
      <c r="Q112" s="2" t="s">
        <v>10743</v>
      </c>
      <c r="R112" s="2" t="s">
        <v>49</v>
      </c>
      <c r="S112" s="2" t="s">
        <v>165</v>
      </c>
      <c r="T112" s="2" t="s">
        <v>166</v>
      </c>
      <c r="U112" s="2" t="s">
        <v>911</v>
      </c>
      <c r="V112" s="2" t="s">
        <v>42</v>
      </c>
      <c r="W112" s="2" t="s">
        <v>39</v>
      </c>
    </row>
    <row r="113">
      <c r="A113" s="2" t="n">
        <v>71</v>
      </c>
      <c r="B113" s="2" t="s">
        <v>10744</v>
      </c>
      <c r="C113" s="2" t="s">
        <v>922</v>
      </c>
      <c r="D113" s="2" t="n">
        <v>144.996484923</v>
      </c>
      <c r="E113" s="2" t="n">
        <v>2.64090563825845</v>
      </c>
      <c r="F113" s="2" t="s">
        <v>10745</v>
      </c>
      <c r="G113" s="2" t="n">
        <v>212451</v>
      </c>
      <c r="H113" s="3" t="str">
        <f>HYPERLINK("http://funmeta.oebiotech.com/network/212451", "http://funmeta.oebiotech.com/network/212451")</f>
      </c>
      <c r="I113" s="2" t="s">
        <v>10746</v>
      </c>
      <c r="J113" s="2"/>
      <c r="K113" s="2"/>
      <c r="L113" s="2"/>
      <c r="M113" s="2"/>
      <c r="N113" s="2"/>
      <c r="O113" s="2"/>
      <c r="P113" s="2" t="s">
        <v>10747</v>
      </c>
      <c r="Q113" s="2" t="s">
        <v>10748</v>
      </c>
      <c r="R113" s="2" t="s">
        <v>355</v>
      </c>
      <c r="S113" s="2" t="s">
        <v>1713</v>
      </c>
      <c r="T113" s="2" t="s">
        <v>205</v>
      </c>
      <c r="U113" s="2" t="s">
        <v>923</v>
      </c>
      <c r="V113" s="2" t="s">
        <v>24</v>
      </c>
      <c r="W113" s="2"/>
    </row>
    <row r="114">
      <c r="A114" s="2" t="n">
        <v>71</v>
      </c>
      <c r="B114" s="2" t="s">
        <v>10749</v>
      </c>
      <c r="C114" s="2" t="s">
        <v>922</v>
      </c>
      <c r="D114" s="2" t="n">
        <v>144.996484923</v>
      </c>
      <c r="E114" s="2" t="n">
        <v>2.64090563825845</v>
      </c>
      <c r="F114" s="2" t="s">
        <v>10750</v>
      </c>
      <c r="G114" s="2" t="n">
        <v>199627</v>
      </c>
      <c r="H114" s="3" t="str">
        <f>HYPERLINK("http://funmeta.oebiotech.com/network/199627", "http://funmeta.oebiotech.com/network/199627")</f>
      </c>
      <c r="I114" s="2" t="s">
        <v>10751</v>
      </c>
      <c r="J114" s="2"/>
      <c r="K114" s="2"/>
      <c r="L114" s="2"/>
      <c r="M114" s="2"/>
      <c r="N114" s="2" t="s">
        <v>10752</v>
      </c>
      <c r="O114" s="2"/>
      <c r="P114" s="2" t="s">
        <v>10753</v>
      </c>
      <c r="Q114" s="2" t="s">
        <v>10754</v>
      </c>
      <c r="R114" s="2" t="s">
        <v>355</v>
      </c>
      <c r="S114" s="2" t="s">
        <v>10755</v>
      </c>
      <c r="T114" s="2" t="s">
        <v>205</v>
      </c>
      <c r="U114" s="2" t="s">
        <v>923</v>
      </c>
      <c r="V114" s="2" t="s">
        <v>24</v>
      </c>
      <c r="W114" s="2"/>
    </row>
    <row r="115">
      <c r="A115" s="2" t="n">
        <v>72</v>
      </c>
      <c r="B115" s="2" t="s">
        <v>10756</v>
      </c>
      <c r="C115" s="2" t="s">
        <v>931</v>
      </c>
      <c r="D115" s="2" t="n">
        <v>145.032874254</v>
      </c>
      <c r="E115" s="2" t="n">
        <v>7.8385871337615</v>
      </c>
      <c r="F115" s="2" t="s">
        <v>10757</v>
      </c>
      <c r="G115" s="2" t="n">
        <v>63446</v>
      </c>
      <c r="H115" s="3" t="str">
        <f>HYPERLINK("http://funmeta.oebiotech.com/network/63446", "http://funmeta.oebiotech.com/network/63446")</f>
      </c>
      <c r="I115" s="2" t="s">
        <v>10758</v>
      </c>
      <c r="J115" s="2" t="s">
        <v>10759</v>
      </c>
      <c r="K115" s="2"/>
      <c r="L115" s="2"/>
      <c r="M115" s="2"/>
      <c r="N115" s="2" t="s">
        <v>10760</v>
      </c>
      <c r="O115" s="2" t="s">
        <v>10761</v>
      </c>
      <c r="P115" s="2" t="s">
        <v>10762</v>
      </c>
      <c r="Q115" s="2" t="s">
        <v>10763</v>
      </c>
      <c r="R115" s="2" t="s">
        <v>638</v>
      </c>
      <c r="S115" s="2" t="s">
        <v>1342</v>
      </c>
      <c r="T115" s="2" t="s">
        <v>10764</v>
      </c>
      <c r="U115" s="2" t="s">
        <v>932</v>
      </c>
      <c r="V115" s="2" t="s">
        <v>110</v>
      </c>
      <c r="W115" s="2"/>
    </row>
    <row r="116">
      <c r="A116" s="2" t="n">
        <v>72</v>
      </c>
      <c r="B116" s="2" t="s">
        <v>10765</v>
      </c>
      <c r="C116" s="2" t="s">
        <v>931</v>
      </c>
      <c r="D116" s="2" t="n">
        <v>145.032874736</v>
      </c>
      <c r="E116" s="2" t="n">
        <v>7.8385871337615</v>
      </c>
      <c r="F116" s="2" t="s">
        <v>10766</v>
      </c>
      <c r="G116" s="2" t="n">
        <v>205780</v>
      </c>
      <c r="H116" s="3" t="str">
        <f>HYPERLINK("http://funmeta.oebiotech.com/network/205780", "http://funmeta.oebiotech.com/network/205780")</f>
      </c>
      <c r="I116" s="2" t="s">
        <v>10767</v>
      </c>
      <c r="J116" s="2" t="s">
        <v>10768</v>
      </c>
      <c r="K116" s="2"/>
      <c r="L116" s="2"/>
      <c r="M116" s="2"/>
      <c r="N116" s="2" t="s">
        <v>10769</v>
      </c>
      <c r="O116" s="2"/>
      <c r="P116" s="2" t="s">
        <v>10770</v>
      </c>
      <c r="Q116" s="2" t="s">
        <v>10771</v>
      </c>
      <c r="R116" s="2" t="s">
        <v>638</v>
      </c>
      <c r="S116" s="2" t="s">
        <v>10772</v>
      </c>
      <c r="T116" s="2" t="s">
        <v>10773</v>
      </c>
      <c r="U116" s="2" t="s">
        <v>932</v>
      </c>
      <c r="V116" s="2" t="s">
        <v>110</v>
      </c>
      <c r="W116" s="2"/>
    </row>
    <row r="117">
      <c r="A117" s="2" t="n">
        <v>73</v>
      </c>
      <c r="B117" s="2" t="s">
        <v>10774</v>
      </c>
      <c r="C117" s="2" t="s">
        <v>944</v>
      </c>
      <c r="D117" s="2" t="n">
        <v>145.061866196</v>
      </c>
      <c r="E117" s="2" t="n">
        <v>9.90961748751585</v>
      </c>
      <c r="F117" s="2" t="s">
        <v>946</v>
      </c>
      <c r="G117" s="2" t="n">
        <v>47136</v>
      </c>
      <c r="H117" s="3" t="str">
        <f>HYPERLINK("http://funmeta.oebiotech.com/network/47136", "http://funmeta.oebiotech.com/network/47136")</f>
      </c>
      <c r="I117" s="2" t="s">
        <v>948</v>
      </c>
      <c r="J117" s="2" t="s">
        <v>949</v>
      </c>
      <c r="K117" s="2"/>
      <c r="L117" s="2" t="s">
        <v>950</v>
      </c>
      <c r="M117" s="2" t="s">
        <v>951</v>
      </c>
      <c r="N117" s="2" t="s">
        <v>952</v>
      </c>
      <c r="O117" s="2" t="s">
        <v>953</v>
      </c>
      <c r="P117" s="2" t="s">
        <v>954</v>
      </c>
      <c r="Q117" s="2" t="s">
        <v>955</v>
      </c>
      <c r="R117" s="2" t="s">
        <v>49</v>
      </c>
      <c r="S117" s="2" t="s">
        <v>165</v>
      </c>
      <c r="T117" s="2" t="s">
        <v>166</v>
      </c>
      <c r="U117" s="2" t="s">
        <v>945</v>
      </c>
      <c r="V117" s="2" t="s">
        <v>110</v>
      </c>
      <c r="W117" s="2" t="s">
        <v>39</v>
      </c>
    </row>
    <row r="118">
      <c r="A118" s="2" t="n">
        <v>74</v>
      </c>
      <c r="B118" s="2" t="s">
        <v>10775</v>
      </c>
      <c r="C118" s="2" t="s">
        <v>956</v>
      </c>
      <c r="D118" s="2" t="n">
        <v>145.086467995</v>
      </c>
      <c r="E118" s="2" t="n">
        <v>10.1518859849172</v>
      </c>
      <c r="F118" s="2" t="s">
        <v>10776</v>
      </c>
      <c r="G118" s="2" t="n">
        <v>199574</v>
      </c>
      <c r="H118" s="3" t="str">
        <f>HYPERLINK("http://funmeta.oebiotech.com/network/199574", "http://funmeta.oebiotech.com/network/199574")</f>
      </c>
      <c r="I118" s="2" t="s">
        <v>10777</v>
      </c>
      <c r="J118" s="2" t="s">
        <v>10778</v>
      </c>
      <c r="K118" s="2"/>
      <c r="L118" s="2"/>
      <c r="M118" s="2"/>
      <c r="N118" s="2" t="s">
        <v>10779</v>
      </c>
      <c r="O118" s="2"/>
      <c r="P118" s="2" t="s">
        <v>10780</v>
      </c>
      <c r="Q118" s="2" t="s">
        <v>10781</v>
      </c>
      <c r="R118" s="2" t="s">
        <v>64</v>
      </c>
      <c r="S118" s="2" t="s">
        <v>65</v>
      </c>
      <c r="T118" s="2" t="s">
        <v>1214</v>
      </c>
      <c r="U118" s="2" t="s">
        <v>957</v>
      </c>
      <c r="V118" s="2" t="s">
        <v>42</v>
      </c>
      <c r="W118" s="2"/>
    </row>
    <row r="119">
      <c r="A119" s="2" t="n">
        <v>74</v>
      </c>
      <c r="B119" s="2" t="s">
        <v>10782</v>
      </c>
      <c r="C119" s="2" t="s">
        <v>956</v>
      </c>
      <c r="D119" s="2" t="n">
        <v>145.086467995</v>
      </c>
      <c r="E119" s="2" t="n">
        <v>10.1518859849172</v>
      </c>
      <c r="F119" s="2" t="s">
        <v>10783</v>
      </c>
      <c r="G119" s="2" t="n">
        <v>212305</v>
      </c>
      <c r="H119" s="3" t="str">
        <f>HYPERLINK("http://funmeta.oebiotech.com/network/212305", "http://funmeta.oebiotech.com/network/212305")</f>
      </c>
      <c r="I119" s="2" t="s">
        <v>10784</v>
      </c>
      <c r="J119" s="2"/>
      <c r="K119" s="2"/>
      <c r="L119" s="2"/>
      <c r="M119" s="2"/>
      <c r="N119" s="2" t="s">
        <v>10785</v>
      </c>
      <c r="O119" s="2"/>
      <c r="P119" s="2" t="s">
        <v>10786</v>
      </c>
      <c r="Q119" s="2" t="s">
        <v>10787</v>
      </c>
      <c r="R119" s="2" t="s">
        <v>64</v>
      </c>
      <c r="S119" s="2" t="s">
        <v>65</v>
      </c>
      <c r="T119" s="2" t="s">
        <v>10788</v>
      </c>
      <c r="U119" s="2" t="s">
        <v>957</v>
      </c>
      <c r="V119" s="2" t="s">
        <v>42</v>
      </c>
      <c r="W119" s="2"/>
    </row>
    <row r="120">
      <c r="A120" s="2" t="n">
        <v>74</v>
      </c>
      <c r="B120" s="2" t="s">
        <v>10789</v>
      </c>
      <c r="C120" s="2" t="s">
        <v>956</v>
      </c>
      <c r="D120" s="2" t="n">
        <v>145.086468</v>
      </c>
      <c r="E120" s="2" t="n">
        <v>10.1518859849172</v>
      </c>
      <c r="F120" s="2" t="s">
        <v>10790</v>
      </c>
      <c r="G120" s="2" t="n">
        <v>83713</v>
      </c>
      <c r="H120" s="3" t="str">
        <f>HYPERLINK("http://funmeta.oebiotech.com/network/83713", "http://funmeta.oebiotech.com/network/83713")</f>
      </c>
      <c r="I120" s="2" t="s">
        <v>10791</v>
      </c>
      <c r="J120" s="2"/>
      <c r="K120" s="2"/>
      <c r="L120" s="2"/>
      <c r="M120" s="2" t="s">
        <v>10792</v>
      </c>
      <c r="N120" s="2" t="s">
        <v>10793</v>
      </c>
      <c r="O120" s="2" t="s">
        <v>10794</v>
      </c>
      <c r="P120" s="2" t="s">
        <v>10795</v>
      </c>
      <c r="Q120" s="2" t="s">
        <v>10796</v>
      </c>
      <c r="R120" s="2" t="s">
        <v>64</v>
      </c>
      <c r="S120" s="2" t="s">
        <v>65</v>
      </c>
      <c r="T120" s="2" t="s">
        <v>1214</v>
      </c>
      <c r="U120" s="2" t="s">
        <v>957</v>
      </c>
      <c r="V120" s="2" t="s">
        <v>42</v>
      </c>
      <c r="W120" s="2"/>
    </row>
    <row r="121">
      <c r="A121" s="2" t="n">
        <v>75</v>
      </c>
      <c r="B121" s="2" t="s">
        <v>10797</v>
      </c>
      <c r="C121" s="2" t="s">
        <v>970</v>
      </c>
      <c r="D121" s="2" t="n">
        <v>146.045881781</v>
      </c>
      <c r="E121" s="2" t="n">
        <v>2.17789364097005</v>
      </c>
      <c r="F121" s="2" t="s">
        <v>972</v>
      </c>
      <c r="G121" s="2" t="n">
        <v>46895</v>
      </c>
      <c r="H121" s="3" t="str">
        <f>HYPERLINK("http://funmeta.oebiotech.com/network/46895", "http://funmeta.oebiotech.com/network/46895")</f>
      </c>
      <c r="I121" s="2" t="s">
        <v>974</v>
      </c>
      <c r="J121" s="2" t="s">
        <v>975</v>
      </c>
      <c r="K121" s="2"/>
      <c r="L121" s="2" t="s">
        <v>976</v>
      </c>
      <c r="M121" s="2" t="s">
        <v>977</v>
      </c>
      <c r="N121" s="2" t="s">
        <v>978</v>
      </c>
      <c r="O121" s="2" t="s">
        <v>979</v>
      </c>
      <c r="P121" s="2" t="s">
        <v>980</v>
      </c>
      <c r="Q121" s="2" t="s">
        <v>981</v>
      </c>
      <c r="R121" s="2" t="s">
        <v>49</v>
      </c>
      <c r="S121" s="2" t="s">
        <v>165</v>
      </c>
      <c r="T121" s="2" t="s">
        <v>166</v>
      </c>
      <c r="U121" s="2" t="s">
        <v>971</v>
      </c>
      <c r="V121" s="2" t="s">
        <v>110</v>
      </c>
      <c r="W121" s="2" t="s">
        <v>39</v>
      </c>
    </row>
    <row r="122">
      <c r="A122" s="2" t="n">
        <v>76</v>
      </c>
      <c r="B122" s="2" t="s">
        <v>10798</v>
      </c>
      <c r="C122" s="2" t="s">
        <v>982</v>
      </c>
      <c r="D122" s="2" t="n">
        <v>146.96194716</v>
      </c>
      <c r="E122" s="2" t="n">
        <v>7.81464656994703</v>
      </c>
      <c r="F122" s="2" t="s">
        <v>984</v>
      </c>
      <c r="G122" s="2" t="n">
        <v>83285</v>
      </c>
      <c r="H122" s="3" t="str">
        <f>HYPERLINK("http://funmeta.oebiotech.com/network/83285", "http://funmeta.oebiotech.com/network/83285")</f>
      </c>
      <c r="I122" s="2" t="s">
        <v>986</v>
      </c>
      <c r="J122" s="2"/>
      <c r="K122" s="2"/>
      <c r="L122" s="2"/>
      <c r="M122" s="2" t="s">
        <v>987</v>
      </c>
      <c r="N122" s="2" t="s">
        <v>988</v>
      </c>
      <c r="O122" s="2" t="s">
        <v>989</v>
      </c>
      <c r="P122" s="2" t="s">
        <v>990</v>
      </c>
      <c r="Q122" s="2" t="s">
        <v>991</v>
      </c>
      <c r="R122" s="2" t="s">
        <v>49</v>
      </c>
      <c r="S122" s="2" t="s">
        <v>771</v>
      </c>
      <c r="T122" s="2" t="s">
        <v>772</v>
      </c>
      <c r="U122" s="2" t="s">
        <v>983</v>
      </c>
      <c r="V122" s="2" t="s">
        <v>522</v>
      </c>
      <c r="W122" s="2"/>
    </row>
    <row r="123">
      <c r="A123" s="2" t="n">
        <v>77</v>
      </c>
      <c r="B123" s="2" t="s">
        <v>10799</v>
      </c>
      <c r="C123" s="2" t="s">
        <v>992</v>
      </c>
      <c r="D123" s="2" t="n">
        <v>147.029347042</v>
      </c>
      <c r="E123" s="2" t="n">
        <v>16.0304040446979</v>
      </c>
      <c r="F123" s="2" t="s">
        <v>10800</v>
      </c>
      <c r="G123" s="2" t="n">
        <v>81797</v>
      </c>
      <c r="H123" s="3" t="str">
        <f>HYPERLINK("http://funmeta.oebiotech.com/network/81797", "http://funmeta.oebiotech.com/network/81797")</f>
      </c>
      <c r="I123" s="2" t="s">
        <v>10801</v>
      </c>
      <c r="J123" s="2"/>
      <c r="K123" s="2"/>
      <c r="L123" s="2" t="s">
        <v>10802</v>
      </c>
      <c r="M123" s="2" t="s">
        <v>10803</v>
      </c>
      <c r="N123" s="2" t="s">
        <v>10804</v>
      </c>
      <c r="O123" s="2" t="s">
        <v>10805</v>
      </c>
      <c r="P123" s="2" t="s">
        <v>10806</v>
      </c>
      <c r="Q123" s="2" t="s">
        <v>10807</v>
      </c>
      <c r="R123" s="2" t="s">
        <v>64</v>
      </c>
      <c r="S123" s="2" t="s">
        <v>65</v>
      </c>
      <c r="T123" s="2" t="s">
        <v>66</v>
      </c>
      <c r="U123" s="2" t="s">
        <v>993</v>
      </c>
      <c r="V123" s="2" t="s">
        <v>42</v>
      </c>
      <c r="W123" s="2" t="s">
        <v>39</v>
      </c>
    </row>
    <row r="124">
      <c r="A124" s="2" t="n">
        <v>77</v>
      </c>
      <c r="B124" s="2" t="s">
        <v>10808</v>
      </c>
      <c r="C124" s="2" t="s">
        <v>992</v>
      </c>
      <c r="D124" s="2" t="n">
        <v>147.029347052</v>
      </c>
      <c r="E124" s="2" t="n">
        <v>16.0304040446979</v>
      </c>
      <c r="F124" s="2" t="s">
        <v>10809</v>
      </c>
      <c r="G124" s="2" t="n">
        <v>47080</v>
      </c>
      <c r="H124" s="3" t="str">
        <f>HYPERLINK("http://funmeta.oebiotech.com/network/47080", "http://funmeta.oebiotech.com/network/47080")</f>
      </c>
      <c r="I124" s="2" t="s">
        <v>10810</v>
      </c>
      <c r="J124" s="2"/>
      <c r="K124" s="2"/>
      <c r="L124" s="2" t="s">
        <v>10811</v>
      </c>
      <c r="M124" s="2" t="s">
        <v>10812</v>
      </c>
      <c r="N124" s="2" t="s">
        <v>10813</v>
      </c>
      <c r="O124" s="2" t="s">
        <v>10814</v>
      </c>
      <c r="P124" s="2" t="s">
        <v>10815</v>
      </c>
      <c r="Q124" s="2" t="s">
        <v>10816</v>
      </c>
      <c r="R124" s="2" t="s">
        <v>64</v>
      </c>
      <c r="S124" s="2" t="s">
        <v>65</v>
      </c>
      <c r="T124" s="2" t="s">
        <v>66</v>
      </c>
      <c r="U124" s="2" t="s">
        <v>993</v>
      </c>
      <c r="V124" s="2" t="s">
        <v>42</v>
      </c>
      <c r="W124" s="2" t="s">
        <v>39</v>
      </c>
    </row>
    <row r="125">
      <c r="A125" s="2" t="n">
        <v>77</v>
      </c>
      <c r="B125" s="2" t="s">
        <v>10817</v>
      </c>
      <c r="C125" s="2" t="s">
        <v>992</v>
      </c>
      <c r="D125" s="2" t="n">
        <v>147.029347052</v>
      </c>
      <c r="E125" s="2" t="n">
        <v>16.0304040446979</v>
      </c>
      <c r="F125" s="2" t="s">
        <v>10818</v>
      </c>
      <c r="G125" s="2" t="n">
        <v>47269</v>
      </c>
      <c r="H125" s="3" t="str">
        <f>HYPERLINK("http://funmeta.oebiotech.com/network/47269", "http://funmeta.oebiotech.com/network/47269")</f>
      </c>
      <c r="I125" s="2" t="s">
        <v>10819</v>
      </c>
      <c r="J125" s="2" t="s">
        <v>10820</v>
      </c>
      <c r="K125" s="2"/>
      <c r="L125" s="2" t="s">
        <v>10821</v>
      </c>
      <c r="M125" s="2" t="s">
        <v>10822</v>
      </c>
      <c r="N125" s="2" t="s">
        <v>10823</v>
      </c>
      <c r="O125" s="2" t="s">
        <v>10824</v>
      </c>
      <c r="P125" s="2" t="s">
        <v>10825</v>
      </c>
      <c r="Q125" s="2" t="s">
        <v>10826</v>
      </c>
      <c r="R125" s="2" t="s">
        <v>64</v>
      </c>
      <c r="S125" s="2" t="s">
        <v>65</v>
      </c>
      <c r="T125" s="2" t="s">
        <v>66</v>
      </c>
      <c r="U125" s="2" t="s">
        <v>993</v>
      </c>
      <c r="V125" s="2" t="s">
        <v>42</v>
      </c>
      <c r="W125" s="2" t="s">
        <v>39</v>
      </c>
    </row>
    <row r="126">
      <c r="A126" s="2" t="n">
        <v>78</v>
      </c>
      <c r="B126" s="2" t="s">
        <v>10827</v>
      </c>
      <c r="C126" s="2" t="s">
        <v>1005</v>
      </c>
      <c r="D126" s="2" t="n">
        <v>147.065732551</v>
      </c>
      <c r="E126" s="2" t="n">
        <v>1.82168927107819</v>
      </c>
      <c r="F126" s="2" t="s">
        <v>10828</v>
      </c>
      <c r="G126" s="2" t="n">
        <v>198976</v>
      </c>
      <c r="H126" s="3" t="str">
        <f>HYPERLINK("http://funmeta.oebiotech.com/network/198976", "http://funmeta.oebiotech.com/network/198976")</f>
      </c>
      <c r="I126" s="2" t="s">
        <v>10829</v>
      </c>
      <c r="J126" s="2"/>
      <c r="K126" s="2"/>
      <c r="L126" s="2"/>
      <c r="M126" s="2"/>
      <c r="N126" s="2" t="s">
        <v>10830</v>
      </c>
      <c r="O126" s="2"/>
      <c r="P126" s="2" t="s">
        <v>10831</v>
      </c>
      <c r="Q126" s="2" t="s">
        <v>10832</v>
      </c>
      <c r="R126" s="2" t="s">
        <v>64</v>
      </c>
      <c r="S126" s="2" t="s">
        <v>65</v>
      </c>
      <c r="T126" s="2" t="s">
        <v>66</v>
      </c>
      <c r="U126" s="2" t="s">
        <v>1006</v>
      </c>
      <c r="V126" s="2" t="s">
        <v>42</v>
      </c>
      <c r="W126" s="2"/>
    </row>
    <row r="127">
      <c r="A127" s="2" t="n">
        <v>78</v>
      </c>
      <c r="B127" s="2" t="s">
        <v>10833</v>
      </c>
      <c r="C127" s="2" t="s">
        <v>1005</v>
      </c>
      <c r="D127" s="2" t="n">
        <v>147.065732558</v>
      </c>
      <c r="E127" s="2" t="n">
        <v>1.82168927107819</v>
      </c>
      <c r="F127" s="2" t="s">
        <v>10834</v>
      </c>
      <c r="G127" s="2" t="n">
        <v>6332</v>
      </c>
      <c r="H127" s="3" t="str">
        <f>HYPERLINK("http://funmeta.oebiotech.com/network/6332", "http://funmeta.oebiotech.com/network/6332")</f>
      </c>
      <c r="I127" s="2" t="s">
        <v>10835</v>
      </c>
      <c r="J127" s="2" t="s">
        <v>10836</v>
      </c>
      <c r="K127" s="2" t="s">
        <v>10837</v>
      </c>
      <c r="L127" s="2"/>
      <c r="M127" s="2"/>
      <c r="N127" s="2" t="s">
        <v>10838</v>
      </c>
      <c r="O127" s="2" t="s">
        <v>10839</v>
      </c>
      <c r="P127" s="2" t="s">
        <v>10840</v>
      </c>
      <c r="Q127" s="2" t="s">
        <v>10841</v>
      </c>
      <c r="R127" s="2" t="s">
        <v>64</v>
      </c>
      <c r="S127" s="2" t="s">
        <v>65</v>
      </c>
      <c r="T127" s="2" t="s">
        <v>66</v>
      </c>
      <c r="U127" s="2" t="s">
        <v>1006</v>
      </c>
      <c r="V127" s="2" t="s">
        <v>42</v>
      </c>
      <c r="W127" s="2"/>
    </row>
    <row r="128">
      <c r="A128" s="2" t="n">
        <v>78</v>
      </c>
      <c r="B128" s="2" t="s">
        <v>10842</v>
      </c>
      <c r="C128" s="2" t="s">
        <v>1005</v>
      </c>
      <c r="D128" s="2" t="n">
        <v>147.065732558</v>
      </c>
      <c r="E128" s="2" t="n">
        <v>1.82168927107819</v>
      </c>
      <c r="F128" s="2" t="s">
        <v>10843</v>
      </c>
      <c r="G128" s="2" t="n">
        <v>197205</v>
      </c>
      <c r="H128" s="3" t="str">
        <f>HYPERLINK("http://funmeta.oebiotech.com/network/197205", "http://funmeta.oebiotech.com/network/197205")</f>
      </c>
      <c r="I128" s="2" t="s">
        <v>10844</v>
      </c>
      <c r="J128" s="2"/>
      <c r="K128" s="2"/>
      <c r="L128" s="2"/>
      <c r="M128" s="2" t="s">
        <v>10845</v>
      </c>
      <c r="N128" s="2" t="s">
        <v>10846</v>
      </c>
      <c r="O128" s="2"/>
      <c r="P128" s="2" t="s">
        <v>10847</v>
      </c>
      <c r="Q128" s="2" t="s">
        <v>10848</v>
      </c>
      <c r="R128" s="2" t="s">
        <v>64</v>
      </c>
      <c r="S128" s="2" t="s">
        <v>65</v>
      </c>
      <c r="T128" s="2" t="s">
        <v>66</v>
      </c>
      <c r="U128" s="2" t="s">
        <v>1006</v>
      </c>
      <c r="V128" s="2" t="s">
        <v>42</v>
      </c>
      <c r="W128" s="2"/>
    </row>
    <row r="129">
      <c r="A129" s="2" t="n">
        <v>79</v>
      </c>
      <c r="B129" s="2" t="s">
        <v>10849</v>
      </c>
      <c r="C129" s="2" t="s">
        <v>1017</v>
      </c>
      <c r="D129" s="2" t="n">
        <v>148.948492698</v>
      </c>
      <c r="E129" s="2" t="n">
        <v>17.7966243939249</v>
      </c>
      <c r="F129" s="2" t="s">
        <v>1020</v>
      </c>
      <c r="G129" s="2" t="n">
        <v>52121</v>
      </c>
      <c r="H129" s="3" t="str">
        <f>HYPERLINK("http://funmeta.oebiotech.com/network/52121", "http://funmeta.oebiotech.com/network/52121")</f>
      </c>
      <c r="I129" s="2" t="s">
        <v>1022</v>
      </c>
      <c r="J129" s="2"/>
      <c r="K129" s="2"/>
      <c r="L129" s="2"/>
      <c r="M129" s="2" t="s">
        <v>1023</v>
      </c>
      <c r="N129" s="2" t="s">
        <v>1024</v>
      </c>
      <c r="O129" s="2" t="s">
        <v>1025</v>
      </c>
      <c r="P129" s="2" t="s">
        <v>1026</v>
      </c>
      <c r="Q129" s="2" t="s">
        <v>1027</v>
      </c>
      <c r="R129" s="2" t="s">
        <v>638</v>
      </c>
      <c r="S129" s="2" t="s">
        <v>1028</v>
      </c>
      <c r="T129" s="2" t="s">
        <v>205</v>
      </c>
      <c r="U129" s="2" t="s">
        <v>1018</v>
      </c>
      <c r="V129" s="2" t="s">
        <v>1019</v>
      </c>
      <c r="W129" s="2"/>
    </row>
    <row r="130">
      <c r="A130" s="2" t="n">
        <v>80</v>
      </c>
      <c r="B130" s="2" t="s">
        <v>10850</v>
      </c>
      <c r="C130" s="2" t="s">
        <v>1029</v>
      </c>
      <c r="D130" s="2" t="n">
        <v>149.010030322</v>
      </c>
      <c r="E130" s="2" t="n">
        <v>9.28689411235418</v>
      </c>
      <c r="F130" s="2" t="s">
        <v>1031</v>
      </c>
      <c r="G130" s="2" t="n">
        <v>62225</v>
      </c>
      <c r="H130" s="3" t="str">
        <f>HYPERLINK("http://funmeta.oebiotech.com/network/62225", "http://funmeta.oebiotech.com/network/62225")</f>
      </c>
      <c r="I130" s="2" t="s">
        <v>1033</v>
      </c>
      <c r="J130" s="2" t="s">
        <v>1034</v>
      </c>
      <c r="K130" s="2"/>
      <c r="L130" s="2"/>
      <c r="M130" s="2"/>
      <c r="N130" s="2" t="s">
        <v>1035</v>
      </c>
      <c r="O130" s="2" t="s">
        <v>1036</v>
      </c>
      <c r="P130" s="2" t="s">
        <v>1037</v>
      </c>
      <c r="Q130" s="2" t="s">
        <v>1038</v>
      </c>
      <c r="R130" s="2" t="s">
        <v>638</v>
      </c>
      <c r="S130" s="2" t="s">
        <v>639</v>
      </c>
      <c r="T130" s="2" t="s">
        <v>640</v>
      </c>
      <c r="U130" s="2" t="s">
        <v>1030</v>
      </c>
      <c r="V130" s="2" t="s">
        <v>110</v>
      </c>
      <c r="W130" s="2"/>
    </row>
    <row r="131">
      <c r="A131" s="2" t="n">
        <v>81</v>
      </c>
      <c r="B131" s="2" t="s">
        <v>10851</v>
      </c>
      <c r="C131" s="2" t="s">
        <v>1039</v>
      </c>
      <c r="D131" s="2" t="n">
        <v>149.045547422</v>
      </c>
      <c r="E131" s="2" t="n">
        <v>12.7645629451959</v>
      </c>
      <c r="F131" s="2" t="s">
        <v>10852</v>
      </c>
      <c r="G131" s="2" t="n">
        <v>47127</v>
      </c>
      <c r="H131" s="3" t="str">
        <f>HYPERLINK("http://funmeta.oebiotech.com/network/47127", "http://funmeta.oebiotech.com/network/47127")</f>
      </c>
      <c r="I131" s="2" t="s">
        <v>10853</v>
      </c>
      <c r="J131" s="2"/>
      <c r="K131" s="2"/>
      <c r="L131" s="2" t="s">
        <v>10854</v>
      </c>
      <c r="M131" s="2" t="s">
        <v>10855</v>
      </c>
      <c r="N131" s="2" t="s">
        <v>10856</v>
      </c>
      <c r="O131" s="2" t="s">
        <v>10857</v>
      </c>
      <c r="P131" s="2" t="s">
        <v>10858</v>
      </c>
      <c r="Q131" s="2" t="s">
        <v>10859</v>
      </c>
      <c r="R131" s="2" t="s">
        <v>64</v>
      </c>
      <c r="S131" s="2" t="s">
        <v>65</v>
      </c>
      <c r="T131" s="2" t="s">
        <v>66</v>
      </c>
      <c r="U131" s="2" t="s">
        <v>1040</v>
      </c>
      <c r="V131" s="2" t="s">
        <v>110</v>
      </c>
      <c r="W131" s="2" t="s">
        <v>39</v>
      </c>
    </row>
    <row r="132">
      <c r="A132" s="2" t="n">
        <v>81</v>
      </c>
      <c r="B132" s="2" t="s">
        <v>10860</v>
      </c>
      <c r="C132" s="2" t="s">
        <v>1039</v>
      </c>
      <c r="D132" s="2" t="n">
        <v>149.04554743</v>
      </c>
      <c r="E132" s="2" t="n">
        <v>12.7645629451959</v>
      </c>
      <c r="F132" s="2" t="s">
        <v>10861</v>
      </c>
      <c r="G132" s="2" t="n">
        <v>46870</v>
      </c>
      <c r="H132" s="3" t="str">
        <f>HYPERLINK("http://funmeta.oebiotech.com/network/46870", "http://funmeta.oebiotech.com/network/46870")</f>
      </c>
      <c r="I132" s="2" t="s">
        <v>10862</v>
      </c>
      <c r="J132" s="2" t="s">
        <v>10863</v>
      </c>
      <c r="K132" s="2"/>
      <c r="L132" s="2" t="s">
        <v>10864</v>
      </c>
      <c r="M132" s="2" t="s">
        <v>10865</v>
      </c>
      <c r="N132" s="2" t="s">
        <v>10866</v>
      </c>
      <c r="O132" s="2" t="s">
        <v>10867</v>
      </c>
      <c r="P132" s="2" t="s">
        <v>10868</v>
      </c>
      <c r="Q132" s="2" t="s">
        <v>10869</v>
      </c>
      <c r="R132" s="2" t="s">
        <v>64</v>
      </c>
      <c r="S132" s="2" t="s">
        <v>65</v>
      </c>
      <c r="T132" s="2" t="s">
        <v>66</v>
      </c>
      <c r="U132" s="2" t="s">
        <v>1040</v>
      </c>
      <c r="V132" s="2" t="s">
        <v>110</v>
      </c>
      <c r="W132" s="2" t="s">
        <v>39</v>
      </c>
    </row>
    <row r="133">
      <c r="A133" s="2" t="n">
        <v>81</v>
      </c>
      <c r="B133" s="2" t="s">
        <v>10870</v>
      </c>
      <c r="C133" s="2" t="s">
        <v>1039</v>
      </c>
      <c r="D133" s="2" t="n">
        <v>149.04554743</v>
      </c>
      <c r="E133" s="2" t="n">
        <v>12.7645629451959</v>
      </c>
      <c r="F133" s="2" t="s">
        <v>10871</v>
      </c>
      <c r="G133" s="2" t="n">
        <v>46972</v>
      </c>
      <c r="H133" s="3" t="str">
        <f>HYPERLINK("http://funmeta.oebiotech.com/network/46972", "http://funmeta.oebiotech.com/network/46972")</f>
      </c>
      <c r="I133" s="2" t="s">
        <v>10872</v>
      </c>
      <c r="J133" s="2" t="s">
        <v>10873</v>
      </c>
      <c r="K133" s="2"/>
      <c r="L133" s="2" t="s">
        <v>10874</v>
      </c>
      <c r="M133" s="2" t="s">
        <v>10875</v>
      </c>
      <c r="N133" s="2" t="s">
        <v>10876</v>
      </c>
      <c r="O133" s="2" t="s">
        <v>10877</v>
      </c>
      <c r="P133" s="2" t="s">
        <v>10878</v>
      </c>
      <c r="Q133" s="2" t="s">
        <v>10879</v>
      </c>
      <c r="R133" s="2" t="s">
        <v>64</v>
      </c>
      <c r="S133" s="2" t="s">
        <v>65</v>
      </c>
      <c r="T133" s="2" t="s">
        <v>66</v>
      </c>
      <c r="U133" s="2" t="s">
        <v>1040</v>
      </c>
      <c r="V133" s="2" t="s">
        <v>110</v>
      </c>
      <c r="W133" s="2" t="s">
        <v>39</v>
      </c>
    </row>
    <row r="134">
      <c r="A134" s="2" t="n">
        <v>82</v>
      </c>
      <c r="B134" s="2" t="s">
        <v>10880</v>
      </c>
      <c r="C134" s="2" t="s">
        <v>1051</v>
      </c>
      <c r="D134" s="2" t="n">
        <v>149.06025325</v>
      </c>
      <c r="E134" s="2" t="n">
        <v>5.12224444544345</v>
      </c>
      <c r="F134" s="2" t="s">
        <v>10881</v>
      </c>
      <c r="G134" s="2" t="n">
        <v>7437</v>
      </c>
      <c r="H134" s="3" t="str">
        <f>HYPERLINK("http://funmeta.oebiotech.com/network/7437", "http://funmeta.oebiotech.com/network/7437")</f>
      </c>
      <c r="I134" s="2" t="s">
        <v>10882</v>
      </c>
      <c r="J134" s="2" t="s">
        <v>10883</v>
      </c>
      <c r="K134" s="2" t="s">
        <v>10884</v>
      </c>
      <c r="L134" s="2"/>
      <c r="M134" s="2"/>
      <c r="N134" s="2" t="s">
        <v>10885</v>
      </c>
      <c r="O134" s="2" t="s">
        <v>10886</v>
      </c>
      <c r="P134" s="2" t="s">
        <v>10887</v>
      </c>
      <c r="Q134" s="2" t="s">
        <v>10888</v>
      </c>
      <c r="R134" s="2" t="s">
        <v>1490</v>
      </c>
      <c r="S134" s="2" t="s">
        <v>1491</v>
      </c>
      <c r="T134" s="2" t="s">
        <v>3884</v>
      </c>
      <c r="U134" s="2" t="s">
        <v>1052</v>
      </c>
      <c r="V134" s="2" t="s">
        <v>42</v>
      </c>
      <c r="W134" s="2"/>
    </row>
    <row r="135">
      <c r="A135" s="2" t="n">
        <v>82</v>
      </c>
      <c r="B135" s="2" t="s">
        <v>10889</v>
      </c>
      <c r="C135" s="2" t="s">
        <v>1051</v>
      </c>
      <c r="D135" s="2" t="n">
        <v>149.06025325</v>
      </c>
      <c r="E135" s="2" t="n">
        <v>5.12224444544345</v>
      </c>
      <c r="F135" s="2" t="s">
        <v>10890</v>
      </c>
      <c r="G135" s="2" t="n">
        <v>54587</v>
      </c>
      <c r="H135" s="3" t="str">
        <f>HYPERLINK("http://funmeta.oebiotech.com/network/54587", "http://funmeta.oebiotech.com/network/54587")</f>
      </c>
      <c r="I135" s="2" t="s">
        <v>10891</v>
      </c>
      <c r="J135" s="2" t="s">
        <v>10892</v>
      </c>
      <c r="K135" s="2"/>
      <c r="L135" s="2"/>
      <c r="M135" s="2" t="s">
        <v>10893</v>
      </c>
      <c r="N135" s="2" t="s">
        <v>10894</v>
      </c>
      <c r="O135" s="2" t="s">
        <v>10895</v>
      </c>
      <c r="P135" s="2" t="s">
        <v>10896</v>
      </c>
      <c r="Q135" s="2" t="s">
        <v>10897</v>
      </c>
      <c r="R135" s="2" t="s">
        <v>502</v>
      </c>
      <c r="S135" s="2" t="s">
        <v>2369</v>
      </c>
      <c r="T135" s="2" t="s">
        <v>10898</v>
      </c>
      <c r="U135" s="2" t="s">
        <v>1052</v>
      </c>
      <c r="V135" s="2" t="s">
        <v>42</v>
      </c>
      <c r="W135" s="2"/>
    </row>
    <row r="136">
      <c r="A136" s="2" t="n">
        <v>82</v>
      </c>
      <c r="B136" s="2" t="s">
        <v>10899</v>
      </c>
      <c r="C136" s="2" t="s">
        <v>1051</v>
      </c>
      <c r="D136" s="2" t="n">
        <v>149.06025325</v>
      </c>
      <c r="E136" s="2" t="n">
        <v>5.12224444544345</v>
      </c>
      <c r="F136" s="2" t="s">
        <v>10900</v>
      </c>
      <c r="G136" s="2" t="n">
        <v>55283</v>
      </c>
      <c r="H136" s="3" t="str">
        <f>HYPERLINK("http://funmeta.oebiotech.com/network/55283", "http://funmeta.oebiotech.com/network/55283")</f>
      </c>
      <c r="I136" s="2" t="s">
        <v>10901</v>
      </c>
      <c r="J136" s="2" t="s">
        <v>10902</v>
      </c>
      <c r="K136" s="2"/>
      <c r="L136" s="2"/>
      <c r="M136" s="2" t="s">
        <v>10903</v>
      </c>
      <c r="N136" s="2" t="s">
        <v>10904</v>
      </c>
      <c r="O136" s="2" t="s">
        <v>10905</v>
      </c>
      <c r="P136" s="2" t="s">
        <v>10906</v>
      </c>
      <c r="Q136" s="2" t="s">
        <v>10907</v>
      </c>
      <c r="R136" s="2" t="s">
        <v>64</v>
      </c>
      <c r="S136" s="2" t="s">
        <v>65</v>
      </c>
      <c r="T136" s="2" t="s">
        <v>91</v>
      </c>
      <c r="U136" s="2" t="s">
        <v>1052</v>
      </c>
      <c r="V136" s="2" t="s">
        <v>42</v>
      </c>
      <c r="W136" s="2"/>
    </row>
    <row r="137">
      <c r="A137" s="2" t="n">
        <v>83</v>
      </c>
      <c r="B137" s="2" t="s">
        <v>10908</v>
      </c>
      <c r="C137" s="2" t="s">
        <v>1066</v>
      </c>
      <c r="D137" s="2" t="n">
        <v>150.988422164</v>
      </c>
      <c r="E137" s="2" t="n">
        <v>5.71677375012994</v>
      </c>
      <c r="F137" s="2" t="s">
        <v>1068</v>
      </c>
      <c r="G137" s="2" t="n">
        <v>205833</v>
      </c>
      <c r="H137" s="3" t="str">
        <f>HYPERLINK("http://funmeta.oebiotech.com/network/205833", "http://funmeta.oebiotech.com/network/205833")</f>
      </c>
      <c r="I137" s="2" t="s">
        <v>1070</v>
      </c>
      <c r="J137" s="2"/>
      <c r="K137" s="2"/>
      <c r="L137" s="2"/>
      <c r="M137" s="2" t="s">
        <v>1071</v>
      </c>
      <c r="N137" s="2" t="s">
        <v>1072</v>
      </c>
      <c r="O137" s="2"/>
      <c r="P137" s="2" t="s">
        <v>1073</v>
      </c>
      <c r="Q137" s="2" t="s">
        <v>1074</v>
      </c>
      <c r="R137" s="2" t="s">
        <v>49</v>
      </c>
      <c r="S137" s="2" t="s">
        <v>50</v>
      </c>
      <c r="T137" s="2" t="s">
        <v>205</v>
      </c>
      <c r="U137" s="2" t="s">
        <v>1067</v>
      </c>
      <c r="V137" s="2" t="s">
        <v>24</v>
      </c>
      <c r="W137" s="2"/>
    </row>
    <row r="138">
      <c r="A138" s="2" t="n">
        <v>84</v>
      </c>
      <c r="B138" s="2" t="s">
        <v>10909</v>
      </c>
      <c r="C138" s="2" t="s">
        <v>1075</v>
      </c>
      <c r="D138" s="2" t="n">
        <v>150.999659857</v>
      </c>
      <c r="E138" s="2" t="n">
        <v>4.86993016352814</v>
      </c>
      <c r="F138" s="2" t="s">
        <v>1077</v>
      </c>
      <c r="G138" s="2" t="n">
        <v>206594</v>
      </c>
      <c r="H138" s="3" t="str">
        <f>HYPERLINK("http://funmeta.oebiotech.com/network/206594", "http://funmeta.oebiotech.com/network/206594")</f>
      </c>
      <c r="I138" s="2" t="s">
        <v>1079</v>
      </c>
      <c r="J138" s="2"/>
      <c r="K138" s="2"/>
      <c r="L138" s="2"/>
      <c r="M138" s="2"/>
      <c r="N138" s="2" t="s">
        <v>1080</v>
      </c>
      <c r="O138" s="2"/>
      <c r="P138" s="2" t="s">
        <v>1081</v>
      </c>
      <c r="Q138" s="2" t="s">
        <v>1082</v>
      </c>
      <c r="R138" s="2" t="s">
        <v>64</v>
      </c>
      <c r="S138" s="2" t="s">
        <v>1083</v>
      </c>
      <c r="T138" s="2" t="s">
        <v>1084</v>
      </c>
      <c r="U138" s="2" t="s">
        <v>1076</v>
      </c>
      <c r="V138" s="2" t="s">
        <v>110</v>
      </c>
      <c r="W138" s="2"/>
    </row>
    <row r="139">
      <c r="A139" s="2" t="n">
        <v>85</v>
      </c>
      <c r="B139" s="2" t="s">
        <v>10910</v>
      </c>
      <c r="C139" s="2" t="s">
        <v>1085</v>
      </c>
      <c r="D139" s="2" t="n">
        <v>152.035312785</v>
      </c>
      <c r="E139" s="2" t="n">
        <v>1.34411290760745</v>
      </c>
      <c r="F139" s="2" t="s">
        <v>10911</v>
      </c>
      <c r="G139" s="2" t="n">
        <v>201354</v>
      </c>
      <c r="H139" s="3" t="str">
        <f>HYPERLINK("http://funmeta.oebiotech.com/network/201354", "http://funmeta.oebiotech.com/network/201354")</f>
      </c>
      <c r="I139" s="2" t="s">
        <v>10912</v>
      </c>
      <c r="J139" s="2" t="s">
        <v>10913</v>
      </c>
      <c r="K139" s="2"/>
      <c r="L139" s="2" t="s">
        <v>10914</v>
      </c>
      <c r="M139" s="2" t="s">
        <v>10915</v>
      </c>
      <c r="N139" s="2" t="s">
        <v>10916</v>
      </c>
      <c r="O139" s="2" t="s">
        <v>10917</v>
      </c>
      <c r="P139" s="2" t="s">
        <v>10918</v>
      </c>
      <c r="Q139" s="2" t="s">
        <v>10919</v>
      </c>
      <c r="R139" s="2" t="s">
        <v>355</v>
      </c>
      <c r="S139" s="2" t="s">
        <v>1316</v>
      </c>
      <c r="T139" s="2" t="s">
        <v>10920</v>
      </c>
      <c r="U139" s="2" t="s">
        <v>1086</v>
      </c>
      <c r="V139" s="2" t="s">
        <v>24</v>
      </c>
      <c r="W139" s="2" t="s">
        <v>39</v>
      </c>
    </row>
    <row r="140">
      <c r="A140" s="2" t="n">
        <v>85</v>
      </c>
      <c r="B140" s="2" t="s">
        <v>10921</v>
      </c>
      <c r="C140" s="2" t="s">
        <v>1085</v>
      </c>
      <c r="D140" s="2" t="n">
        <v>152.035312787</v>
      </c>
      <c r="E140" s="2" t="n">
        <v>1.34411290760745</v>
      </c>
      <c r="F140" s="2" t="s">
        <v>10922</v>
      </c>
      <c r="G140" s="2" t="n">
        <v>209615</v>
      </c>
      <c r="H140" s="3" t="str">
        <f>HYPERLINK("http://funmeta.oebiotech.com/network/209615", "http://funmeta.oebiotech.com/network/209615")</f>
      </c>
      <c r="I140" s="2" t="s">
        <v>10923</v>
      </c>
      <c r="J140" s="2" t="s">
        <v>10924</v>
      </c>
      <c r="K140" s="2"/>
      <c r="L140" s="2" t="s">
        <v>10925</v>
      </c>
      <c r="M140" s="2" t="s">
        <v>10926</v>
      </c>
      <c r="N140" s="2" t="s">
        <v>10927</v>
      </c>
      <c r="O140" s="2" t="s">
        <v>10928</v>
      </c>
      <c r="P140" s="2" t="s">
        <v>10929</v>
      </c>
      <c r="Q140" s="2" t="s">
        <v>10930</v>
      </c>
      <c r="R140" s="2" t="s">
        <v>502</v>
      </c>
      <c r="S140" s="2" t="s">
        <v>503</v>
      </c>
      <c r="T140" s="2" t="s">
        <v>205</v>
      </c>
      <c r="U140" s="2" t="s">
        <v>1086</v>
      </c>
      <c r="V140" s="2" t="s">
        <v>24</v>
      </c>
      <c r="W140" s="2" t="s">
        <v>39</v>
      </c>
    </row>
    <row r="141">
      <c r="A141" s="2" t="n">
        <v>86</v>
      </c>
      <c r="B141" s="2" t="s">
        <v>10931</v>
      </c>
      <c r="C141" s="2" t="s">
        <v>1100</v>
      </c>
      <c r="D141" s="2" t="n">
        <v>152.959625174</v>
      </c>
      <c r="E141" s="2" t="n">
        <v>1.84934847096576</v>
      </c>
      <c r="F141" s="2" t="s">
        <v>1102</v>
      </c>
      <c r="G141" s="2" t="n">
        <v>56043</v>
      </c>
      <c r="H141" s="3" t="str">
        <f>HYPERLINK("http://funmeta.oebiotech.com/network/56043", "http://funmeta.oebiotech.com/network/56043")</f>
      </c>
      <c r="I141" s="2" t="s">
        <v>1104</v>
      </c>
      <c r="J141" s="2"/>
      <c r="K141" s="2"/>
      <c r="L141" s="2" t="s">
        <v>1105</v>
      </c>
      <c r="M141" s="2" t="s">
        <v>1106</v>
      </c>
      <c r="N141" s="2" t="s">
        <v>1107</v>
      </c>
      <c r="O141" s="2" t="s">
        <v>1108</v>
      </c>
      <c r="P141" s="2" t="s">
        <v>1109</v>
      </c>
      <c r="Q141" s="2" t="s">
        <v>1110</v>
      </c>
      <c r="R141" s="2" t="s">
        <v>49</v>
      </c>
      <c r="S141" s="2" t="s">
        <v>165</v>
      </c>
      <c r="T141" s="2" t="s">
        <v>179</v>
      </c>
      <c r="U141" s="2" t="s">
        <v>1101</v>
      </c>
      <c r="V141" s="2" t="s">
        <v>522</v>
      </c>
      <c r="W141" s="2" t="s">
        <v>39</v>
      </c>
    </row>
    <row r="142">
      <c r="A142" s="2" t="n">
        <v>87</v>
      </c>
      <c r="B142" s="2" t="s">
        <v>10932</v>
      </c>
      <c r="C142" s="2" t="s">
        <v>1111</v>
      </c>
      <c r="D142" s="2" t="n">
        <v>152.995834323</v>
      </c>
      <c r="E142" s="2" t="n">
        <v>5.17020932824644</v>
      </c>
      <c r="F142" s="2" t="s">
        <v>1113</v>
      </c>
      <c r="G142" s="2" t="n">
        <v>200732</v>
      </c>
      <c r="H142" s="3" t="str">
        <f>HYPERLINK("http://funmeta.oebiotech.com/network/200732", "http://funmeta.oebiotech.com/network/200732")</f>
      </c>
      <c r="I142" s="2" t="s">
        <v>1115</v>
      </c>
      <c r="J142" s="2"/>
      <c r="K142" s="2"/>
      <c r="L142" s="2"/>
      <c r="M142" s="2"/>
      <c r="N142" s="2" t="s">
        <v>1116</v>
      </c>
      <c r="O142" s="2"/>
      <c r="P142" s="2" t="s">
        <v>1117</v>
      </c>
      <c r="Q142" s="2" t="s">
        <v>1118</v>
      </c>
      <c r="R142" s="2" t="s">
        <v>49</v>
      </c>
      <c r="S142" s="2" t="s">
        <v>782</v>
      </c>
      <c r="T142" s="2" t="s">
        <v>1119</v>
      </c>
      <c r="U142" s="2" t="s">
        <v>1112</v>
      </c>
      <c r="V142" s="2" t="s">
        <v>110</v>
      </c>
      <c r="W142" s="2"/>
    </row>
    <row r="143">
      <c r="A143" s="2" t="n">
        <v>88</v>
      </c>
      <c r="B143" s="2" t="s">
        <v>10933</v>
      </c>
      <c r="C143" s="2" t="s">
        <v>1120</v>
      </c>
      <c r="D143" s="2" t="n">
        <v>153.037959632</v>
      </c>
      <c r="E143" s="2" t="n">
        <v>1.61898320871056</v>
      </c>
      <c r="F143" s="2" t="s">
        <v>10934</v>
      </c>
      <c r="G143" s="2" t="n">
        <v>63736</v>
      </c>
      <c r="H143" s="3" t="str">
        <f>HYPERLINK("http://funmeta.oebiotech.com/network/63736", "http://funmeta.oebiotech.com/network/63736")</f>
      </c>
      <c r="I143" s="2" t="s">
        <v>10935</v>
      </c>
      <c r="J143" s="2" t="s">
        <v>10936</v>
      </c>
      <c r="K143" s="2"/>
      <c r="L143" s="2"/>
      <c r="M143" s="2"/>
      <c r="N143" s="2" t="s">
        <v>10937</v>
      </c>
      <c r="O143" s="2" t="s">
        <v>10938</v>
      </c>
      <c r="P143" s="2" t="s">
        <v>10939</v>
      </c>
      <c r="Q143" s="2" t="s">
        <v>10940</v>
      </c>
      <c r="R143" s="2" t="s">
        <v>64</v>
      </c>
      <c r="S143" s="2" t="s">
        <v>65</v>
      </c>
      <c r="T143" s="2" t="s">
        <v>91</v>
      </c>
      <c r="U143" s="2" t="s">
        <v>1121</v>
      </c>
      <c r="V143" s="2" t="s">
        <v>110</v>
      </c>
      <c r="W143" s="2"/>
    </row>
    <row r="144">
      <c r="A144" s="2" t="n">
        <v>88</v>
      </c>
      <c r="B144" s="2" t="s">
        <v>10941</v>
      </c>
      <c r="C144" s="2" t="s">
        <v>1120</v>
      </c>
      <c r="D144" s="2" t="n">
        <v>153.037959632</v>
      </c>
      <c r="E144" s="2" t="n">
        <v>1.61898320871056</v>
      </c>
      <c r="F144" s="2" t="s">
        <v>10942</v>
      </c>
      <c r="G144" s="2" t="n">
        <v>63440</v>
      </c>
      <c r="H144" s="3" t="str">
        <f>HYPERLINK("http://funmeta.oebiotech.com/network/63440", "http://funmeta.oebiotech.com/network/63440")</f>
      </c>
      <c r="I144" s="2" t="s">
        <v>10943</v>
      </c>
      <c r="J144" s="2" t="s">
        <v>10944</v>
      </c>
      <c r="K144" s="2"/>
      <c r="L144" s="2"/>
      <c r="M144" s="2"/>
      <c r="N144" s="2" t="s">
        <v>10945</v>
      </c>
      <c r="O144" s="2" t="s">
        <v>10946</v>
      </c>
      <c r="P144" s="2" t="s">
        <v>10947</v>
      </c>
      <c r="Q144" s="2" t="s">
        <v>10948</v>
      </c>
      <c r="R144" s="2" t="s">
        <v>64</v>
      </c>
      <c r="S144" s="2" t="s">
        <v>65</v>
      </c>
      <c r="T144" s="2" t="s">
        <v>91</v>
      </c>
      <c r="U144" s="2" t="s">
        <v>1121</v>
      </c>
      <c r="V144" s="2" t="s">
        <v>110</v>
      </c>
      <c r="W144" s="2"/>
    </row>
    <row r="145">
      <c r="A145" s="2" t="n">
        <v>88</v>
      </c>
      <c r="B145" s="2" t="s">
        <v>10949</v>
      </c>
      <c r="C145" s="2" t="s">
        <v>1120</v>
      </c>
      <c r="D145" s="2" t="n">
        <v>153.037959632</v>
      </c>
      <c r="E145" s="2" t="n">
        <v>1.61898320871056</v>
      </c>
      <c r="F145" s="2" t="s">
        <v>10950</v>
      </c>
      <c r="G145" s="2" t="n">
        <v>57198</v>
      </c>
      <c r="H145" s="3" t="str">
        <f>HYPERLINK("http://funmeta.oebiotech.com/network/57198", "http://funmeta.oebiotech.com/network/57198")</f>
      </c>
      <c r="I145" s="2" t="s">
        <v>10951</v>
      </c>
      <c r="J145" s="2" t="s">
        <v>10952</v>
      </c>
      <c r="K145" s="2"/>
      <c r="L145" s="2"/>
      <c r="M145" s="2"/>
      <c r="N145" s="2" t="s">
        <v>10953</v>
      </c>
      <c r="O145" s="2" t="s">
        <v>10954</v>
      </c>
      <c r="P145" s="2" t="s">
        <v>10955</v>
      </c>
      <c r="Q145" s="2" t="s">
        <v>10956</v>
      </c>
      <c r="R145" s="2" t="s">
        <v>64</v>
      </c>
      <c r="S145" s="2" t="s">
        <v>65</v>
      </c>
      <c r="T145" s="2" t="s">
        <v>91</v>
      </c>
      <c r="U145" s="2" t="s">
        <v>1121</v>
      </c>
      <c r="V145" s="2" t="s">
        <v>110</v>
      </c>
      <c r="W145" s="2"/>
    </row>
    <row r="146">
      <c r="A146" s="2" t="n">
        <v>89</v>
      </c>
      <c r="B146" s="2" t="s">
        <v>10957</v>
      </c>
      <c r="C146" s="2" t="s">
        <v>1131</v>
      </c>
      <c r="D146" s="2" t="n">
        <v>154.061650233</v>
      </c>
      <c r="E146" s="2" t="n">
        <v>0.00644744940666588</v>
      </c>
      <c r="F146" s="2" t="s">
        <v>1133</v>
      </c>
      <c r="G146" s="2" t="n">
        <v>48262</v>
      </c>
      <c r="H146" s="3" t="str">
        <f>HYPERLINK("http://funmeta.oebiotech.com/network/48262", "http://funmeta.oebiotech.com/network/48262")</f>
      </c>
      <c r="I146" s="2" t="s">
        <v>1135</v>
      </c>
      <c r="J146" s="2" t="s">
        <v>1136</v>
      </c>
      <c r="K146" s="2"/>
      <c r="L146" s="2" t="s">
        <v>1137</v>
      </c>
      <c r="M146" s="2" t="s">
        <v>1138</v>
      </c>
      <c r="N146" s="2" t="s">
        <v>1139</v>
      </c>
      <c r="O146" s="2" t="s">
        <v>1140</v>
      </c>
      <c r="P146" s="2" t="s">
        <v>1141</v>
      </c>
      <c r="Q146" s="2" t="s">
        <v>1142</v>
      </c>
      <c r="R146" s="2" t="s">
        <v>49</v>
      </c>
      <c r="S146" s="2" t="s">
        <v>396</v>
      </c>
      <c r="T146" s="2" t="s">
        <v>397</v>
      </c>
      <c r="U146" s="2" t="s">
        <v>1132</v>
      </c>
      <c r="V146" s="2" t="s">
        <v>42</v>
      </c>
      <c r="W146" s="2" t="s">
        <v>39</v>
      </c>
    </row>
    <row r="147">
      <c r="A147" s="2" t="n">
        <v>90</v>
      </c>
      <c r="B147" s="2" t="s">
        <v>10958</v>
      </c>
      <c r="C147" s="2" t="s">
        <v>1143</v>
      </c>
      <c r="D147" s="2" t="n">
        <v>154.912306888</v>
      </c>
      <c r="E147" s="2" t="n">
        <v>17.4255616799998</v>
      </c>
      <c r="F147" s="2" t="s">
        <v>1145</v>
      </c>
      <c r="G147" s="2" t="n">
        <v>55793</v>
      </c>
      <c r="H147" s="3" t="str">
        <f>HYPERLINK("http://funmeta.oebiotech.com/network/55793", "http://funmeta.oebiotech.com/network/55793")</f>
      </c>
      <c r="I147" s="2" t="s">
        <v>1147</v>
      </c>
      <c r="J147" s="2" t="s">
        <v>1148</v>
      </c>
      <c r="K147" s="2"/>
      <c r="L147" s="2"/>
      <c r="M147" s="2"/>
      <c r="N147" s="2" t="s">
        <v>1149</v>
      </c>
      <c r="O147" s="2" t="s">
        <v>1150</v>
      </c>
      <c r="P147" s="2" t="s">
        <v>1151</v>
      </c>
      <c r="Q147" s="2" t="s">
        <v>1152</v>
      </c>
      <c r="R147" s="2" t="s">
        <v>355</v>
      </c>
      <c r="S147" s="2" t="s">
        <v>1153</v>
      </c>
      <c r="T147" s="2" t="s">
        <v>205</v>
      </c>
      <c r="U147" s="2" t="s">
        <v>1144</v>
      </c>
      <c r="V147" s="2" t="s">
        <v>110</v>
      </c>
      <c r="W147" s="2"/>
    </row>
    <row r="148">
      <c r="A148" s="2" t="n">
        <v>91</v>
      </c>
      <c r="B148" s="2" t="s">
        <v>10959</v>
      </c>
      <c r="C148" s="2" t="s">
        <v>1154</v>
      </c>
      <c r="D148" s="2" t="n">
        <v>155.107749448</v>
      </c>
      <c r="E148" s="2" t="n">
        <v>1.00638848482241</v>
      </c>
      <c r="F148" s="2" t="s">
        <v>10960</v>
      </c>
      <c r="G148" s="2" t="n">
        <v>64082</v>
      </c>
      <c r="H148" s="3" t="str">
        <f>HYPERLINK("http://funmeta.oebiotech.com/network/64082", "http://funmeta.oebiotech.com/network/64082")</f>
      </c>
      <c r="I148" s="2" t="s">
        <v>10961</v>
      </c>
      <c r="J148" s="2" t="s">
        <v>10962</v>
      </c>
      <c r="K148" s="2"/>
      <c r="L148" s="2"/>
      <c r="M148" s="2" t="s">
        <v>10963</v>
      </c>
      <c r="N148" s="2" t="s">
        <v>10964</v>
      </c>
      <c r="O148" s="2" t="s">
        <v>10965</v>
      </c>
      <c r="P148" s="2" t="s">
        <v>10966</v>
      </c>
      <c r="Q148" s="2" t="s">
        <v>10967</v>
      </c>
      <c r="R148" s="2" t="s">
        <v>491</v>
      </c>
      <c r="S148" s="2" t="s">
        <v>492</v>
      </c>
      <c r="T148" s="2" t="s">
        <v>10968</v>
      </c>
      <c r="U148" s="2" t="s">
        <v>1155</v>
      </c>
      <c r="V148" s="2" t="s">
        <v>24</v>
      </c>
      <c r="W148" s="2"/>
    </row>
    <row r="149">
      <c r="A149" s="2" t="n">
        <v>91</v>
      </c>
      <c r="B149" s="2" t="s">
        <v>10969</v>
      </c>
      <c r="C149" s="2" t="s">
        <v>1154</v>
      </c>
      <c r="D149" s="2" t="n">
        <v>155.107749448</v>
      </c>
      <c r="E149" s="2" t="n">
        <v>1.00638848482241</v>
      </c>
      <c r="F149" s="2" t="s">
        <v>10970</v>
      </c>
      <c r="G149" s="2" t="n">
        <v>83404</v>
      </c>
      <c r="H149" s="3" t="str">
        <f>HYPERLINK("http://funmeta.oebiotech.com/network/83404", "http://funmeta.oebiotech.com/network/83404")</f>
      </c>
      <c r="I149" s="2" t="s">
        <v>10971</v>
      </c>
      <c r="J149" s="2"/>
      <c r="K149" s="2"/>
      <c r="L149" s="2"/>
      <c r="M149" s="2" t="s">
        <v>10972</v>
      </c>
      <c r="N149" s="2" t="s">
        <v>10973</v>
      </c>
      <c r="O149" s="2"/>
      <c r="P149" s="2" t="s">
        <v>10974</v>
      </c>
      <c r="Q149" s="2" t="s">
        <v>10975</v>
      </c>
      <c r="R149" s="2" t="s">
        <v>491</v>
      </c>
      <c r="S149" s="2" t="s">
        <v>10976</v>
      </c>
      <c r="T149" s="2" t="s">
        <v>205</v>
      </c>
      <c r="U149" s="2" t="s">
        <v>1155</v>
      </c>
      <c r="V149" s="2" t="s">
        <v>24</v>
      </c>
      <c r="W149" s="2"/>
    </row>
    <row r="150">
      <c r="A150" s="2" t="n">
        <v>91</v>
      </c>
      <c r="B150" s="2" t="s">
        <v>10977</v>
      </c>
      <c r="C150" s="2" t="s">
        <v>1154</v>
      </c>
      <c r="D150" s="2" t="n">
        <v>155.107749448</v>
      </c>
      <c r="E150" s="2" t="n">
        <v>1.00638848482241</v>
      </c>
      <c r="F150" s="2" t="s">
        <v>10978</v>
      </c>
      <c r="G150" s="2" t="n">
        <v>83405</v>
      </c>
      <c r="H150" s="3" t="str">
        <f>HYPERLINK("http://funmeta.oebiotech.com/network/83405", "http://funmeta.oebiotech.com/network/83405")</f>
      </c>
      <c r="I150" s="2" t="s">
        <v>10979</v>
      </c>
      <c r="J150" s="2"/>
      <c r="K150" s="2"/>
      <c r="L150" s="2"/>
      <c r="M150" s="2" t="s">
        <v>10980</v>
      </c>
      <c r="N150" s="2" t="s">
        <v>10981</v>
      </c>
      <c r="O150" s="2"/>
      <c r="P150" s="2" t="s">
        <v>10982</v>
      </c>
      <c r="Q150" s="2" t="s">
        <v>10983</v>
      </c>
      <c r="R150" s="2" t="s">
        <v>491</v>
      </c>
      <c r="S150" s="2" t="s">
        <v>492</v>
      </c>
      <c r="T150" s="2" t="s">
        <v>10968</v>
      </c>
      <c r="U150" s="2" t="s">
        <v>1155</v>
      </c>
      <c r="V150" s="2" t="s">
        <v>24</v>
      </c>
      <c r="W150" s="2"/>
    </row>
    <row r="151">
      <c r="A151" s="2" t="n">
        <v>92</v>
      </c>
      <c r="B151" s="2" t="s">
        <v>10984</v>
      </c>
      <c r="C151" s="2" t="s">
        <v>1168</v>
      </c>
      <c r="D151" s="2" t="n">
        <v>156.906129365</v>
      </c>
      <c r="E151" s="2" t="n">
        <v>9.01988668528853</v>
      </c>
      <c r="F151" s="2" t="s">
        <v>1170</v>
      </c>
      <c r="G151" s="2" t="n">
        <v>82255</v>
      </c>
      <c r="H151" s="3" t="str">
        <f>HYPERLINK("http://funmeta.oebiotech.com/network/82255", "http://funmeta.oebiotech.com/network/82255")</f>
      </c>
      <c r="I151" s="2" t="s">
        <v>1172</v>
      </c>
      <c r="J151" s="2" t="s">
        <v>1173</v>
      </c>
      <c r="K151" s="2"/>
      <c r="L151" s="2" t="s">
        <v>1174</v>
      </c>
      <c r="M151" s="2"/>
      <c r="N151" s="2" t="s">
        <v>1175</v>
      </c>
      <c r="O151" s="2" t="s">
        <v>1176</v>
      </c>
      <c r="P151" s="2" t="s">
        <v>1177</v>
      </c>
      <c r="Q151" s="2" t="s">
        <v>1178</v>
      </c>
      <c r="R151" s="2" t="s">
        <v>203</v>
      </c>
      <c r="S151" s="2" t="s">
        <v>1179</v>
      </c>
      <c r="T151" s="2" t="s">
        <v>205</v>
      </c>
      <c r="U151" s="2" t="s">
        <v>1169</v>
      </c>
      <c r="V151" s="2" t="s">
        <v>522</v>
      </c>
      <c r="W151" s="2" t="s">
        <v>39</v>
      </c>
    </row>
    <row r="152">
      <c r="A152" s="2" t="n">
        <v>93</v>
      </c>
      <c r="B152" s="2" t="s">
        <v>10985</v>
      </c>
      <c r="C152" s="2" t="s">
        <v>1180</v>
      </c>
      <c r="D152" s="2" t="n">
        <v>157.024930376</v>
      </c>
      <c r="E152" s="2" t="n">
        <v>3.48080980233779</v>
      </c>
      <c r="F152" s="2" t="s">
        <v>10986</v>
      </c>
      <c r="G152" s="2" t="n">
        <v>47246</v>
      </c>
      <c r="H152" s="3" t="str">
        <f>HYPERLINK("http://funmeta.oebiotech.com/network/47246", "http://funmeta.oebiotech.com/network/47246")</f>
      </c>
      <c r="I152" s="2" t="s">
        <v>10987</v>
      </c>
      <c r="J152" s="2" t="s">
        <v>10988</v>
      </c>
      <c r="K152" s="2"/>
      <c r="L152" s="2" t="s">
        <v>10989</v>
      </c>
      <c r="M152" s="2" t="s">
        <v>10990</v>
      </c>
      <c r="N152" s="2" t="s">
        <v>10991</v>
      </c>
      <c r="O152" s="2" t="s">
        <v>10992</v>
      </c>
      <c r="P152" s="2" t="s">
        <v>10993</v>
      </c>
      <c r="Q152" s="2" t="s">
        <v>10994</v>
      </c>
      <c r="R152" s="2" t="s">
        <v>49</v>
      </c>
      <c r="S152" s="2" t="s">
        <v>165</v>
      </c>
      <c r="T152" s="2" t="s">
        <v>166</v>
      </c>
      <c r="U152" s="2" t="s">
        <v>1181</v>
      </c>
      <c r="V152" s="2" t="s">
        <v>42</v>
      </c>
      <c r="W152" s="2" t="s">
        <v>39</v>
      </c>
    </row>
    <row r="153">
      <c r="A153" s="2" t="n">
        <v>93</v>
      </c>
      <c r="B153" s="2" t="s">
        <v>10995</v>
      </c>
      <c r="C153" s="2" t="s">
        <v>1180</v>
      </c>
      <c r="D153" s="2" t="n">
        <v>157.024930376</v>
      </c>
      <c r="E153" s="2" t="n">
        <v>3.48080980233779</v>
      </c>
      <c r="F153" s="2" t="s">
        <v>10996</v>
      </c>
      <c r="G153" s="2" t="n">
        <v>54360</v>
      </c>
      <c r="H153" s="3" t="str">
        <f>HYPERLINK("http://funmeta.oebiotech.com/network/54360", "http://funmeta.oebiotech.com/network/54360")</f>
      </c>
      <c r="I153" s="2" t="s">
        <v>10997</v>
      </c>
      <c r="J153" s="2"/>
      <c r="K153" s="2"/>
      <c r="L153" s="2" t="s">
        <v>10998</v>
      </c>
      <c r="M153" s="2"/>
      <c r="N153" s="2" t="s">
        <v>10999</v>
      </c>
      <c r="O153" s="2" t="s">
        <v>11000</v>
      </c>
      <c r="P153" s="2" t="s">
        <v>11001</v>
      </c>
      <c r="Q153" s="2" t="s">
        <v>11002</v>
      </c>
      <c r="R153" s="2" t="s">
        <v>49</v>
      </c>
      <c r="S153" s="2" t="s">
        <v>165</v>
      </c>
      <c r="T153" s="2" t="s">
        <v>166</v>
      </c>
      <c r="U153" s="2" t="s">
        <v>1181</v>
      </c>
      <c r="V153" s="2" t="s">
        <v>42</v>
      </c>
      <c r="W153" s="2" t="s">
        <v>39</v>
      </c>
    </row>
    <row r="154">
      <c r="A154" s="2" t="n">
        <v>94</v>
      </c>
      <c r="B154" s="2" t="s">
        <v>11003</v>
      </c>
      <c r="C154" s="2" t="s">
        <v>1192</v>
      </c>
      <c r="D154" s="2" t="n">
        <v>158.979125086</v>
      </c>
      <c r="E154" s="2" t="n">
        <v>1.31367030162275</v>
      </c>
      <c r="F154" s="2" t="s">
        <v>1194</v>
      </c>
      <c r="G154" s="2" t="n">
        <v>208626</v>
      </c>
      <c r="H154" s="3" t="str">
        <f>HYPERLINK("http://funmeta.oebiotech.com/network/208626", "http://funmeta.oebiotech.com/network/208626")</f>
      </c>
      <c r="I154" s="2" t="s">
        <v>1196</v>
      </c>
      <c r="J154" s="2" t="s">
        <v>1197</v>
      </c>
      <c r="K154" s="2"/>
      <c r="L154" s="2"/>
      <c r="M154" s="2" t="s">
        <v>1198</v>
      </c>
      <c r="N154" s="2" t="s">
        <v>1199</v>
      </c>
      <c r="O154" s="2"/>
      <c r="P154" s="2" t="s">
        <v>1200</v>
      </c>
      <c r="Q154" s="2" t="s">
        <v>1201</v>
      </c>
      <c r="R154" s="2" t="s">
        <v>49</v>
      </c>
      <c r="S154" s="2" t="s">
        <v>1202</v>
      </c>
      <c r="T154" s="2" t="s">
        <v>1203</v>
      </c>
      <c r="U154" s="2" t="s">
        <v>1193</v>
      </c>
      <c r="V154" s="2" t="s">
        <v>1019</v>
      </c>
      <c r="W154" s="2"/>
    </row>
    <row r="155">
      <c r="A155" s="2" t="n">
        <v>95</v>
      </c>
      <c r="B155" s="2" t="s">
        <v>11004</v>
      </c>
      <c r="C155" s="2" t="s">
        <v>1204</v>
      </c>
      <c r="D155" s="2" t="n">
        <v>159.030684456</v>
      </c>
      <c r="E155" s="2" t="n">
        <v>4.47811663226618</v>
      </c>
      <c r="F155" s="2" t="s">
        <v>1206</v>
      </c>
      <c r="G155" s="2" t="n">
        <v>54590</v>
      </c>
      <c r="H155" s="3" t="str">
        <f>HYPERLINK("http://funmeta.oebiotech.com/network/54590", "http://funmeta.oebiotech.com/network/54590")</f>
      </c>
      <c r="I155" s="2" t="s">
        <v>1208</v>
      </c>
      <c r="J155" s="2" t="s">
        <v>1209</v>
      </c>
      <c r="K155" s="2"/>
      <c r="L155" s="2"/>
      <c r="M155" s="2"/>
      <c r="N155" s="2" t="s">
        <v>1210</v>
      </c>
      <c r="O155" s="2" t="s">
        <v>1211</v>
      </c>
      <c r="P155" s="2" t="s">
        <v>1212</v>
      </c>
      <c r="Q155" s="2" t="s">
        <v>1213</v>
      </c>
      <c r="R155" s="2" t="s">
        <v>64</v>
      </c>
      <c r="S155" s="2" t="s">
        <v>65</v>
      </c>
      <c r="T155" s="2" t="s">
        <v>1214</v>
      </c>
      <c r="U155" s="2" t="s">
        <v>1205</v>
      </c>
      <c r="V155" s="2" t="s">
        <v>42</v>
      </c>
      <c r="W155" s="2"/>
    </row>
    <row r="156">
      <c r="A156" s="2" t="n">
        <v>96</v>
      </c>
      <c r="B156" s="2" t="s">
        <v>11005</v>
      </c>
      <c r="C156" s="2" t="s">
        <v>1215</v>
      </c>
      <c r="D156" s="2" t="n">
        <v>159.102668378</v>
      </c>
      <c r="E156" s="2" t="n">
        <v>11.4895902157819</v>
      </c>
      <c r="F156" s="2" t="s">
        <v>11006</v>
      </c>
      <c r="G156" s="2" t="n">
        <v>1960</v>
      </c>
      <c r="H156" s="3" t="str">
        <f>HYPERLINK("http://funmeta.oebiotech.com/network/1960", "http://funmeta.oebiotech.com/network/1960")</f>
      </c>
      <c r="I156" s="2" t="s">
        <v>11007</v>
      </c>
      <c r="J156" s="2" t="s">
        <v>11008</v>
      </c>
      <c r="K156" s="2" t="s">
        <v>11009</v>
      </c>
      <c r="L156" s="2" t="s">
        <v>11010</v>
      </c>
      <c r="M156" s="2" t="s">
        <v>11011</v>
      </c>
      <c r="N156" s="2" t="s">
        <v>11012</v>
      </c>
      <c r="O156" s="2" t="s">
        <v>11013</v>
      </c>
      <c r="P156" s="2" t="s">
        <v>11014</v>
      </c>
      <c r="Q156" s="2" t="s">
        <v>11015</v>
      </c>
      <c r="R156" s="2" t="s">
        <v>1490</v>
      </c>
      <c r="S156" s="2" t="s">
        <v>1491</v>
      </c>
      <c r="T156" s="2" t="s">
        <v>1492</v>
      </c>
      <c r="U156" s="2" t="s">
        <v>1216</v>
      </c>
      <c r="V156" s="2" t="s">
        <v>110</v>
      </c>
      <c r="W156" s="2" t="s">
        <v>39</v>
      </c>
    </row>
    <row r="157">
      <c r="A157" s="2" t="n">
        <v>96</v>
      </c>
      <c r="B157" s="2" t="s">
        <v>11016</v>
      </c>
      <c r="C157" s="2" t="s">
        <v>1215</v>
      </c>
      <c r="D157" s="2" t="n">
        <v>159.102668378</v>
      </c>
      <c r="E157" s="2" t="n">
        <v>11.4895902157819</v>
      </c>
      <c r="F157" s="2" t="s">
        <v>11017</v>
      </c>
      <c r="G157" s="2" t="n">
        <v>52506</v>
      </c>
      <c r="H157" s="3" t="str">
        <f>HYPERLINK("http://funmeta.oebiotech.com/network/52506", "http://funmeta.oebiotech.com/network/52506")</f>
      </c>
      <c r="I157" s="2" t="s">
        <v>11018</v>
      </c>
      <c r="J157" s="2" t="s">
        <v>11019</v>
      </c>
      <c r="K157" s="2"/>
      <c r="L157" s="2" t="s">
        <v>11020</v>
      </c>
      <c r="M157" s="2" t="s">
        <v>11021</v>
      </c>
      <c r="N157" s="2" t="s">
        <v>11022</v>
      </c>
      <c r="O157" s="2" t="s">
        <v>11023</v>
      </c>
      <c r="P157" s="2" t="s">
        <v>11024</v>
      </c>
      <c r="Q157" s="2" t="s">
        <v>11025</v>
      </c>
      <c r="R157" s="2" t="s">
        <v>1490</v>
      </c>
      <c r="S157" s="2" t="s">
        <v>1491</v>
      </c>
      <c r="T157" s="2" t="s">
        <v>1492</v>
      </c>
      <c r="U157" s="2" t="s">
        <v>1216</v>
      </c>
      <c r="V157" s="2" t="s">
        <v>110</v>
      </c>
      <c r="W157" s="2" t="s">
        <v>39</v>
      </c>
    </row>
    <row r="158">
      <c r="A158" s="2" t="n">
        <v>96</v>
      </c>
      <c r="B158" s="2" t="s">
        <v>11026</v>
      </c>
      <c r="C158" s="2" t="s">
        <v>1215</v>
      </c>
      <c r="D158" s="2" t="n">
        <v>159.102668378</v>
      </c>
      <c r="E158" s="2" t="n">
        <v>11.4895902157819</v>
      </c>
      <c r="F158" s="2" t="s">
        <v>11027</v>
      </c>
      <c r="G158" s="2" t="n">
        <v>1959</v>
      </c>
      <c r="H158" s="3" t="str">
        <f>HYPERLINK("http://funmeta.oebiotech.com/network/1959", "http://funmeta.oebiotech.com/network/1959")</f>
      </c>
      <c r="I158" s="2" t="s">
        <v>11028</v>
      </c>
      <c r="J158" s="2" t="s">
        <v>11029</v>
      </c>
      <c r="K158" s="2" t="s">
        <v>11030</v>
      </c>
      <c r="L158" s="2" t="s">
        <v>11031</v>
      </c>
      <c r="M158" s="2" t="s">
        <v>11032</v>
      </c>
      <c r="N158" s="2" t="s">
        <v>11033</v>
      </c>
      <c r="O158" s="2" t="s">
        <v>11034</v>
      </c>
      <c r="P158" s="2" t="s">
        <v>11035</v>
      </c>
      <c r="Q158" s="2" t="s">
        <v>11036</v>
      </c>
      <c r="R158" s="2" t="s">
        <v>1490</v>
      </c>
      <c r="S158" s="2" t="s">
        <v>1491</v>
      </c>
      <c r="T158" s="2" t="s">
        <v>1492</v>
      </c>
      <c r="U158" s="2" t="s">
        <v>1216</v>
      </c>
      <c r="V158" s="2" t="s">
        <v>110</v>
      </c>
      <c r="W158" s="2" t="s">
        <v>39</v>
      </c>
    </row>
    <row r="159">
      <c r="A159" s="2" t="n">
        <v>97</v>
      </c>
      <c r="B159" s="2" t="s">
        <v>11037</v>
      </c>
      <c r="C159" s="2" t="s">
        <v>1228</v>
      </c>
      <c r="D159" s="2" t="n">
        <v>159.9726286</v>
      </c>
      <c r="E159" s="2" t="n">
        <v>10.6420584056534</v>
      </c>
      <c r="F159" s="2" t="s">
        <v>11038</v>
      </c>
      <c r="G159" s="2" t="n">
        <v>201398</v>
      </c>
      <c r="H159" s="3" t="str">
        <f>HYPERLINK("http://funmeta.oebiotech.com/network/201398", "http://funmeta.oebiotech.com/network/201398")</f>
      </c>
      <c r="I159" s="2" t="s">
        <v>11039</v>
      </c>
      <c r="J159" s="2" t="s">
        <v>11040</v>
      </c>
      <c r="K159" s="2"/>
      <c r="L159" s="2" t="s">
        <v>11041</v>
      </c>
      <c r="M159" s="2" t="s">
        <v>11042</v>
      </c>
      <c r="N159" s="2" t="s">
        <v>11043</v>
      </c>
      <c r="O159" s="2" t="s">
        <v>11044</v>
      </c>
      <c r="P159" s="2" t="s">
        <v>11045</v>
      </c>
      <c r="Q159" s="2" t="s">
        <v>11046</v>
      </c>
      <c r="R159" s="2" t="s">
        <v>502</v>
      </c>
      <c r="S159" s="2" t="s">
        <v>503</v>
      </c>
      <c r="T159" s="2" t="s">
        <v>2313</v>
      </c>
      <c r="U159" s="2" t="s">
        <v>1229</v>
      </c>
      <c r="V159" s="2" t="s">
        <v>110</v>
      </c>
      <c r="W159" s="2" t="s">
        <v>39</v>
      </c>
    </row>
    <row r="160">
      <c r="A160" s="2" t="n">
        <v>97</v>
      </c>
      <c r="B160" s="2" t="s">
        <v>11047</v>
      </c>
      <c r="C160" s="2" t="s">
        <v>1228</v>
      </c>
      <c r="D160" s="2" t="n">
        <v>159.9726286</v>
      </c>
      <c r="E160" s="2" t="n">
        <v>10.6420584056534</v>
      </c>
      <c r="F160" s="2" t="s">
        <v>11048</v>
      </c>
      <c r="G160" s="2" t="n">
        <v>200879</v>
      </c>
      <c r="H160" s="3" t="str">
        <f>HYPERLINK("http://funmeta.oebiotech.com/network/200879", "http://funmeta.oebiotech.com/network/200879")</f>
      </c>
      <c r="I160" s="2" t="s">
        <v>11049</v>
      </c>
      <c r="J160" s="2" t="s">
        <v>11050</v>
      </c>
      <c r="K160" s="2"/>
      <c r="L160" s="2" t="s">
        <v>11051</v>
      </c>
      <c r="M160" s="2" t="s">
        <v>11052</v>
      </c>
      <c r="N160" s="2" t="s">
        <v>11053</v>
      </c>
      <c r="O160" s="2" t="s">
        <v>11054</v>
      </c>
      <c r="P160" s="2" t="s">
        <v>11055</v>
      </c>
      <c r="Q160" s="2" t="s">
        <v>11056</v>
      </c>
      <c r="R160" s="2" t="s">
        <v>502</v>
      </c>
      <c r="S160" s="2" t="s">
        <v>503</v>
      </c>
      <c r="T160" s="2" t="s">
        <v>2313</v>
      </c>
      <c r="U160" s="2" t="s">
        <v>1229</v>
      </c>
      <c r="V160" s="2" t="s">
        <v>110</v>
      </c>
      <c r="W160" s="2" t="s">
        <v>39</v>
      </c>
    </row>
    <row r="161">
      <c r="A161" s="2" t="n">
        <v>98</v>
      </c>
      <c r="B161" s="2" t="s">
        <v>11057</v>
      </c>
      <c r="C161" s="2" t="s">
        <v>1242</v>
      </c>
      <c r="D161" s="2" t="n">
        <v>160.983337504</v>
      </c>
      <c r="E161" s="2" t="n">
        <v>1.18231355063818</v>
      </c>
      <c r="F161" s="2" t="s">
        <v>11058</v>
      </c>
      <c r="G161" s="2" t="n">
        <v>57394</v>
      </c>
      <c r="H161" s="3" t="str">
        <f>HYPERLINK("http://funmeta.oebiotech.com/network/57394", "http://funmeta.oebiotech.com/network/57394")</f>
      </c>
      <c r="I161" s="2" t="s">
        <v>11059</v>
      </c>
      <c r="J161" s="2" t="s">
        <v>11060</v>
      </c>
      <c r="K161" s="2"/>
      <c r="L161" s="2"/>
      <c r="M161" s="2"/>
      <c r="N161" s="2" t="s">
        <v>11061</v>
      </c>
      <c r="O161" s="2" t="s">
        <v>11062</v>
      </c>
      <c r="P161" s="2" t="s">
        <v>11063</v>
      </c>
      <c r="Q161" s="2" t="s">
        <v>11064</v>
      </c>
      <c r="R161" s="2" t="s">
        <v>64</v>
      </c>
      <c r="S161" s="2" t="s">
        <v>65</v>
      </c>
      <c r="T161" s="2" t="s">
        <v>91</v>
      </c>
      <c r="U161" s="2" t="s">
        <v>1243</v>
      </c>
      <c r="V161" s="2" t="s">
        <v>522</v>
      </c>
      <c r="W161" s="2"/>
    </row>
    <row r="162">
      <c r="A162" s="2" t="n">
        <v>98</v>
      </c>
      <c r="B162" s="2" t="s">
        <v>11065</v>
      </c>
      <c r="C162" s="2" t="s">
        <v>1242</v>
      </c>
      <c r="D162" s="2" t="n">
        <v>160.983337504</v>
      </c>
      <c r="E162" s="2" t="n">
        <v>1.18231355063818</v>
      </c>
      <c r="F162" s="2" t="s">
        <v>11066</v>
      </c>
      <c r="G162" s="2" t="n">
        <v>57393</v>
      </c>
      <c r="H162" s="3" t="str">
        <f>HYPERLINK("http://funmeta.oebiotech.com/network/57393", "http://funmeta.oebiotech.com/network/57393")</f>
      </c>
      <c r="I162" s="2" t="s">
        <v>11067</v>
      </c>
      <c r="J162" s="2" t="s">
        <v>11068</v>
      </c>
      <c r="K162" s="2"/>
      <c r="L162" s="2"/>
      <c r="M162" s="2"/>
      <c r="N162" s="2" t="s">
        <v>11069</v>
      </c>
      <c r="O162" s="2" t="s">
        <v>11070</v>
      </c>
      <c r="P162" s="2" t="s">
        <v>11071</v>
      </c>
      <c r="Q162" s="2" t="s">
        <v>11072</v>
      </c>
      <c r="R162" s="2" t="s">
        <v>64</v>
      </c>
      <c r="S162" s="2" t="s">
        <v>65</v>
      </c>
      <c r="T162" s="2" t="s">
        <v>91</v>
      </c>
      <c r="U162" s="2" t="s">
        <v>1243</v>
      </c>
      <c r="V162" s="2" t="s">
        <v>522</v>
      </c>
      <c r="W162" s="2"/>
    </row>
    <row r="163">
      <c r="A163" s="2" t="n">
        <v>98</v>
      </c>
      <c r="B163" s="2" t="s">
        <v>11073</v>
      </c>
      <c r="C163" s="2" t="s">
        <v>1242</v>
      </c>
      <c r="D163" s="2" t="n">
        <v>160.983337504</v>
      </c>
      <c r="E163" s="2" t="n">
        <v>1.18231355063818</v>
      </c>
      <c r="F163" s="2" t="s">
        <v>11074</v>
      </c>
      <c r="G163" s="2" t="n">
        <v>56781</v>
      </c>
      <c r="H163" s="3" t="str">
        <f>HYPERLINK("http://funmeta.oebiotech.com/network/56781", "http://funmeta.oebiotech.com/network/56781")</f>
      </c>
      <c r="I163" s="2" t="s">
        <v>11075</v>
      </c>
      <c r="J163" s="2" t="s">
        <v>11076</v>
      </c>
      <c r="K163" s="2"/>
      <c r="L163" s="2"/>
      <c r="M163" s="2"/>
      <c r="N163" s="2" t="s">
        <v>11077</v>
      </c>
      <c r="O163" s="2" t="s">
        <v>11078</v>
      </c>
      <c r="P163" s="2" t="s">
        <v>11079</v>
      </c>
      <c r="Q163" s="2" t="s">
        <v>11080</v>
      </c>
      <c r="R163" s="2" t="s">
        <v>355</v>
      </c>
      <c r="S163" s="2" t="s">
        <v>588</v>
      </c>
      <c r="T163" s="2" t="s">
        <v>11081</v>
      </c>
      <c r="U163" s="2" t="s">
        <v>1243</v>
      </c>
      <c r="V163" s="2" t="s">
        <v>522</v>
      </c>
      <c r="W163" s="2"/>
    </row>
    <row r="164">
      <c r="A164" s="2" t="n">
        <v>99</v>
      </c>
      <c r="B164" s="2" t="s">
        <v>11082</v>
      </c>
      <c r="C164" s="2" t="s">
        <v>1255</v>
      </c>
      <c r="D164" s="2" t="n">
        <v>161.046884829</v>
      </c>
      <c r="E164" s="2" t="n">
        <v>1.08919571036254</v>
      </c>
      <c r="F164" s="2" t="s">
        <v>11083</v>
      </c>
      <c r="G164" s="2" t="n">
        <v>202221</v>
      </c>
      <c r="H164" s="3" t="str">
        <f>HYPERLINK("http://funmeta.oebiotech.com/network/202221", "http://funmeta.oebiotech.com/network/202221")</f>
      </c>
      <c r="I164" s="2" t="s">
        <v>11084</v>
      </c>
      <c r="J164" s="2"/>
      <c r="K164" s="2"/>
      <c r="L164" s="2"/>
      <c r="M164" s="2"/>
      <c r="N164" s="2"/>
      <c r="O164" s="2"/>
      <c r="P164" s="2" t="s">
        <v>11085</v>
      </c>
      <c r="Q164" s="2" t="s">
        <v>11086</v>
      </c>
      <c r="R164" s="2" t="s">
        <v>355</v>
      </c>
      <c r="S164" s="2" t="s">
        <v>356</v>
      </c>
      <c r="T164" s="2" t="s">
        <v>357</v>
      </c>
      <c r="U164" s="2" t="s">
        <v>1256</v>
      </c>
      <c r="V164" s="2" t="s">
        <v>110</v>
      </c>
      <c r="W164" s="2"/>
    </row>
    <row r="165">
      <c r="A165" s="2" t="n">
        <v>99</v>
      </c>
      <c r="B165" s="2" t="s">
        <v>11087</v>
      </c>
      <c r="C165" s="2" t="s">
        <v>1255</v>
      </c>
      <c r="D165" s="2" t="n">
        <v>161.046884829</v>
      </c>
      <c r="E165" s="2" t="n">
        <v>1.08919571036254</v>
      </c>
      <c r="F165" s="2" t="s">
        <v>11088</v>
      </c>
      <c r="G165" s="2" t="n">
        <v>199138</v>
      </c>
      <c r="H165" s="3" t="str">
        <f>HYPERLINK("http://funmeta.oebiotech.com/network/199138", "http://funmeta.oebiotech.com/network/199138")</f>
      </c>
      <c r="I165" s="2" t="s">
        <v>11089</v>
      </c>
      <c r="J165" s="2"/>
      <c r="K165" s="2"/>
      <c r="L165" s="2"/>
      <c r="M165" s="2"/>
      <c r="N165" s="2"/>
      <c r="O165" s="2"/>
      <c r="P165" s="2" t="s">
        <v>11090</v>
      </c>
      <c r="Q165" s="2" t="s">
        <v>11091</v>
      </c>
      <c r="R165" s="2" t="s">
        <v>355</v>
      </c>
      <c r="S165" s="2" t="s">
        <v>2748</v>
      </c>
      <c r="T165" s="2" t="s">
        <v>11092</v>
      </c>
      <c r="U165" s="2" t="s">
        <v>1256</v>
      </c>
      <c r="V165" s="2" t="s">
        <v>110</v>
      </c>
      <c r="W165" s="2"/>
    </row>
    <row r="166">
      <c r="A166" s="2" t="n">
        <v>100</v>
      </c>
      <c r="B166" s="2" t="s">
        <v>11093</v>
      </c>
      <c r="C166" s="2" t="s">
        <v>1264</v>
      </c>
      <c r="D166" s="2" t="n">
        <v>162.019116717</v>
      </c>
      <c r="E166" s="2" t="n">
        <v>4.71035659355971</v>
      </c>
      <c r="F166" s="2" t="s">
        <v>11094</v>
      </c>
      <c r="G166" s="2" t="n">
        <v>48937</v>
      </c>
      <c r="H166" s="3" t="str">
        <f>HYPERLINK("http://funmeta.oebiotech.com/network/48937", "http://funmeta.oebiotech.com/network/48937")</f>
      </c>
      <c r="I166" s="2" t="s">
        <v>11095</v>
      </c>
      <c r="J166" s="2" t="s">
        <v>11096</v>
      </c>
      <c r="K166" s="2"/>
      <c r="L166" s="2" t="s">
        <v>11097</v>
      </c>
      <c r="M166" s="2" t="s">
        <v>11098</v>
      </c>
      <c r="N166" s="2" t="s">
        <v>11099</v>
      </c>
      <c r="O166" s="2"/>
      <c r="P166" s="2" t="s">
        <v>11100</v>
      </c>
      <c r="Q166" s="2" t="s">
        <v>11101</v>
      </c>
      <c r="R166" s="2" t="s">
        <v>355</v>
      </c>
      <c r="S166" s="2" t="s">
        <v>1316</v>
      </c>
      <c r="T166" s="2" t="s">
        <v>1317</v>
      </c>
      <c r="U166" s="2" t="s">
        <v>1265</v>
      </c>
      <c r="V166" s="2" t="s">
        <v>42</v>
      </c>
      <c r="W166" s="2" t="s">
        <v>39</v>
      </c>
    </row>
    <row r="167">
      <c r="A167" s="2" t="n">
        <v>100</v>
      </c>
      <c r="B167" s="2" t="s">
        <v>11102</v>
      </c>
      <c r="C167" s="2" t="s">
        <v>1264</v>
      </c>
      <c r="D167" s="2" t="n">
        <v>162.019116717</v>
      </c>
      <c r="E167" s="2" t="n">
        <v>4.71035659355971</v>
      </c>
      <c r="F167" s="2" t="s">
        <v>11103</v>
      </c>
      <c r="G167" s="2" t="n">
        <v>57927</v>
      </c>
      <c r="H167" s="3" t="str">
        <f>HYPERLINK("http://funmeta.oebiotech.com/network/57927", "http://funmeta.oebiotech.com/network/57927")</f>
      </c>
      <c r="I167" s="2" t="s">
        <v>11104</v>
      </c>
      <c r="J167" s="2" t="s">
        <v>11105</v>
      </c>
      <c r="K167" s="2"/>
      <c r="L167" s="2" t="s">
        <v>11106</v>
      </c>
      <c r="M167" s="2" t="s">
        <v>11107</v>
      </c>
      <c r="N167" s="2" t="s">
        <v>11108</v>
      </c>
      <c r="O167" s="2" t="s">
        <v>11109</v>
      </c>
      <c r="P167" s="2" t="s">
        <v>11110</v>
      </c>
      <c r="Q167" s="2" t="s">
        <v>11111</v>
      </c>
      <c r="R167" s="2" t="s">
        <v>355</v>
      </c>
      <c r="S167" s="2" t="s">
        <v>11112</v>
      </c>
      <c r="T167" s="2" t="s">
        <v>11113</v>
      </c>
      <c r="U167" s="2" t="s">
        <v>1265</v>
      </c>
      <c r="V167" s="2" t="s">
        <v>42</v>
      </c>
      <c r="W167" s="2" t="s">
        <v>39</v>
      </c>
    </row>
    <row r="168">
      <c r="A168" s="2" t="n">
        <v>101</v>
      </c>
      <c r="B168" s="2" t="s">
        <v>11114</v>
      </c>
      <c r="C168" s="2" t="s">
        <v>1278</v>
      </c>
      <c r="D168" s="2" t="n">
        <v>163.039517808</v>
      </c>
      <c r="E168" s="2" t="n">
        <v>4.41721405322318</v>
      </c>
      <c r="F168" s="2" t="s">
        <v>11115</v>
      </c>
      <c r="G168" s="2" t="n">
        <v>46877</v>
      </c>
      <c r="H168" s="3" t="str">
        <f>HYPERLINK("http://funmeta.oebiotech.com/network/46877", "http://funmeta.oebiotech.com/network/46877")</f>
      </c>
      <c r="I168" s="2" t="s">
        <v>11116</v>
      </c>
      <c r="J168" s="2" t="s">
        <v>175</v>
      </c>
      <c r="K168" s="2"/>
      <c r="L168" s="2" t="s">
        <v>11117</v>
      </c>
      <c r="M168" s="2" t="s">
        <v>11118</v>
      </c>
      <c r="N168" s="2" t="s">
        <v>11119</v>
      </c>
      <c r="O168" s="2" t="s">
        <v>11120</v>
      </c>
      <c r="P168" s="2" t="s">
        <v>11121</v>
      </c>
      <c r="Q168" s="2" t="s">
        <v>11122</v>
      </c>
      <c r="R168" s="2" t="s">
        <v>502</v>
      </c>
      <c r="S168" s="2" t="s">
        <v>2369</v>
      </c>
      <c r="T168" s="2" t="s">
        <v>10898</v>
      </c>
      <c r="U168" s="2" t="s">
        <v>1279</v>
      </c>
      <c r="V168" s="2" t="s">
        <v>42</v>
      </c>
      <c r="W168" s="2" t="s">
        <v>39</v>
      </c>
    </row>
    <row r="169">
      <c r="A169" s="2" t="n">
        <v>101</v>
      </c>
      <c r="B169" s="2" t="s">
        <v>11123</v>
      </c>
      <c r="C169" s="2" t="s">
        <v>1278</v>
      </c>
      <c r="D169" s="2" t="n">
        <v>163.039517808</v>
      </c>
      <c r="E169" s="2" t="n">
        <v>4.41721405322318</v>
      </c>
      <c r="F169" s="2" t="s">
        <v>11124</v>
      </c>
      <c r="G169" s="2" t="n">
        <v>47026</v>
      </c>
      <c r="H169" s="3" t="str">
        <f>HYPERLINK("http://funmeta.oebiotech.com/network/47026", "http://funmeta.oebiotech.com/network/47026")</f>
      </c>
      <c r="I169" s="2" t="s">
        <v>11125</v>
      </c>
      <c r="J169" s="2" t="s">
        <v>11126</v>
      </c>
      <c r="K169" s="2"/>
      <c r="L169" s="2" t="s">
        <v>11127</v>
      </c>
      <c r="M169" s="2" t="s">
        <v>11128</v>
      </c>
      <c r="N169" s="2" t="s">
        <v>11129</v>
      </c>
      <c r="O169" s="2" t="s">
        <v>11130</v>
      </c>
      <c r="P169" s="2" t="s">
        <v>11131</v>
      </c>
      <c r="Q169" s="2" t="s">
        <v>11132</v>
      </c>
      <c r="R169" s="2" t="s">
        <v>2509</v>
      </c>
      <c r="S169" s="2" t="s">
        <v>6094</v>
      </c>
      <c r="T169" s="2" t="s">
        <v>205</v>
      </c>
      <c r="U169" s="2" t="s">
        <v>1279</v>
      </c>
      <c r="V169" s="2" t="s">
        <v>42</v>
      </c>
      <c r="W169" s="2" t="s">
        <v>39</v>
      </c>
    </row>
    <row r="170">
      <c r="A170" s="2" t="n">
        <v>101</v>
      </c>
      <c r="B170" s="2" t="s">
        <v>11133</v>
      </c>
      <c r="C170" s="2" t="s">
        <v>1278</v>
      </c>
      <c r="D170" s="2" t="n">
        <v>163.039517808</v>
      </c>
      <c r="E170" s="2" t="n">
        <v>4.41721405322318</v>
      </c>
      <c r="F170" s="2" t="s">
        <v>11134</v>
      </c>
      <c r="G170" s="2" t="n">
        <v>47202</v>
      </c>
      <c r="H170" s="3" t="str">
        <f>HYPERLINK("http://funmeta.oebiotech.com/network/47202", "http://funmeta.oebiotech.com/network/47202")</f>
      </c>
      <c r="I170" s="2" t="s">
        <v>11135</v>
      </c>
      <c r="J170" s="2" t="s">
        <v>11136</v>
      </c>
      <c r="K170" s="2"/>
      <c r="L170" s="2" t="s">
        <v>11137</v>
      </c>
      <c r="M170" s="2" t="s">
        <v>11138</v>
      </c>
      <c r="N170" s="2" t="s">
        <v>11139</v>
      </c>
      <c r="O170" s="2" t="s">
        <v>11140</v>
      </c>
      <c r="P170" s="2" t="s">
        <v>11141</v>
      </c>
      <c r="Q170" s="2" t="s">
        <v>11142</v>
      </c>
      <c r="R170" s="2" t="s">
        <v>2509</v>
      </c>
      <c r="S170" s="2" t="s">
        <v>6094</v>
      </c>
      <c r="T170" s="2" t="s">
        <v>205</v>
      </c>
      <c r="U170" s="2" t="s">
        <v>1279</v>
      </c>
      <c r="V170" s="2" t="s">
        <v>42</v>
      </c>
      <c r="W170" s="2" t="s">
        <v>39</v>
      </c>
    </row>
    <row r="171">
      <c r="A171" s="2" t="n">
        <v>102</v>
      </c>
      <c r="B171" s="2" t="s">
        <v>11143</v>
      </c>
      <c r="C171" s="2" t="s">
        <v>1293</v>
      </c>
      <c r="D171" s="2" t="n">
        <v>164.001752093</v>
      </c>
      <c r="E171" s="2" t="n">
        <v>19.9775578744461</v>
      </c>
      <c r="F171" s="2" t="s">
        <v>1295</v>
      </c>
      <c r="G171" s="2" t="n">
        <v>47858</v>
      </c>
      <c r="H171" s="3" t="str">
        <f>HYPERLINK("http://funmeta.oebiotech.com/network/47858", "http://funmeta.oebiotech.com/network/47858")</f>
      </c>
      <c r="I171" s="2" t="s">
        <v>1297</v>
      </c>
      <c r="J171" s="2" t="s">
        <v>1298</v>
      </c>
      <c r="K171" s="2"/>
      <c r="L171" s="2" t="s">
        <v>1299</v>
      </c>
      <c r="M171" s="2" t="s">
        <v>1300</v>
      </c>
      <c r="N171" s="2" t="s">
        <v>1301</v>
      </c>
      <c r="O171" s="2" t="s">
        <v>1302</v>
      </c>
      <c r="P171" s="2" t="s">
        <v>1303</v>
      </c>
      <c r="Q171" s="2" t="s">
        <v>1304</v>
      </c>
      <c r="R171" s="2" t="s">
        <v>49</v>
      </c>
      <c r="S171" s="2" t="s">
        <v>165</v>
      </c>
      <c r="T171" s="2" t="s">
        <v>166</v>
      </c>
      <c r="U171" s="2" t="s">
        <v>1294</v>
      </c>
      <c r="V171" s="2" t="s">
        <v>42</v>
      </c>
      <c r="W171" s="2" t="s">
        <v>39</v>
      </c>
    </row>
    <row r="172">
      <c r="A172" s="2" t="n">
        <v>103</v>
      </c>
      <c r="B172" s="2" t="s">
        <v>11144</v>
      </c>
      <c r="C172" s="2" t="s">
        <v>1305</v>
      </c>
      <c r="D172" s="2" t="n">
        <v>164.034766781</v>
      </c>
      <c r="E172" s="2" t="n">
        <v>6.88646380797132</v>
      </c>
      <c r="F172" s="2" t="s">
        <v>1307</v>
      </c>
      <c r="G172" s="2" t="n">
        <v>46827</v>
      </c>
      <c r="H172" s="3" t="str">
        <f>HYPERLINK("http://funmeta.oebiotech.com/network/46827", "http://funmeta.oebiotech.com/network/46827")</f>
      </c>
      <c r="I172" s="2" t="s">
        <v>1309</v>
      </c>
      <c r="J172" s="2" t="s">
        <v>161</v>
      </c>
      <c r="K172" s="2"/>
      <c r="L172" s="2" t="s">
        <v>1310</v>
      </c>
      <c r="M172" s="2" t="s">
        <v>1311</v>
      </c>
      <c r="N172" s="2" t="s">
        <v>1312</v>
      </c>
      <c r="O172" s="2" t="s">
        <v>1313</v>
      </c>
      <c r="P172" s="2" t="s">
        <v>1314</v>
      </c>
      <c r="Q172" s="2" t="s">
        <v>1315</v>
      </c>
      <c r="R172" s="2" t="s">
        <v>355</v>
      </c>
      <c r="S172" s="2" t="s">
        <v>1316</v>
      </c>
      <c r="T172" s="2" t="s">
        <v>1317</v>
      </c>
      <c r="U172" s="2" t="s">
        <v>1306</v>
      </c>
      <c r="V172" s="2" t="s">
        <v>42</v>
      </c>
      <c r="W172" s="2" t="s">
        <v>39</v>
      </c>
    </row>
    <row r="173">
      <c r="A173" s="2" t="n">
        <v>104</v>
      </c>
      <c r="B173" s="2" t="s">
        <v>11145</v>
      </c>
      <c r="C173" s="2" t="s">
        <v>1318</v>
      </c>
      <c r="D173" s="2" t="n">
        <v>164.071702601</v>
      </c>
      <c r="E173" s="2" t="n">
        <v>0.0530458698835324</v>
      </c>
      <c r="F173" s="2" t="s">
        <v>11146</v>
      </c>
      <c r="G173" s="2" t="n">
        <v>46902</v>
      </c>
      <c r="H173" s="3" t="str">
        <f>HYPERLINK("http://funmeta.oebiotech.com/network/46902", "http://funmeta.oebiotech.com/network/46902")</f>
      </c>
      <c r="I173" s="2" t="s">
        <v>11147</v>
      </c>
      <c r="J173" s="2" t="s">
        <v>11148</v>
      </c>
      <c r="K173" s="2"/>
      <c r="L173" s="2" t="s">
        <v>11149</v>
      </c>
      <c r="M173" s="2" t="s">
        <v>11150</v>
      </c>
      <c r="N173" s="2" t="s">
        <v>11151</v>
      </c>
      <c r="O173" s="2" t="s">
        <v>11152</v>
      </c>
      <c r="P173" s="2" t="s">
        <v>11153</v>
      </c>
      <c r="Q173" s="2" t="s">
        <v>11154</v>
      </c>
      <c r="R173" s="2" t="s">
        <v>49</v>
      </c>
      <c r="S173" s="2" t="s">
        <v>165</v>
      </c>
      <c r="T173" s="2" t="s">
        <v>166</v>
      </c>
      <c r="U173" s="2" t="s">
        <v>1319</v>
      </c>
      <c r="V173" s="2" t="s">
        <v>110</v>
      </c>
      <c r="W173" s="2" t="s">
        <v>39</v>
      </c>
    </row>
    <row r="174">
      <c r="A174" s="2" t="n">
        <v>104</v>
      </c>
      <c r="B174" s="2" t="s">
        <v>11155</v>
      </c>
      <c r="C174" s="2" t="s">
        <v>1318</v>
      </c>
      <c r="D174" s="2" t="n">
        <v>164.071702601</v>
      </c>
      <c r="E174" s="2" t="n">
        <v>0.0530458698835324</v>
      </c>
      <c r="F174" s="2" t="s">
        <v>11156</v>
      </c>
      <c r="G174" s="2" t="n">
        <v>48439</v>
      </c>
      <c r="H174" s="3" t="str">
        <f>HYPERLINK("http://funmeta.oebiotech.com/network/48439", "http://funmeta.oebiotech.com/network/48439")</f>
      </c>
      <c r="I174" s="2" t="s">
        <v>11157</v>
      </c>
      <c r="J174" s="2" t="s">
        <v>11158</v>
      </c>
      <c r="K174" s="2"/>
      <c r="L174" s="2" t="s">
        <v>11159</v>
      </c>
      <c r="M174" s="2" t="s">
        <v>11160</v>
      </c>
      <c r="N174" s="2" t="s">
        <v>11161</v>
      </c>
      <c r="O174" s="2" t="s">
        <v>11162</v>
      </c>
      <c r="P174" s="2" t="s">
        <v>11163</v>
      </c>
      <c r="Q174" s="2" t="s">
        <v>11164</v>
      </c>
      <c r="R174" s="2" t="s">
        <v>502</v>
      </c>
      <c r="S174" s="2" t="s">
        <v>503</v>
      </c>
      <c r="T174" s="2" t="s">
        <v>2174</v>
      </c>
      <c r="U174" s="2" t="s">
        <v>1319</v>
      </c>
      <c r="V174" s="2" t="s">
        <v>110</v>
      </c>
      <c r="W174" s="2" t="s">
        <v>39</v>
      </c>
    </row>
    <row r="175">
      <c r="A175" s="2" t="n">
        <v>104</v>
      </c>
      <c r="B175" s="2" t="s">
        <v>11165</v>
      </c>
      <c r="C175" s="2" t="s">
        <v>1318</v>
      </c>
      <c r="D175" s="2" t="n">
        <v>164.071702601</v>
      </c>
      <c r="E175" s="2" t="n">
        <v>0.0530458698835324</v>
      </c>
      <c r="F175" s="2" t="s">
        <v>11166</v>
      </c>
      <c r="G175" s="2" t="n">
        <v>83564</v>
      </c>
      <c r="H175" s="3" t="str">
        <f>HYPERLINK("http://funmeta.oebiotech.com/network/83564", "http://funmeta.oebiotech.com/network/83564")</f>
      </c>
      <c r="I175" s="2" t="s">
        <v>11167</v>
      </c>
      <c r="J175" s="2" t="s">
        <v>11168</v>
      </c>
      <c r="K175" s="2"/>
      <c r="L175" s="2" t="s">
        <v>11169</v>
      </c>
      <c r="M175" s="2"/>
      <c r="N175" s="2" t="s">
        <v>11170</v>
      </c>
      <c r="O175" s="2" t="s">
        <v>11171</v>
      </c>
      <c r="P175" s="2" t="s">
        <v>11172</v>
      </c>
      <c r="Q175" s="2" t="s">
        <v>11173</v>
      </c>
      <c r="R175" s="2" t="s">
        <v>64</v>
      </c>
      <c r="S175" s="2" t="s">
        <v>65</v>
      </c>
      <c r="T175" s="2" t="s">
        <v>91</v>
      </c>
      <c r="U175" s="2" t="s">
        <v>1319</v>
      </c>
      <c r="V175" s="2" t="s">
        <v>110</v>
      </c>
      <c r="W175" s="2" t="s">
        <v>39</v>
      </c>
    </row>
    <row r="176">
      <c r="A176" s="2" t="n">
        <v>105</v>
      </c>
      <c r="B176" s="2" t="s">
        <v>11174</v>
      </c>
      <c r="C176" s="2" t="s">
        <v>1333</v>
      </c>
      <c r="D176" s="2" t="n">
        <v>164.935341454</v>
      </c>
      <c r="E176" s="2" t="n">
        <v>13.7659792634673</v>
      </c>
      <c r="F176" s="2" t="s">
        <v>1335</v>
      </c>
      <c r="G176" s="2" t="n">
        <v>208723</v>
      </c>
      <c r="H176" s="3" t="str">
        <f>HYPERLINK("http://funmeta.oebiotech.com/network/208723", "http://funmeta.oebiotech.com/network/208723")</f>
      </c>
      <c r="I176" s="2" t="s">
        <v>1337</v>
      </c>
      <c r="J176" s="2"/>
      <c r="K176" s="2"/>
      <c r="L176" s="2"/>
      <c r="M176" s="2" t="s">
        <v>1338</v>
      </c>
      <c r="N176" s="2" t="s">
        <v>1339</v>
      </c>
      <c r="O176" s="2"/>
      <c r="P176" s="2" t="s">
        <v>1340</v>
      </c>
      <c r="Q176" s="2" t="s">
        <v>1341</v>
      </c>
      <c r="R176" s="2" t="s">
        <v>638</v>
      </c>
      <c r="S176" s="2" t="s">
        <v>1342</v>
      </c>
      <c r="T176" s="2" t="s">
        <v>1343</v>
      </c>
      <c r="U176" s="2" t="s">
        <v>1334</v>
      </c>
      <c r="V176" s="2" t="s">
        <v>522</v>
      </c>
      <c r="W176" s="2"/>
    </row>
    <row r="177">
      <c r="A177" s="2" t="n">
        <v>106</v>
      </c>
      <c r="B177" s="2" t="s">
        <v>11175</v>
      </c>
      <c r="C177" s="2" t="s">
        <v>1344</v>
      </c>
      <c r="D177" s="2" t="n">
        <v>165.982506479</v>
      </c>
      <c r="E177" s="2" t="n">
        <v>13.8372721485696</v>
      </c>
      <c r="F177" s="2" t="s">
        <v>1346</v>
      </c>
      <c r="G177" s="2" t="n">
        <v>206867</v>
      </c>
      <c r="H177" s="3" t="str">
        <f>HYPERLINK("http://funmeta.oebiotech.com/network/206867", "http://funmeta.oebiotech.com/network/206867")</f>
      </c>
      <c r="I177" s="2" t="s">
        <v>1348</v>
      </c>
      <c r="J177" s="2"/>
      <c r="K177" s="2"/>
      <c r="L177" s="2"/>
      <c r="M177" s="2"/>
      <c r="N177" s="2" t="s">
        <v>1349</v>
      </c>
      <c r="O177" s="2"/>
      <c r="P177" s="2" t="s">
        <v>1350</v>
      </c>
      <c r="Q177" s="2" t="s">
        <v>1351</v>
      </c>
      <c r="R177" s="2" t="s">
        <v>203</v>
      </c>
      <c r="S177" s="2" t="s">
        <v>1352</v>
      </c>
      <c r="T177" s="2" t="s">
        <v>1353</v>
      </c>
      <c r="U177" s="2" t="s">
        <v>1345</v>
      </c>
      <c r="V177" s="2" t="s">
        <v>522</v>
      </c>
      <c r="W177" s="2"/>
    </row>
    <row r="178">
      <c r="A178" s="2" t="n">
        <v>107</v>
      </c>
      <c r="B178" s="2" t="s">
        <v>11176</v>
      </c>
      <c r="C178" s="2" t="s">
        <v>1354</v>
      </c>
      <c r="D178" s="2" t="n">
        <v>166.014581645</v>
      </c>
      <c r="E178" s="2" t="n">
        <v>0.746742184092252</v>
      </c>
      <c r="F178" s="2" t="s">
        <v>11177</v>
      </c>
      <c r="G178" s="2" t="n">
        <v>200693</v>
      </c>
      <c r="H178" s="3" t="str">
        <f>HYPERLINK("http://funmeta.oebiotech.com/network/200693", "http://funmeta.oebiotech.com/network/200693")</f>
      </c>
      <c r="I178" s="2" t="s">
        <v>11178</v>
      </c>
      <c r="J178" s="2"/>
      <c r="K178" s="2"/>
      <c r="L178" s="2" t="s">
        <v>11179</v>
      </c>
      <c r="M178" s="2" t="s">
        <v>11180</v>
      </c>
      <c r="N178" s="2"/>
      <c r="O178" s="2"/>
      <c r="P178" s="2" t="s">
        <v>11181</v>
      </c>
      <c r="Q178" s="2" t="s">
        <v>11182</v>
      </c>
      <c r="R178" s="2" t="s">
        <v>502</v>
      </c>
      <c r="S178" s="2" t="s">
        <v>503</v>
      </c>
      <c r="T178" s="2" t="s">
        <v>2174</v>
      </c>
      <c r="U178" s="2" t="s">
        <v>1355</v>
      </c>
      <c r="V178" s="2" t="s">
        <v>110</v>
      </c>
      <c r="W178" s="2" t="s">
        <v>39</v>
      </c>
    </row>
    <row r="179">
      <c r="A179" s="2" t="n">
        <v>107</v>
      </c>
      <c r="B179" s="2" t="s">
        <v>11183</v>
      </c>
      <c r="C179" s="2" t="s">
        <v>1354</v>
      </c>
      <c r="D179" s="2" t="n">
        <v>166.014581653</v>
      </c>
      <c r="E179" s="2" t="n">
        <v>0.746742184092252</v>
      </c>
      <c r="F179" s="2" t="s">
        <v>11184</v>
      </c>
      <c r="G179" s="2" t="n">
        <v>201866</v>
      </c>
      <c r="H179" s="3" t="str">
        <f>HYPERLINK("http://funmeta.oebiotech.com/network/201866", "http://funmeta.oebiotech.com/network/201866")</f>
      </c>
      <c r="I179" s="2" t="s">
        <v>11185</v>
      </c>
      <c r="J179" s="2" t="s">
        <v>11186</v>
      </c>
      <c r="K179" s="2"/>
      <c r="L179" s="2" t="s">
        <v>11187</v>
      </c>
      <c r="M179" s="2" t="s">
        <v>11188</v>
      </c>
      <c r="N179" s="2" t="s">
        <v>11189</v>
      </c>
      <c r="O179" s="2"/>
      <c r="P179" s="2" t="s">
        <v>11190</v>
      </c>
      <c r="Q179" s="2" t="s">
        <v>11191</v>
      </c>
      <c r="R179" s="2" t="s">
        <v>502</v>
      </c>
      <c r="S179" s="2" t="s">
        <v>503</v>
      </c>
      <c r="T179" s="2" t="s">
        <v>2174</v>
      </c>
      <c r="U179" s="2" t="s">
        <v>1355</v>
      </c>
      <c r="V179" s="2" t="s">
        <v>110</v>
      </c>
      <c r="W179" s="2" t="s">
        <v>39</v>
      </c>
    </row>
    <row r="180">
      <c r="A180" s="2" t="n">
        <v>107</v>
      </c>
      <c r="B180" s="2" t="s">
        <v>11192</v>
      </c>
      <c r="C180" s="2" t="s">
        <v>1354</v>
      </c>
      <c r="D180" s="2" t="n">
        <v>166.014581653</v>
      </c>
      <c r="E180" s="2" t="n">
        <v>0.746742184092252</v>
      </c>
      <c r="F180" s="2" t="s">
        <v>11193</v>
      </c>
      <c r="G180" s="2" t="n">
        <v>46947</v>
      </c>
      <c r="H180" s="3" t="str">
        <f>HYPERLINK("http://funmeta.oebiotech.com/network/46947", "http://funmeta.oebiotech.com/network/46947")</f>
      </c>
      <c r="I180" s="2" t="s">
        <v>11194</v>
      </c>
      <c r="J180" s="2" t="s">
        <v>11195</v>
      </c>
      <c r="K180" s="2"/>
      <c r="L180" s="2" t="s">
        <v>11196</v>
      </c>
      <c r="M180" s="2" t="s">
        <v>11197</v>
      </c>
      <c r="N180" s="2" t="s">
        <v>11198</v>
      </c>
      <c r="O180" s="2" t="s">
        <v>11199</v>
      </c>
      <c r="P180" s="2" t="s">
        <v>11200</v>
      </c>
      <c r="Q180" s="2" t="s">
        <v>11201</v>
      </c>
      <c r="R180" s="2" t="s">
        <v>355</v>
      </c>
      <c r="S180" s="2" t="s">
        <v>1316</v>
      </c>
      <c r="T180" s="2" t="s">
        <v>1317</v>
      </c>
      <c r="U180" s="2" t="s">
        <v>1355</v>
      </c>
      <c r="V180" s="2" t="s">
        <v>110</v>
      </c>
      <c r="W180" s="2" t="s">
        <v>39</v>
      </c>
    </row>
    <row r="181">
      <c r="A181" s="2" t="n">
        <v>108</v>
      </c>
      <c r="B181" s="2" t="s">
        <v>11202</v>
      </c>
      <c r="C181" s="2" t="s">
        <v>1369</v>
      </c>
      <c r="D181" s="2" t="n">
        <v>166.048560223</v>
      </c>
      <c r="E181" s="2" t="n">
        <v>2.67633441372081</v>
      </c>
      <c r="F181" s="2" t="s">
        <v>11203</v>
      </c>
      <c r="G181" s="2" t="n">
        <v>2167</v>
      </c>
      <c r="H181" s="3" t="str">
        <f>HYPERLINK("http://funmeta.oebiotech.com/network/2167", "http://funmeta.oebiotech.com/network/2167")</f>
      </c>
      <c r="I181" s="2" t="s">
        <v>11204</v>
      </c>
      <c r="J181" s="2" t="s">
        <v>11205</v>
      </c>
      <c r="K181" s="2" t="s">
        <v>11206</v>
      </c>
      <c r="L181" s="2" t="s">
        <v>11207</v>
      </c>
      <c r="M181" s="2" t="s">
        <v>11208</v>
      </c>
      <c r="N181" s="2" t="s">
        <v>11209</v>
      </c>
      <c r="O181" s="2" t="s">
        <v>11210</v>
      </c>
      <c r="P181" s="2" t="s">
        <v>11211</v>
      </c>
      <c r="Q181" s="2" t="s">
        <v>11212</v>
      </c>
      <c r="R181" s="2" t="s">
        <v>49</v>
      </c>
      <c r="S181" s="2" t="s">
        <v>396</v>
      </c>
      <c r="T181" s="2" t="s">
        <v>11213</v>
      </c>
      <c r="U181" s="2" t="s">
        <v>1370</v>
      </c>
      <c r="V181" s="2" t="s">
        <v>360</v>
      </c>
      <c r="W181" s="2" t="s">
        <v>39</v>
      </c>
    </row>
    <row r="182">
      <c r="A182" s="2" t="n">
        <v>108</v>
      </c>
      <c r="B182" s="2" t="s">
        <v>11214</v>
      </c>
      <c r="C182" s="2" t="s">
        <v>1369</v>
      </c>
      <c r="D182" s="2" t="n">
        <v>166.048560223</v>
      </c>
      <c r="E182" s="2" t="n">
        <v>2.67633441372081</v>
      </c>
      <c r="F182" s="2" t="s">
        <v>11215</v>
      </c>
      <c r="G182" s="2" t="n">
        <v>47480</v>
      </c>
      <c r="H182" s="3" t="str">
        <f>HYPERLINK("http://funmeta.oebiotech.com/network/47480", "http://funmeta.oebiotech.com/network/47480")</f>
      </c>
      <c r="I182" s="2" t="s">
        <v>11216</v>
      </c>
      <c r="J182" s="2" t="s">
        <v>11217</v>
      </c>
      <c r="K182" s="2"/>
      <c r="L182" s="2" t="s">
        <v>11218</v>
      </c>
      <c r="M182" s="2" t="s">
        <v>11219</v>
      </c>
      <c r="N182" s="2" t="s">
        <v>11220</v>
      </c>
      <c r="O182" s="2" t="s">
        <v>11221</v>
      </c>
      <c r="P182" s="2" t="s">
        <v>11222</v>
      </c>
      <c r="Q182" s="2" t="s">
        <v>11223</v>
      </c>
      <c r="R182" s="2" t="s">
        <v>49</v>
      </c>
      <c r="S182" s="2" t="s">
        <v>165</v>
      </c>
      <c r="T182" s="2" t="s">
        <v>166</v>
      </c>
      <c r="U182" s="2" t="s">
        <v>1370</v>
      </c>
      <c r="V182" s="2" t="s">
        <v>360</v>
      </c>
      <c r="W182" s="2" t="s">
        <v>39</v>
      </c>
    </row>
    <row r="183">
      <c r="A183" s="2" t="n">
        <v>108</v>
      </c>
      <c r="B183" s="2" t="s">
        <v>11224</v>
      </c>
      <c r="C183" s="2" t="s">
        <v>1369</v>
      </c>
      <c r="D183" s="2" t="n">
        <v>166.048560223</v>
      </c>
      <c r="E183" s="2" t="n">
        <v>2.67633441372081</v>
      </c>
      <c r="F183" s="2" t="s">
        <v>11225</v>
      </c>
      <c r="G183" s="2" t="n">
        <v>48158</v>
      </c>
      <c r="H183" s="3" t="str">
        <f>HYPERLINK("http://funmeta.oebiotech.com/network/48158", "http://funmeta.oebiotech.com/network/48158")</f>
      </c>
      <c r="I183" s="2" t="s">
        <v>11226</v>
      </c>
      <c r="J183" s="2" t="s">
        <v>11227</v>
      </c>
      <c r="K183" s="2"/>
      <c r="L183" s="2" t="s">
        <v>11228</v>
      </c>
      <c r="M183" s="2" t="s">
        <v>11229</v>
      </c>
      <c r="N183" s="2" t="s">
        <v>11230</v>
      </c>
      <c r="O183" s="2" t="s">
        <v>11231</v>
      </c>
      <c r="P183" s="2" t="s">
        <v>11232</v>
      </c>
      <c r="Q183" s="2" t="s">
        <v>11233</v>
      </c>
      <c r="R183" s="2" t="s">
        <v>49</v>
      </c>
      <c r="S183" s="2" t="s">
        <v>165</v>
      </c>
      <c r="T183" s="2" t="s">
        <v>166</v>
      </c>
      <c r="U183" s="2" t="s">
        <v>1370</v>
      </c>
      <c r="V183" s="2" t="s">
        <v>360</v>
      </c>
      <c r="W183" s="2" t="s">
        <v>39</v>
      </c>
    </row>
    <row r="184">
      <c r="A184" s="2" t="n">
        <v>109</v>
      </c>
      <c r="B184" s="2" t="s">
        <v>11234</v>
      </c>
      <c r="C184" s="2" t="s">
        <v>1384</v>
      </c>
      <c r="D184" s="2" t="n">
        <v>168.033399239</v>
      </c>
      <c r="E184" s="2" t="n">
        <v>1.44703654825809</v>
      </c>
      <c r="F184" s="2" t="s">
        <v>1386</v>
      </c>
      <c r="G184" s="2" t="n">
        <v>200458</v>
      </c>
      <c r="H184" s="3" t="str">
        <f>HYPERLINK("http://funmeta.oebiotech.com/network/200458", "http://funmeta.oebiotech.com/network/200458")</f>
      </c>
      <c r="I184" s="2" t="s">
        <v>1388</v>
      </c>
      <c r="J184" s="2" t="s">
        <v>1389</v>
      </c>
      <c r="K184" s="2"/>
      <c r="L184" s="2" t="s">
        <v>1390</v>
      </c>
      <c r="M184" s="2" t="s">
        <v>1391</v>
      </c>
      <c r="N184" s="2" t="s">
        <v>1392</v>
      </c>
      <c r="O184" s="2" t="s">
        <v>1393</v>
      </c>
      <c r="P184" s="2" t="s">
        <v>1394</v>
      </c>
      <c r="Q184" s="2" t="s">
        <v>1395</v>
      </c>
      <c r="R184" s="2" t="s">
        <v>355</v>
      </c>
      <c r="S184" s="2" t="s">
        <v>1396</v>
      </c>
      <c r="T184" s="2" t="s">
        <v>205</v>
      </c>
      <c r="U184" s="2" t="s">
        <v>1385</v>
      </c>
      <c r="V184" s="2" t="s">
        <v>522</v>
      </c>
      <c r="W184" s="2" t="s">
        <v>39</v>
      </c>
    </row>
    <row r="185">
      <c r="A185" s="2" t="n">
        <v>110</v>
      </c>
      <c r="B185" s="2" t="s">
        <v>11235</v>
      </c>
      <c r="C185" s="2" t="s">
        <v>1397</v>
      </c>
      <c r="D185" s="2" t="n">
        <v>169.087018314</v>
      </c>
      <c r="E185" s="2" t="n">
        <v>1.38589311475419</v>
      </c>
      <c r="F185" s="2" t="s">
        <v>11236</v>
      </c>
      <c r="G185" s="2" t="n">
        <v>61689</v>
      </c>
      <c r="H185" s="3" t="str">
        <f>HYPERLINK("http://funmeta.oebiotech.com/network/61689", "http://funmeta.oebiotech.com/network/61689")</f>
      </c>
      <c r="I185" s="2" t="s">
        <v>11237</v>
      </c>
      <c r="J185" s="2" t="s">
        <v>11238</v>
      </c>
      <c r="K185" s="2"/>
      <c r="L185" s="2"/>
      <c r="M185" s="2"/>
      <c r="N185" s="2" t="s">
        <v>11239</v>
      </c>
      <c r="O185" s="2" t="s">
        <v>11240</v>
      </c>
      <c r="P185" s="2" t="s">
        <v>11241</v>
      </c>
      <c r="Q185" s="2" t="s">
        <v>11242</v>
      </c>
      <c r="R185" s="2" t="s">
        <v>49</v>
      </c>
      <c r="S185" s="2" t="s">
        <v>396</v>
      </c>
      <c r="T185" s="2" t="s">
        <v>11243</v>
      </c>
      <c r="U185" s="2" t="s">
        <v>1398</v>
      </c>
      <c r="V185" s="2" t="s">
        <v>110</v>
      </c>
      <c r="W185" s="2"/>
    </row>
    <row r="186">
      <c r="A186" s="2" t="n">
        <v>110</v>
      </c>
      <c r="B186" s="2" t="s">
        <v>11244</v>
      </c>
      <c r="C186" s="2" t="s">
        <v>1397</v>
      </c>
      <c r="D186" s="2" t="n">
        <v>169.087018314</v>
      </c>
      <c r="E186" s="2" t="n">
        <v>1.38589311475419</v>
      </c>
      <c r="F186" s="2" t="s">
        <v>11245</v>
      </c>
      <c r="G186" s="2" t="n">
        <v>55282</v>
      </c>
      <c r="H186" s="3" t="str">
        <f>HYPERLINK("http://funmeta.oebiotech.com/network/55282", "http://funmeta.oebiotech.com/network/55282")</f>
      </c>
      <c r="I186" s="2" t="s">
        <v>11246</v>
      </c>
      <c r="J186" s="2" t="s">
        <v>11247</v>
      </c>
      <c r="K186" s="2"/>
      <c r="L186" s="2"/>
      <c r="M186" s="2" t="s">
        <v>11248</v>
      </c>
      <c r="N186" s="2" t="s">
        <v>11249</v>
      </c>
      <c r="O186" s="2" t="s">
        <v>11250</v>
      </c>
      <c r="P186" s="2" t="s">
        <v>11251</v>
      </c>
      <c r="Q186" s="2" t="s">
        <v>11252</v>
      </c>
      <c r="R186" s="2" t="s">
        <v>355</v>
      </c>
      <c r="S186" s="2" t="s">
        <v>1713</v>
      </c>
      <c r="T186" s="2" t="s">
        <v>205</v>
      </c>
      <c r="U186" s="2" t="s">
        <v>1398</v>
      </c>
      <c r="V186" s="2" t="s">
        <v>110</v>
      </c>
      <c r="W186" s="2"/>
    </row>
    <row r="187">
      <c r="A187" s="2" t="n">
        <v>111</v>
      </c>
      <c r="B187" s="2" t="s">
        <v>11253</v>
      </c>
      <c r="C187" s="2" t="s">
        <v>1411</v>
      </c>
      <c r="D187" s="2" t="n">
        <v>171.00577289</v>
      </c>
      <c r="E187" s="2" t="n">
        <v>7.44123022911081</v>
      </c>
      <c r="F187" s="2" t="s">
        <v>1413</v>
      </c>
      <c r="G187" s="2" t="n">
        <v>201662</v>
      </c>
      <c r="H187" s="3" t="str">
        <f>HYPERLINK("http://funmeta.oebiotech.com/network/201662", "http://funmeta.oebiotech.com/network/201662")</f>
      </c>
      <c r="I187" s="2" t="s">
        <v>1415</v>
      </c>
      <c r="J187" s="2" t="s">
        <v>1416</v>
      </c>
      <c r="K187" s="2"/>
      <c r="L187" s="2"/>
      <c r="M187" s="2" t="s">
        <v>1417</v>
      </c>
      <c r="N187" s="2" t="s">
        <v>1418</v>
      </c>
      <c r="O187" s="2"/>
      <c r="P187" s="2" t="s">
        <v>1419</v>
      </c>
      <c r="Q187" s="2" t="s">
        <v>1420</v>
      </c>
      <c r="R187" s="2" t="s">
        <v>502</v>
      </c>
      <c r="S187" s="2" t="s">
        <v>503</v>
      </c>
      <c r="T187" s="2" t="s">
        <v>1421</v>
      </c>
      <c r="U187" s="2" t="s">
        <v>1412</v>
      </c>
      <c r="V187" s="2" t="s">
        <v>42</v>
      </c>
      <c r="W187" s="2"/>
    </row>
    <row r="188">
      <c r="A188" s="2" t="n">
        <v>112</v>
      </c>
      <c r="B188" s="2" t="s">
        <v>11254</v>
      </c>
      <c r="C188" s="2" t="s">
        <v>1422</v>
      </c>
      <c r="D188" s="2" t="n">
        <v>171.9720782</v>
      </c>
      <c r="E188" s="2" t="n">
        <v>18.1441851944064</v>
      </c>
      <c r="F188" s="2" t="s">
        <v>1424</v>
      </c>
      <c r="G188" s="2" t="n">
        <v>205151</v>
      </c>
      <c r="H188" s="3" t="str">
        <f>HYPERLINK("http://funmeta.oebiotech.com/network/205151", "http://funmeta.oebiotech.com/network/205151")</f>
      </c>
      <c r="I188" s="2" t="s">
        <v>1426</v>
      </c>
      <c r="J188" s="2" t="s">
        <v>1427</v>
      </c>
      <c r="K188" s="2"/>
      <c r="L188" s="2"/>
      <c r="M188" s="2"/>
      <c r="N188" s="2" t="s">
        <v>1428</v>
      </c>
      <c r="O188" s="2" t="s">
        <v>1429</v>
      </c>
      <c r="P188" s="2" t="s">
        <v>1430</v>
      </c>
      <c r="Q188" s="2" t="s">
        <v>1431</v>
      </c>
      <c r="R188" s="2" t="s">
        <v>355</v>
      </c>
      <c r="S188" s="2" t="s">
        <v>1316</v>
      </c>
      <c r="T188" s="2" t="s">
        <v>1432</v>
      </c>
      <c r="U188" s="2" t="s">
        <v>1423</v>
      </c>
      <c r="V188" s="2" t="s">
        <v>42</v>
      </c>
      <c r="W188" s="2"/>
    </row>
    <row r="189">
      <c r="A189" s="2" t="n">
        <v>113</v>
      </c>
      <c r="B189" s="2" t="s">
        <v>11255</v>
      </c>
      <c r="C189" s="2" t="s">
        <v>1433</v>
      </c>
      <c r="D189" s="2" t="n">
        <v>172.007388263</v>
      </c>
      <c r="E189" s="2" t="n">
        <v>4.15751881916762</v>
      </c>
      <c r="F189" s="2" t="s">
        <v>11256</v>
      </c>
      <c r="G189" s="2" t="n">
        <v>212068</v>
      </c>
      <c r="H189" s="3" t="str">
        <f>HYPERLINK("http://funmeta.oebiotech.com/network/212068", "http://funmeta.oebiotech.com/network/212068")</f>
      </c>
      <c r="I189" s="2" t="s">
        <v>11257</v>
      </c>
      <c r="J189" s="2"/>
      <c r="K189" s="2"/>
      <c r="L189" s="2" t="s">
        <v>11258</v>
      </c>
      <c r="M189" s="2" t="s">
        <v>11259</v>
      </c>
      <c r="N189" s="2"/>
      <c r="O189" s="2"/>
      <c r="P189" s="2" t="s">
        <v>11260</v>
      </c>
      <c r="Q189" s="2" t="s">
        <v>11261</v>
      </c>
      <c r="R189" s="2" t="s">
        <v>502</v>
      </c>
      <c r="S189" s="2" t="s">
        <v>503</v>
      </c>
      <c r="T189" s="2" t="s">
        <v>2613</v>
      </c>
      <c r="U189" s="2" t="s">
        <v>1434</v>
      </c>
      <c r="V189" s="2" t="s">
        <v>110</v>
      </c>
      <c r="W189" s="2" t="s">
        <v>39</v>
      </c>
    </row>
    <row r="190">
      <c r="A190" s="2" t="n">
        <v>113</v>
      </c>
      <c r="B190" s="2" t="s">
        <v>11262</v>
      </c>
      <c r="C190" s="2" t="s">
        <v>1433</v>
      </c>
      <c r="D190" s="2" t="n">
        <v>172.007388263</v>
      </c>
      <c r="E190" s="2" t="n">
        <v>4.15751881916762</v>
      </c>
      <c r="F190" s="2" t="s">
        <v>11263</v>
      </c>
      <c r="G190" s="2" t="n">
        <v>257678</v>
      </c>
      <c r="H190" s="3" t="str">
        <f>HYPERLINK("http://funmeta.oebiotech.com/network/257678", "http://funmeta.oebiotech.com/network/257678")</f>
      </c>
      <c r="I190" s="2" t="s">
        <v>11264</v>
      </c>
      <c r="J190" s="2"/>
      <c r="K190" s="2"/>
      <c r="L190" s="2" t="s">
        <v>11265</v>
      </c>
      <c r="M190" s="2" t="s">
        <v>11266</v>
      </c>
      <c r="N190" s="2" t="s">
        <v>11267</v>
      </c>
      <c r="O190" s="2"/>
      <c r="P190" s="2" t="s">
        <v>11268</v>
      </c>
      <c r="Q190" s="2" t="s">
        <v>11269</v>
      </c>
      <c r="R190" s="2" t="s">
        <v>502</v>
      </c>
      <c r="S190" s="2" t="s">
        <v>503</v>
      </c>
      <c r="T190" s="2" t="s">
        <v>2613</v>
      </c>
      <c r="U190" s="2" t="s">
        <v>1434</v>
      </c>
      <c r="V190" s="2" t="s">
        <v>110</v>
      </c>
      <c r="W190" s="2" t="s">
        <v>39</v>
      </c>
    </row>
    <row r="191">
      <c r="A191" s="2" t="n">
        <v>114</v>
      </c>
      <c r="B191" s="2" t="s">
        <v>11270</v>
      </c>
      <c r="C191" s="2" t="s">
        <v>1444</v>
      </c>
      <c r="D191" s="2" t="n">
        <v>172.061531845</v>
      </c>
      <c r="E191" s="2" t="n">
        <v>11.566268328501</v>
      </c>
      <c r="F191" s="2" t="s">
        <v>1446</v>
      </c>
      <c r="G191" s="2" t="n">
        <v>48743</v>
      </c>
      <c r="H191" s="3" t="str">
        <f>HYPERLINK("http://funmeta.oebiotech.com/network/48743", "http://funmeta.oebiotech.com/network/48743")</f>
      </c>
      <c r="I191" s="2" t="s">
        <v>1448</v>
      </c>
      <c r="J191" s="2" t="s">
        <v>1449</v>
      </c>
      <c r="K191" s="2"/>
      <c r="L191" s="2" t="s">
        <v>1450</v>
      </c>
      <c r="M191" s="2" t="s">
        <v>1451</v>
      </c>
      <c r="N191" s="2" t="s">
        <v>1452</v>
      </c>
      <c r="O191" s="2" t="s">
        <v>1453</v>
      </c>
      <c r="P191" s="2" t="s">
        <v>1454</v>
      </c>
      <c r="Q191" s="2" t="s">
        <v>1455</v>
      </c>
      <c r="R191" s="2" t="s">
        <v>49</v>
      </c>
      <c r="S191" s="2" t="s">
        <v>165</v>
      </c>
      <c r="T191" s="2" t="s">
        <v>166</v>
      </c>
      <c r="U191" s="2" t="s">
        <v>1445</v>
      </c>
      <c r="V191" s="2" t="s">
        <v>110</v>
      </c>
      <c r="W191" s="2" t="s">
        <v>39</v>
      </c>
    </row>
    <row r="192">
      <c r="A192" s="2" t="n">
        <v>115</v>
      </c>
      <c r="B192" s="2" t="s">
        <v>11271</v>
      </c>
      <c r="C192" s="2" t="s">
        <v>1456</v>
      </c>
      <c r="D192" s="2" t="n">
        <v>173.04871495</v>
      </c>
      <c r="E192" s="2" t="n">
        <v>8.19247643692655</v>
      </c>
      <c r="F192" s="2" t="s">
        <v>1458</v>
      </c>
      <c r="G192" s="2" t="n">
        <v>200874</v>
      </c>
      <c r="H192" s="3" t="str">
        <f>HYPERLINK("http://funmeta.oebiotech.com/network/200874", "http://funmeta.oebiotech.com/network/200874")</f>
      </c>
      <c r="I192" s="2" t="s">
        <v>1460</v>
      </c>
      <c r="J192" s="2" t="s">
        <v>1461</v>
      </c>
      <c r="K192" s="2"/>
      <c r="L192" s="2" t="s">
        <v>1462</v>
      </c>
      <c r="M192" s="2"/>
      <c r="N192" s="2" t="s">
        <v>1463</v>
      </c>
      <c r="O192" s="2" t="s">
        <v>1464</v>
      </c>
      <c r="P192" s="2" t="s">
        <v>1465</v>
      </c>
      <c r="Q192" s="2" t="s">
        <v>1466</v>
      </c>
      <c r="R192" s="2" t="s">
        <v>502</v>
      </c>
      <c r="S192" s="2" t="s">
        <v>1467</v>
      </c>
      <c r="T192" s="2" t="s">
        <v>1468</v>
      </c>
      <c r="U192" s="2" t="s">
        <v>1457</v>
      </c>
      <c r="V192" s="2" t="s">
        <v>522</v>
      </c>
      <c r="W192" s="2" t="s">
        <v>39</v>
      </c>
    </row>
    <row r="193">
      <c r="A193" s="2" t="n">
        <v>116</v>
      </c>
      <c r="B193" s="2" t="s">
        <v>11272</v>
      </c>
      <c r="C193" s="2" t="s">
        <v>1469</v>
      </c>
      <c r="D193" s="2" t="n">
        <v>174.041583493</v>
      </c>
      <c r="E193" s="2" t="n">
        <v>1.39624002094282</v>
      </c>
      <c r="F193" s="2" t="s">
        <v>1471</v>
      </c>
      <c r="G193" s="2" t="n">
        <v>202357</v>
      </c>
      <c r="H193" s="3" t="str">
        <f>HYPERLINK("http://funmeta.oebiotech.com/network/202357", "http://funmeta.oebiotech.com/network/202357")</f>
      </c>
      <c r="I193" s="2" t="s">
        <v>1473</v>
      </c>
      <c r="J193" s="2"/>
      <c r="K193" s="2"/>
      <c r="L193" s="2"/>
      <c r="M193" s="2"/>
      <c r="N193" s="2" t="s">
        <v>1474</v>
      </c>
      <c r="O193" s="2"/>
      <c r="P193" s="2" t="s">
        <v>1475</v>
      </c>
      <c r="Q193" s="2" t="s">
        <v>1476</v>
      </c>
      <c r="R193" s="2" t="s">
        <v>355</v>
      </c>
      <c r="S193" s="2" t="s">
        <v>1477</v>
      </c>
      <c r="T193" s="2" t="s">
        <v>1478</v>
      </c>
      <c r="U193" s="2" t="s">
        <v>1470</v>
      </c>
      <c r="V193" s="2" t="s">
        <v>42</v>
      </c>
      <c r="W193" s="2"/>
    </row>
    <row r="194">
      <c r="A194" s="2" t="n">
        <v>117</v>
      </c>
      <c r="B194" s="2" t="s">
        <v>11273</v>
      </c>
      <c r="C194" s="2" t="s">
        <v>1479</v>
      </c>
      <c r="D194" s="2" t="n">
        <v>174.988744566</v>
      </c>
      <c r="E194" s="2" t="n">
        <v>1.33346838879137</v>
      </c>
      <c r="F194" s="2" t="s">
        <v>1481</v>
      </c>
      <c r="G194" s="2" t="n">
        <v>59570</v>
      </c>
      <c r="H194" s="3" t="str">
        <f>HYPERLINK("http://funmeta.oebiotech.com/network/59570", "http://funmeta.oebiotech.com/network/59570")</f>
      </c>
      <c r="I194" s="2" t="s">
        <v>1483</v>
      </c>
      <c r="J194" s="2" t="s">
        <v>1484</v>
      </c>
      <c r="K194" s="2"/>
      <c r="L194" s="2"/>
      <c r="M194" s="2" t="s">
        <v>1485</v>
      </c>
      <c r="N194" s="2" t="s">
        <v>1486</v>
      </c>
      <c r="O194" s="2" t="s">
        <v>1487</v>
      </c>
      <c r="P194" s="2" t="s">
        <v>1488</v>
      </c>
      <c r="Q194" s="2" t="s">
        <v>1489</v>
      </c>
      <c r="R194" s="2" t="s">
        <v>1490</v>
      </c>
      <c r="S194" s="2" t="s">
        <v>1491</v>
      </c>
      <c r="T194" s="2" t="s">
        <v>1492</v>
      </c>
      <c r="U194" s="2" t="s">
        <v>1480</v>
      </c>
      <c r="V194" s="2" t="s">
        <v>42</v>
      </c>
      <c r="W194" s="2"/>
    </row>
    <row r="195">
      <c r="A195" s="2" t="n">
        <v>118</v>
      </c>
      <c r="B195" s="2" t="s">
        <v>11274</v>
      </c>
      <c r="C195" s="2" t="s">
        <v>1493</v>
      </c>
      <c r="D195" s="2" t="n">
        <v>175.970737707</v>
      </c>
      <c r="E195" s="2" t="n">
        <v>8.25690282111595</v>
      </c>
      <c r="F195" s="2" t="s">
        <v>1495</v>
      </c>
      <c r="G195" s="2" t="n">
        <v>56273</v>
      </c>
      <c r="H195" s="3" t="str">
        <f>HYPERLINK("http://funmeta.oebiotech.com/network/56273", "http://funmeta.oebiotech.com/network/56273")</f>
      </c>
      <c r="I195" s="2" t="s">
        <v>1497</v>
      </c>
      <c r="J195" s="2" t="s">
        <v>1498</v>
      </c>
      <c r="K195" s="2"/>
      <c r="L195" s="2" t="s">
        <v>1499</v>
      </c>
      <c r="M195" s="2" t="s">
        <v>1500</v>
      </c>
      <c r="N195" s="2" t="s">
        <v>1501</v>
      </c>
      <c r="O195" s="2" t="s">
        <v>1502</v>
      </c>
      <c r="P195" s="2" t="s">
        <v>1503</v>
      </c>
      <c r="Q195" s="2" t="s">
        <v>1504</v>
      </c>
      <c r="R195" s="2" t="s">
        <v>1505</v>
      </c>
      <c r="S195" s="2" t="s">
        <v>1506</v>
      </c>
      <c r="T195" s="2" t="s">
        <v>1507</v>
      </c>
      <c r="U195" s="2" t="s">
        <v>1494</v>
      </c>
      <c r="V195" s="2" t="s">
        <v>522</v>
      </c>
      <c r="W195" s="2" t="s">
        <v>39</v>
      </c>
    </row>
    <row r="196">
      <c r="A196" s="2" t="n">
        <v>119</v>
      </c>
      <c r="B196" s="2" t="s">
        <v>11275</v>
      </c>
      <c r="C196" s="2" t="s">
        <v>1508</v>
      </c>
      <c r="D196" s="2" t="n">
        <v>178.014031339</v>
      </c>
      <c r="E196" s="2" t="n">
        <v>7.24817924642421</v>
      </c>
      <c r="F196" s="2" t="s">
        <v>1510</v>
      </c>
      <c r="G196" s="2" t="n">
        <v>48938</v>
      </c>
      <c r="H196" s="3" t="str">
        <f>HYPERLINK("http://funmeta.oebiotech.com/network/48938", "http://funmeta.oebiotech.com/network/48938")</f>
      </c>
      <c r="I196" s="2" t="s">
        <v>1512</v>
      </c>
      <c r="J196" s="2" t="s">
        <v>1513</v>
      </c>
      <c r="K196" s="2"/>
      <c r="L196" s="2" t="s">
        <v>1514</v>
      </c>
      <c r="M196" s="2" t="s">
        <v>1515</v>
      </c>
      <c r="N196" s="2" t="s">
        <v>1516</v>
      </c>
      <c r="O196" s="2"/>
      <c r="P196" s="2" t="s">
        <v>1517</v>
      </c>
      <c r="Q196" s="2" t="s">
        <v>1518</v>
      </c>
      <c r="R196" s="2" t="s">
        <v>355</v>
      </c>
      <c r="S196" s="2" t="s">
        <v>1316</v>
      </c>
      <c r="T196" s="2" t="s">
        <v>1317</v>
      </c>
      <c r="U196" s="2" t="s">
        <v>1509</v>
      </c>
      <c r="V196" s="2" t="s">
        <v>42</v>
      </c>
      <c r="W196" s="2" t="s">
        <v>39</v>
      </c>
    </row>
    <row r="197">
      <c r="A197" s="2" t="n">
        <v>120</v>
      </c>
      <c r="B197" s="2" t="s">
        <v>11276</v>
      </c>
      <c r="C197" s="2" t="s">
        <v>1519</v>
      </c>
      <c r="D197" s="2" t="n">
        <v>178.949451</v>
      </c>
      <c r="E197" s="2" t="n">
        <v>9.97923319225498</v>
      </c>
      <c r="F197" s="2" t="s">
        <v>1521</v>
      </c>
      <c r="G197" s="2" t="n">
        <v>201746</v>
      </c>
      <c r="H197" s="3" t="str">
        <f>HYPERLINK("http://funmeta.oebiotech.com/network/201746", "http://funmeta.oebiotech.com/network/201746")</f>
      </c>
      <c r="I197" s="2" t="s">
        <v>1523</v>
      </c>
      <c r="J197" s="2" t="s">
        <v>1524</v>
      </c>
      <c r="K197" s="2"/>
      <c r="L197" s="2"/>
      <c r="M197" s="2"/>
      <c r="N197" s="2" t="s">
        <v>1525</v>
      </c>
      <c r="O197" s="2"/>
      <c r="P197" s="2" t="s">
        <v>1526</v>
      </c>
      <c r="Q197" s="2" t="s">
        <v>1527</v>
      </c>
      <c r="R197" s="2" t="s">
        <v>502</v>
      </c>
      <c r="S197" s="2" t="s">
        <v>1528</v>
      </c>
      <c r="T197" s="2" t="s">
        <v>205</v>
      </c>
      <c r="U197" s="2" t="s">
        <v>1520</v>
      </c>
      <c r="V197" s="2" t="s">
        <v>522</v>
      </c>
      <c r="W197" s="2"/>
    </row>
    <row r="198">
      <c r="A198" s="2" t="n">
        <v>121</v>
      </c>
      <c r="B198" s="2" t="s">
        <v>11277</v>
      </c>
      <c r="C198" s="2" t="s">
        <v>1529</v>
      </c>
      <c r="D198" s="2" t="n">
        <v>179.020513689</v>
      </c>
      <c r="E198" s="2" t="n">
        <v>0.660498439771568</v>
      </c>
      <c r="F198" s="2" t="s">
        <v>11278</v>
      </c>
      <c r="G198" s="2" t="n">
        <v>200892</v>
      </c>
      <c r="H198" s="3" t="str">
        <f>HYPERLINK("http://funmeta.oebiotech.com/network/200892", "http://funmeta.oebiotech.com/network/200892")</f>
      </c>
      <c r="I198" s="2" t="s">
        <v>11279</v>
      </c>
      <c r="J198" s="2" t="s">
        <v>11280</v>
      </c>
      <c r="K198" s="2"/>
      <c r="L198" s="2" t="s">
        <v>11281</v>
      </c>
      <c r="M198" s="2" t="s">
        <v>2431</v>
      </c>
      <c r="N198" s="2" t="s">
        <v>11282</v>
      </c>
      <c r="O198" s="2" t="s">
        <v>11283</v>
      </c>
      <c r="P198" s="2" t="s">
        <v>11284</v>
      </c>
      <c r="Q198" s="2" t="s">
        <v>11285</v>
      </c>
      <c r="R198" s="2" t="s">
        <v>502</v>
      </c>
      <c r="S198" s="2" t="s">
        <v>503</v>
      </c>
      <c r="T198" s="2" t="s">
        <v>504</v>
      </c>
      <c r="U198" s="2" t="s">
        <v>1530</v>
      </c>
      <c r="V198" s="2" t="s">
        <v>42</v>
      </c>
      <c r="W198" s="2" t="s">
        <v>39</v>
      </c>
    </row>
    <row r="199">
      <c r="A199" s="2" t="n">
        <v>121</v>
      </c>
      <c r="B199" s="2" t="s">
        <v>11286</v>
      </c>
      <c r="C199" s="2" t="s">
        <v>1529</v>
      </c>
      <c r="D199" s="2" t="n">
        <v>179.0205137</v>
      </c>
      <c r="E199" s="2" t="n">
        <v>0.660498439771568</v>
      </c>
      <c r="F199" s="2" t="s">
        <v>11287</v>
      </c>
      <c r="G199" s="2" t="n">
        <v>52714</v>
      </c>
      <c r="H199" s="3" t="str">
        <f>HYPERLINK("http://funmeta.oebiotech.com/network/52714", "http://funmeta.oebiotech.com/network/52714")</f>
      </c>
      <c r="I199" s="2" t="s">
        <v>11288</v>
      </c>
      <c r="J199" s="2" t="s">
        <v>11289</v>
      </c>
      <c r="K199" s="2"/>
      <c r="L199" s="2" t="s">
        <v>11290</v>
      </c>
      <c r="M199" s="2" t="s">
        <v>11291</v>
      </c>
      <c r="N199" s="2" t="s">
        <v>11292</v>
      </c>
      <c r="O199" s="2" t="s">
        <v>11293</v>
      </c>
      <c r="P199" s="2" t="s">
        <v>11294</v>
      </c>
      <c r="Q199" s="2" t="s">
        <v>11295</v>
      </c>
      <c r="R199" s="2" t="s">
        <v>355</v>
      </c>
      <c r="S199" s="2" t="s">
        <v>795</v>
      </c>
      <c r="T199" s="2" t="s">
        <v>11296</v>
      </c>
      <c r="U199" s="2" t="s">
        <v>1530</v>
      </c>
      <c r="V199" s="2" t="s">
        <v>42</v>
      </c>
      <c r="W199" s="2" t="s">
        <v>39</v>
      </c>
    </row>
    <row r="200">
      <c r="A200" s="2" t="n">
        <v>122</v>
      </c>
      <c r="B200" s="2" t="s">
        <v>11297</v>
      </c>
      <c r="C200" s="2" t="s">
        <v>1544</v>
      </c>
      <c r="D200" s="2" t="n">
        <v>180.030227405</v>
      </c>
      <c r="E200" s="2" t="n">
        <v>2.28825105997773</v>
      </c>
      <c r="F200" s="2" t="s">
        <v>11298</v>
      </c>
      <c r="G200" s="2" t="n">
        <v>204034</v>
      </c>
      <c r="H200" s="3" t="str">
        <f>HYPERLINK("http://funmeta.oebiotech.com/network/204034", "http://funmeta.oebiotech.com/network/204034")</f>
      </c>
      <c r="I200" s="2" t="s">
        <v>11299</v>
      </c>
      <c r="J200" s="2" t="s">
        <v>11300</v>
      </c>
      <c r="K200" s="2"/>
      <c r="L200" s="2"/>
      <c r="M200" s="2"/>
      <c r="N200" s="2" t="s">
        <v>11301</v>
      </c>
      <c r="O200" s="2"/>
      <c r="P200" s="2" t="s">
        <v>11302</v>
      </c>
      <c r="Q200" s="2" t="s">
        <v>11303</v>
      </c>
      <c r="R200" s="2" t="s">
        <v>355</v>
      </c>
      <c r="S200" s="2" t="s">
        <v>11304</v>
      </c>
      <c r="T200" s="2" t="s">
        <v>11305</v>
      </c>
      <c r="U200" s="2" t="s">
        <v>1545</v>
      </c>
      <c r="V200" s="2" t="s">
        <v>24</v>
      </c>
      <c r="W200" s="2"/>
    </row>
    <row r="201">
      <c r="A201" s="2" t="n">
        <v>122</v>
      </c>
      <c r="B201" s="2" t="s">
        <v>11306</v>
      </c>
      <c r="C201" s="2" t="s">
        <v>1544</v>
      </c>
      <c r="D201" s="2" t="n">
        <v>180.030227409</v>
      </c>
      <c r="E201" s="2" t="n">
        <v>2.28825105997773</v>
      </c>
      <c r="F201" s="2" t="s">
        <v>11307</v>
      </c>
      <c r="G201" s="2" t="n">
        <v>57194</v>
      </c>
      <c r="H201" s="3" t="str">
        <f>HYPERLINK("http://funmeta.oebiotech.com/network/57194", "http://funmeta.oebiotech.com/network/57194")</f>
      </c>
      <c r="I201" s="2" t="s">
        <v>11308</v>
      </c>
      <c r="J201" s="2" t="s">
        <v>11309</v>
      </c>
      <c r="K201" s="2"/>
      <c r="L201" s="2"/>
      <c r="M201" s="2" t="s">
        <v>11310</v>
      </c>
      <c r="N201" s="2" t="s">
        <v>11311</v>
      </c>
      <c r="O201" s="2" t="s">
        <v>11312</v>
      </c>
      <c r="P201" s="2" t="s">
        <v>11313</v>
      </c>
      <c r="Q201" s="2" t="s">
        <v>11314</v>
      </c>
      <c r="R201" s="2" t="s">
        <v>355</v>
      </c>
      <c r="S201" s="2" t="s">
        <v>5033</v>
      </c>
      <c r="T201" s="2" t="s">
        <v>5034</v>
      </c>
      <c r="U201" s="2" t="s">
        <v>1545</v>
      </c>
      <c r="V201" s="2" t="s">
        <v>24</v>
      </c>
      <c r="W201" s="2"/>
    </row>
    <row r="202">
      <c r="A202" s="2" t="n">
        <v>123</v>
      </c>
      <c r="B202" s="2" t="s">
        <v>11315</v>
      </c>
      <c r="C202" s="2" t="s">
        <v>1557</v>
      </c>
      <c r="D202" s="2" t="n">
        <v>180.995938912</v>
      </c>
      <c r="E202" s="2" t="n">
        <v>4.76120661664536</v>
      </c>
      <c r="F202" s="2" t="s">
        <v>1559</v>
      </c>
      <c r="G202" s="2" t="n">
        <v>83781</v>
      </c>
      <c r="H202" s="3" t="str">
        <f>HYPERLINK("http://funmeta.oebiotech.com/network/83781", "http://funmeta.oebiotech.com/network/83781")</f>
      </c>
      <c r="I202" s="2" t="s">
        <v>1561</v>
      </c>
      <c r="J202" s="2"/>
      <c r="K202" s="2"/>
      <c r="L202" s="2"/>
      <c r="M202" s="2" t="s">
        <v>1562</v>
      </c>
      <c r="N202" s="2" t="s">
        <v>1563</v>
      </c>
      <c r="O202" s="2" t="s">
        <v>1564</v>
      </c>
      <c r="P202" s="2" t="s">
        <v>1565</v>
      </c>
      <c r="Q202" s="2" t="s">
        <v>1566</v>
      </c>
      <c r="R202" s="2" t="s">
        <v>49</v>
      </c>
      <c r="S202" s="2" t="s">
        <v>1567</v>
      </c>
      <c r="T202" s="2" t="s">
        <v>1568</v>
      </c>
      <c r="U202" s="2" t="s">
        <v>1558</v>
      </c>
      <c r="V202" s="2" t="s">
        <v>42</v>
      </c>
      <c r="W202" s="2"/>
    </row>
    <row r="203">
      <c r="A203" s="2" t="n">
        <v>124</v>
      </c>
      <c r="B203" s="2" t="s">
        <v>11316</v>
      </c>
      <c r="C203" s="2" t="s">
        <v>1569</v>
      </c>
      <c r="D203" s="2" t="n">
        <v>181.038482638</v>
      </c>
      <c r="E203" s="2" t="n">
        <v>2.4025254853033</v>
      </c>
      <c r="F203" s="2" t="s">
        <v>1571</v>
      </c>
      <c r="G203" s="2" t="n">
        <v>82290</v>
      </c>
      <c r="H203" s="3" t="str">
        <f>HYPERLINK("http://funmeta.oebiotech.com/network/82290", "http://funmeta.oebiotech.com/network/82290")</f>
      </c>
      <c r="I203" s="2" t="s">
        <v>1573</v>
      </c>
      <c r="J203" s="2" t="s">
        <v>1574</v>
      </c>
      <c r="K203" s="2"/>
      <c r="L203" s="2" t="s">
        <v>1575</v>
      </c>
      <c r="M203" s="2"/>
      <c r="N203" s="2" t="s">
        <v>1576</v>
      </c>
      <c r="O203" s="2" t="s">
        <v>1577</v>
      </c>
      <c r="P203" s="2" t="s">
        <v>1578</v>
      </c>
      <c r="Q203" s="2" t="s">
        <v>1579</v>
      </c>
      <c r="R203" s="2" t="s">
        <v>355</v>
      </c>
      <c r="S203" s="2" t="s">
        <v>1580</v>
      </c>
      <c r="T203" s="2" t="s">
        <v>1581</v>
      </c>
      <c r="U203" s="2" t="s">
        <v>1570</v>
      </c>
      <c r="V203" s="2" t="s">
        <v>250</v>
      </c>
      <c r="W203" s="2" t="s">
        <v>39</v>
      </c>
    </row>
    <row r="204">
      <c r="A204" s="2" t="n">
        <v>125</v>
      </c>
      <c r="B204" s="2" t="s">
        <v>11317</v>
      </c>
      <c r="C204" s="2" t="s">
        <v>1582</v>
      </c>
      <c r="D204" s="2" t="n">
        <v>183.011588976</v>
      </c>
      <c r="E204" s="2" t="n">
        <v>2.52552824911859</v>
      </c>
      <c r="F204" s="2" t="s">
        <v>1584</v>
      </c>
      <c r="G204" s="2" t="n">
        <v>83746</v>
      </c>
      <c r="H204" s="3" t="str">
        <f>HYPERLINK("http://funmeta.oebiotech.com/network/83746", "http://funmeta.oebiotech.com/network/83746")</f>
      </c>
      <c r="I204" s="2" t="s">
        <v>1586</v>
      </c>
      <c r="J204" s="2"/>
      <c r="K204" s="2"/>
      <c r="L204" s="2"/>
      <c r="M204" s="2" t="s">
        <v>1587</v>
      </c>
      <c r="N204" s="2" t="s">
        <v>1588</v>
      </c>
      <c r="O204" s="2"/>
      <c r="P204" s="2" t="s">
        <v>1589</v>
      </c>
      <c r="Q204" s="2" t="s">
        <v>1590</v>
      </c>
      <c r="R204" s="2" t="s">
        <v>49</v>
      </c>
      <c r="S204" s="2" t="s">
        <v>1567</v>
      </c>
      <c r="T204" s="2" t="s">
        <v>1568</v>
      </c>
      <c r="U204" s="2" t="s">
        <v>1583</v>
      </c>
      <c r="V204" s="2" t="s">
        <v>42</v>
      </c>
      <c r="W204" s="2"/>
    </row>
    <row r="205">
      <c r="A205" s="2" t="n">
        <v>126</v>
      </c>
      <c r="B205" s="2" t="s">
        <v>11318</v>
      </c>
      <c r="C205" s="2" t="s">
        <v>1591</v>
      </c>
      <c r="D205" s="2" t="n">
        <v>183.102118064</v>
      </c>
      <c r="E205" s="2" t="n">
        <v>0.5643490200726</v>
      </c>
      <c r="F205" s="2" t="s">
        <v>1593</v>
      </c>
      <c r="G205" s="2" t="n">
        <v>2821</v>
      </c>
      <c r="H205" s="3" t="str">
        <f>HYPERLINK("http://funmeta.oebiotech.com/network/2821", "http://funmeta.oebiotech.com/network/2821")</f>
      </c>
      <c r="I205" s="2" t="s">
        <v>1595</v>
      </c>
      <c r="J205" s="2" t="s">
        <v>1596</v>
      </c>
      <c r="K205" s="2" t="s">
        <v>1597</v>
      </c>
      <c r="L205" s="2" t="s">
        <v>1598</v>
      </c>
      <c r="M205" s="2" t="s">
        <v>1599</v>
      </c>
      <c r="N205" s="2" t="s">
        <v>1600</v>
      </c>
      <c r="O205" s="2" t="s">
        <v>1601</v>
      </c>
      <c r="P205" s="2" t="s">
        <v>1602</v>
      </c>
      <c r="Q205" s="2" t="s">
        <v>1603</v>
      </c>
      <c r="R205" s="2" t="s">
        <v>1490</v>
      </c>
      <c r="S205" s="2" t="s">
        <v>1491</v>
      </c>
      <c r="T205" s="2" t="s">
        <v>1492</v>
      </c>
      <c r="U205" s="2" t="s">
        <v>1592</v>
      </c>
      <c r="V205" s="2" t="s">
        <v>42</v>
      </c>
      <c r="W205" s="2" t="s">
        <v>39</v>
      </c>
    </row>
    <row r="206">
      <c r="A206" s="2" t="n">
        <v>127</v>
      </c>
      <c r="B206" s="2" t="s">
        <v>11319</v>
      </c>
      <c r="C206" s="2" t="s">
        <v>1604</v>
      </c>
      <c r="D206" s="2" t="n">
        <v>183.139049576</v>
      </c>
      <c r="E206" s="2" t="n">
        <v>2.76533294392346</v>
      </c>
      <c r="F206" s="2" t="s">
        <v>11320</v>
      </c>
      <c r="G206" s="2" t="n">
        <v>60834</v>
      </c>
      <c r="H206" s="3" t="str">
        <f>HYPERLINK("http://funmeta.oebiotech.com/network/60834", "http://funmeta.oebiotech.com/network/60834")</f>
      </c>
      <c r="I206" s="2" t="s">
        <v>11321</v>
      </c>
      <c r="J206" s="2" t="s">
        <v>11322</v>
      </c>
      <c r="K206" s="2"/>
      <c r="L206" s="2"/>
      <c r="M206" s="2" t="s">
        <v>11323</v>
      </c>
      <c r="N206" s="2" t="s">
        <v>11324</v>
      </c>
      <c r="O206" s="2"/>
      <c r="P206" s="2" t="s">
        <v>11325</v>
      </c>
      <c r="Q206" s="2" t="s">
        <v>11326</v>
      </c>
      <c r="R206" s="2" t="s">
        <v>1490</v>
      </c>
      <c r="S206" s="2" t="s">
        <v>4971</v>
      </c>
      <c r="T206" s="2" t="s">
        <v>6636</v>
      </c>
      <c r="U206" s="2" t="s">
        <v>1605</v>
      </c>
      <c r="V206" s="2" t="s">
        <v>24</v>
      </c>
      <c r="W206" s="2"/>
    </row>
    <row r="207">
      <c r="A207" s="2" t="n">
        <v>127</v>
      </c>
      <c r="B207" s="2" t="s">
        <v>11327</v>
      </c>
      <c r="C207" s="2" t="s">
        <v>1604</v>
      </c>
      <c r="D207" s="2" t="n">
        <v>183.139049576</v>
      </c>
      <c r="E207" s="2" t="n">
        <v>2.76533294392346</v>
      </c>
      <c r="F207" s="2" t="s">
        <v>11328</v>
      </c>
      <c r="G207" s="2" t="n">
        <v>83319</v>
      </c>
      <c r="H207" s="3" t="str">
        <f>HYPERLINK("http://funmeta.oebiotech.com/network/83319", "http://funmeta.oebiotech.com/network/83319")</f>
      </c>
      <c r="I207" s="2" t="s">
        <v>11329</v>
      </c>
      <c r="J207" s="2" t="s">
        <v>11330</v>
      </c>
      <c r="K207" s="2"/>
      <c r="L207" s="2"/>
      <c r="M207" s="2"/>
      <c r="N207" s="2" t="s">
        <v>11331</v>
      </c>
      <c r="O207" s="2"/>
      <c r="P207" s="2" t="s">
        <v>11332</v>
      </c>
      <c r="Q207" s="2" t="s">
        <v>11333</v>
      </c>
      <c r="R207" s="2" t="s">
        <v>1490</v>
      </c>
      <c r="S207" s="2" t="s">
        <v>4971</v>
      </c>
      <c r="T207" s="2" t="s">
        <v>6636</v>
      </c>
      <c r="U207" s="2" t="s">
        <v>1605</v>
      </c>
      <c r="V207" s="2" t="s">
        <v>24</v>
      </c>
      <c r="W207" s="2"/>
    </row>
    <row r="208">
      <c r="A208" s="2" t="n">
        <v>127</v>
      </c>
      <c r="B208" s="2" t="s">
        <v>11334</v>
      </c>
      <c r="C208" s="2" t="s">
        <v>1604</v>
      </c>
      <c r="D208" s="2" t="n">
        <v>183.13904958</v>
      </c>
      <c r="E208" s="2" t="n">
        <v>2.76533294392346</v>
      </c>
      <c r="F208" s="2" t="s">
        <v>11335</v>
      </c>
      <c r="G208" s="2" t="n">
        <v>83320</v>
      </c>
      <c r="H208" s="3" t="str">
        <f>HYPERLINK("http://funmeta.oebiotech.com/network/83320", "http://funmeta.oebiotech.com/network/83320")</f>
      </c>
      <c r="I208" s="2" t="s">
        <v>11336</v>
      </c>
      <c r="J208" s="2" t="s">
        <v>11337</v>
      </c>
      <c r="K208" s="2"/>
      <c r="L208" s="2"/>
      <c r="M208" s="2" t="s">
        <v>11338</v>
      </c>
      <c r="N208" s="2" t="s">
        <v>11339</v>
      </c>
      <c r="O208" s="2"/>
      <c r="P208" s="2" t="s">
        <v>11340</v>
      </c>
      <c r="Q208" s="2" t="s">
        <v>11341</v>
      </c>
      <c r="R208" s="2" t="s">
        <v>1490</v>
      </c>
      <c r="S208" s="2" t="s">
        <v>4971</v>
      </c>
      <c r="T208" s="2" t="s">
        <v>6636</v>
      </c>
      <c r="U208" s="2" t="s">
        <v>1605</v>
      </c>
      <c r="V208" s="2" t="s">
        <v>24</v>
      </c>
      <c r="W208" s="2"/>
    </row>
    <row r="209">
      <c r="A209" s="2" t="n">
        <v>128</v>
      </c>
      <c r="B209" s="2" t="s">
        <v>11342</v>
      </c>
      <c r="C209" s="2" t="s">
        <v>1616</v>
      </c>
      <c r="D209" s="2" t="n">
        <v>184.003161737</v>
      </c>
      <c r="E209" s="2" t="n">
        <v>2.47020196383074</v>
      </c>
      <c r="F209" s="2" t="s">
        <v>1618</v>
      </c>
      <c r="G209" s="2" t="n">
        <v>211602</v>
      </c>
      <c r="H209" s="3" t="str">
        <f>HYPERLINK("http://funmeta.oebiotech.com/network/211602", "http://funmeta.oebiotech.com/network/211602")</f>
      </c>
      <c r="I209" s="2" t="s">
        <v>1620</v>
      </c>
      <c r="J209" s="2"/>
      <c r="K209" s="2"/>
      <c r="L209" s="2"/>
      <c r="M209" s="2"/>
      <c r="N209" s="2" t="s">
        <v>1621</v>
      </c>
      <c r="O209" s="2"/>
      <c r="P209" s="2" t="s">
        <v>1622</v>
      </c>
      <c r="Q209" s="2" t="s">
        <v>1623</v>
      </c>
      <c r="R209" s="2" t="s">
        <v>355</v>
      </c>
      <c r="S209" s="2" t="s">
        <v>466</v>
      </c>
      <c r="T209" s="2" t="s">
        <v>467</v>
      </c>
      <c r="U209" s="2" t="s">
        <v>1617</v>
      </c>
      <c r="V209" s="2" t="s">
        <v>522</v>
      </c>
      <c r="W209" s="2"/>
    </row>
    <row r="210">
      <c r="A210" s="2" t="n">
        <v>129</v>
      </c>
      <c r="B210" s="2" t="s">
        <v>11343</v>
      </c>
      <c r="C210" s="2" t="s">
        <v>1624</v>
      </c>
      <c r="D210" s="2" t="n">
        <v>184.979315235</v>
      </c>
      <c r="E210" s="2" t="n">
        <v>0.941203334335375</v>
      </c>
      <c r="F210" s="2" t="s">
        <v>11344</v>
      </c>
      <c r="G210" s="2" t="n">
        <v>199125</v>
      </c>
      <c r="H210" s="3" t="str">
        <f>HYPERLINK("http://funmeta.oebiotech.com/network/199125", "http://funmeta.oebiotech.com/network/199125")</f>
      </c>
      <c r="I210" s="2" t="s">
        <v>11345</v>
      </c>
      <c r="J210" s="2"/>
      <c r="K210" s="2"/>
      <c r="L210" s="2"/>
      <c r="M210" s="2"/>
      <c r="N210" s="2" t="s">
        <v>11346</v>
      </c>
      <c r="O210" s="2"/>
      <c r="P210" s="2" t="s">
        <v>11347</v>
      </c>
      <c r="Q210" s="2" t="s">
        <v>11348</v>
      </c>
      <c r="R210" s="2" t="s">
        <v>49</v>
      </c>
      <c r="S210" s="2" t="s">
        <v>165</v>
      </c>
      <c r="T210" s="2" t="s">
        <v>166</v>
      </c>
      <c r="U210" s="2" t="s">
        <v>1625</v>
      </c>
      <c r="V210" s="2" t="s">
        <v>522</v>
      </c>
      <c r="W210" s="2"/>
    </row>
    <row r="211">
      <c r="A211" s="2" t="n">
        <v>129</v>
      </c>
      <c r="B211" s="2" t="s">
        <v>11349</v>
      </c>
      <c r="C211" s="2" t="s">
        <v>1624</v>
      </c>
      <c r="D211" s="2" t="n">
        <v>184.979315235</v>
      </c>
      <c r="E211" s="2" t="n">
        <v>0.941203334335375</v>
      </c>
      <c r="F211" s="2" t="s">
        <v>11350</v>
      </c>
      <c r="G211" s="2" t="n">
        <v>209616</v>
      </c>
      <c r="H211" s="3" t="str">
        <f>HYPERLINK("http://funmeta.oebiotech.com/network/209616", "http://funmeta.oebiotech.com/network/209616")</f>
      </c>
      <c r="I211" s="2" t="s">
        <v>11351</v>
      </c>
      <c r="J211" s="2"/>
      <c r="K211" s="2"/>
      <c r="L211" s="2"/>
      <c r="M211" s="2"/>
      <c r="N211" s="2" t="s">
        <v>11352</v>
      </c>
      <c r="O211" s="2"/>
      <c r="P211" s="2" t="s">
        <v>11353</v>
      </c>
      <c r="Q211" s="2" t="s">
        <v>11354</v>
      </c>
      <c r="R211" s="2" t="s">
        <v>49</v>
      </c>
      <c r="S211" s="2" t="s">
        <v>165</v>
      </c>
      <c r="T211" s="2" t="s">
        <v>166</v>
      </c>
      <c r="U211" s="2" t="s">
        <v>1625</v>
      </c>
      <c r="V211" s="2" t="s">
        <v>522</v>
      </c>
      <c r="W211" s="2"/>
    </row>
    <row r="212">
      <c r="A212" s="2" t="n">
        <v>130</v>
      </c>
      <c r="B212" s="2" t="s">
        <v>11355</v>
      </c>
      <c r="C212" s="2" t="s">
        <v>1632</v>
      </c>
      <c r="D212" s="2" t="n">
        <v>185.013472305</v>
      </c>
      <c r="E212" s="2" t="n">
        <v>0.332561356164138</v>
      </c>
      <c r="F212" s="2" t="s">
        <v>1634</v>
      </c>
      <c r="G212" s="2" t="n">
        <v>82331</v>
      </c>
      <c r="H212" s="3" t="str">
        <f>HYPERLINK("http://funmeta.oebiotech.com/network/82331", "http://funmeta.oebiotech.com/network/82331")</f>
      </c>
      <c r="I212" s="2" t="s">
        <v>1636</v>
      </c>
      <c r="J212" s="2"/>
      <c r="K212" s="2"/>
      <c r="L212" s="2" t="s">
        <v>1637</v>
      </c>
      <c r="M212" s="2" t="s">
        <v>1638</v>
      </c>
      <c r="N212" s="2" t="s">
        <v>1639</v>
      </c>
      <c r="O212" s="2"/>
      <c r="P212" s="2" t="s">
        <v>1640</v>
      </c>
      <c r="Q212" s="2" t="s">
        <v>1641</v>
      </c>
      <c r="R212" s="2" t="s">
        <v>49</v>
      </c>
      <c r="S212" s="2" t="s">
        <v>165</v>
      </c>
      <c r="T212" s="2" t="s">
        <v>1642</v>
      </c>
      <c r="U212" s="2" t="s">
        <v>1633</v>
      </c>
      <c r="V212" s="2" t="s">
        <v>522</v>
      </c>
      <c r="W212" s="2" t="s">
        <v>39</v>
      </c>
    </row>
    <row r="213">
      <c r="A213" s="2" t="n">
        <v>131</v>
      </c>
      <c r="B213" s="2" t="s">
        <v>11356</v>
      </c>
      <c r="C213" s="2" t="s">
        <v>1643</v>
      </c>
      <c r="D213" s="2" t="n">
        <v>186.023033541</v>
      </c>
      <c r="E213" s="2" t="n">
        <v>1.48760256286276</v>
      </c>
      <c r="F213" s="2" t="s">
        <v>11357</v>
      </c>
      <c r="G213" s="2" t="n">
        <v>60802</v>
      </c>
      <c r="H213" s="3" t="str">
        <f>HYPERLINK("http://funmeta.oebiotech.com/network/60802", "http://funmeta.oebiotech.com/network/60802")</f>
      </c>
      <c r="I213" s="2" t="s">
        <v>11358</v>
      </c>
      <c r="J213" s="2" t="s">
        <v>11359</v>
      </c>
      <c r="K213" s="2"/>
      <c r="L213" s="2"/>
      <c r="M213" s="2"/>
      <c r="N213" s="2" t="s">
        <v>11360</v>
      </c>
      <c r="O213" s="2" t="s">
        <v>11361</v>
      </c>
      <c r="P213" s="2" t="s">
        <v>11362</v>
      </c>
      <c r="Q213" s="2" t="s">
        <v>11363</v>
      </c>
      <c r="R213" s="2" t="s">
        <v>64</v>
      </c>
      <c r="S213" s="2" t="s">
        <v>65</v>
      </c>
      <c r="T213" s="2" t="s">
        <v>91</v>
      </c>
      <c r="U213" s="2" t="s">
        <v>1644</v>
      </c>
      <c r="V213" s="2" t="s">
        <v>24</v>
      </c>
      <c r="W213" s="2"/>
    </row>
    <row r="214">
      <c r="A214" s="2" t="n">
        <v>131</v>
      </c>
      <c r="B214" s="2" t="s">
        <v>11364</v>
      </c>
      <c r="C214" s="2" t="s">
        <v>1643</v>
      </c>
      <c r="D214" s="2" t="n">
        <v>186.023034023</v>
      </c>
      <c r="E214" s="2" t="n">
        <v>1.48760256286276</v>
      </c>
      <c r="F214" s="2" t="s">
        <v>11365</v>
      </c>
      <c r="G214" s="2" t="n">
        <v>199336</v>
      </c>
      <c r="H214" s="3" t="str">
        <f>HYPERLINK("http://funmeta.oebiotech.com/network/199336", "http://funmeta.oebiotech.com/network/199336")</f>
      </c>
      <c r="I214" s="2" t="s">
        <v>11366</v>
      </c>
      <c r="J214" s="2" t="s">
        <v>11367</v>
      </c>
      <c r="K214" s="2"/>
      <c r="L214" s="2"/>
      <c r="M214" s="2"/>
      <c r="N214" s="2" t="s">
        <v>11368</v>
      </c>
      <c r="O214" s="2" t="s">
        <v>11369</v>
      </c>
      <c r="P214" s="2" t="s">
        <v>11370</v>
      </c>
      <c r="Q214" s="2" t="s">
        <v>11371</v>
      </c>
      <c r="R214" s="2" t="s">
        <v>64</v>
      </c>
      <c r="S214" s="2" t="s">
        <v>65</v>
      </c>
      <c r="T214" s="2" t="s">
        <v>91</v>
      </c>
      <c r="U214" s="2" t="s">
        <v>1644</v>
      </c>
      <c r="V214" s="2" t="s">
        <v>24</v>
      </c>
      <c r="W214" s="2"/>
    </row>
    <row r="215">
      <c r="A215" s="2" t="n">
        <v>131</v>
      </c>
      <c r="B215" s="2" t="s">
        <v>11372</v>
      </c>
      <c r="C215" s="2" t="s">
        <v>1643</v>
      </c>
      <c r="D215" s="2" t="n">
        <v>186.023034023</v>
      </c>
      <c r="E215" s="2" t="n">
        <v>1.48760256286276</v>
      </c>
      <c r="F215" s="2" t="s">
        <v>11373</v>
      </c>
      <c r="G215" s="2" t="n">
        <v>211505</v>
      </c>
      <c r="H215" s="3" t="str">
        <f>HYPERLINK("http://funmeta.oebiotech.com/network/211505", "http://funmeta.oebiotech.com/network/211505")</f>
      </c>
      <c r="I215" s="2" t="s">
        <v>11374</v>
      </c>
      <c r="J215" s="2"/>
      <c r="K215" s="2"/>
      <c r="L215" s="2"/>
      <c r="M215" s="2"/>
      <c r="N215" s="2" t="s">
        <v>11375</v>
      </c>
      <c r="O215" s="2"/>
      <c r="P215" s="2" t="s">
        <v>11376</v>
      </c>
      <c r="Q215" s="2" t="s">
        <v>11377</v>
      </c>
      <c r="R215" s="2" t="s">
        <v>355</v>
      </c>
      <c r="S215" s="2" t="s">
        <v>4796</v>
      </c>
      <c r="T215" s="2" t="s">
        <v>4797</v>
      </c>
      <c r="U215" s="2" t="s">
        <v>1644</v>
      </c>
      <c r="V215" s="2" t="s">
        <v>24</v>
      </c>
      <c r="W215" s="2"/>
    </row>
    <row r="216">
      <c r="A216" s="2" t="n">
        <v>132</v>
      </c>
      <c r="B216" s="2" t="s">
        <v>11378</v>
      </c>
      <c r="C216" s="2" t="s">
        <v>1655</v>
      </c>
      <c r="D216" s="2" t="n">
        <v>186.113567415</v>
      </c>
      <c r="E216" s="2" t="n">
        <v>18.4893371434813</v>
      </c>
      <c r="F216" s="2" t="s">
        <v>1657</v>
      </c>
      <c r="G216" s="2" t="n">
        <v>2503</v>
      </c>
      <c r="H216" s="3" t="str">
        <f>HYPERLINK("http://funmeta.oebiotech.com/network/2503", "http://funmeta.oebiotech.com/network/2503")</f>
      </c>
      <c r="I216" s="2" t="s">
        <v>1659</v>
      </c>
      <c r="J216" s="2" t="s">
        <v>1660</v>
      </c>
      <c r="K216" s="2" t="s">
        <v>1661</v>
      </c>
      <c r="L216" s="2" t="s">
        <v>1662</v>
      </c>
      <c r="M216" s="2" t="s">
        <v>1663</v>
      </c>
      <c r="N216" s="2" t="s">
        <v>1664</v>
      </c>
      <c r="O216" s="2" t="s">
        <v>1665</v>
      </c>
      <c r="P216" s="2" t="s">
        <v>1666</v>
      </c>
      <c r="Q216" s="2" t="s">
        <v>1667</v>
      </c>
      <c r="R216" s="2" t="s">
        <v>1490</v>
      </c>
      <c r="S216" s="2" t="s">
        <v>1491</v>
      </c>
      <c r="T216" s="2" t="s">
        <v>1492</v>
      </c>
      <c r="U216" s="2" t="s">
        <v>1656</v>
      </c>
      <c r="V216" s="2" t="s">
        <v>110</v>
      </c>
      <c r="W216" s="2" t="s">
        <v>39</v>
      </c>
    </row>
    <row r="217">
      <c r="A217" s="2" t="n">
        <v>133</v>
      </c>
      <c r="B217" s="2" t="s">
        <v>11379</v>
      </c>
      <c r="C217" s="2" t="s">
        <v>1668</v>
      </c>
      <c r="D217" s="2" t="n">
        <v>187.011920898</v>
      </c>
      <c r="E217" s="2" t="n">
        <v>1.18944889140328</v>
      </c>
      <c r="F217" s="2" t="s">
        <v>1670</v>
      </c>
      <c r="G217" s="2" t="n">
        <v>201597</v>
      </c>
      <c r="H217" s="3" t="str">
        <f>HYPERLINK("http://funmeta.oebiotech.com/network/201597", "http://funmeta.oebiotech.com/network/201597")</f>
      </c>
      <c r="I217" s="2" t="s">
        <v>1672</v>
      </c>
      <c r="J217" s="2" t="s">
        <v>1673</v>
      </c>
      <c r="K217" s="2"/>
      <c r="L217" s="2"/>
      <c r="M217" s="2"/>
      <c r="N217" s="2" t="s">
        <v>1674</v>
      </c>
      <c r="O217" s="2" t="s">
        <v>1675</v>
      </c>
      <c r="P217" s="2" t="s">
        <v>1676</v>
      </c>
      <c r="Q217" s="2" t="s">
        <v>1677</v>
      </c>
      <c r="R217" s="2" t="s">
        <v>502</v>
      </c>
      <c r="S217" s="2" t="s">
        <v>503</v>
      </c>
      <c r="T217" s="2" t="s">
        <v>1421</v>
      </c>
      <c r="U217" s="2" t="s">
        <v>1669</v>
      </c>
      <c r="V217" s="2" t="s">
        <v>42</v>
      </c>
      <c r="W217" s="2"/>
    </row>
    <row r="218">
      <c r="A218" s="2" t="n">
        <v>134</v>
      </c>
      <c r="B218" s="2" t="s">
        <v>11380</v>
      </c>
      <c r="C218" s="2" t="s">
        <v>1678</v>
      </c>
      <c r="D218" s="2" t="n">
        <v>187.097583</v>
      </c>
      <c r="E218" s="2" t="n">
        <v>3.25287706125572</v>
      </c>
      <c r="F218" s="2" t="s">
        <v>1680</v>
      </c>
      <c r="G218" s="2" t="n">
        <v>2867</v>
      </c>
      <c r="H218" s="3" t="str">
        <f>HYPERLINK("http://funmeta.oebiotech.com/network/2867", "http://funmeta.oebiotech.com/network/2867")</f>
      </c>
      <c r="I218" s="2" t="s">
        <v>1682</v>
      </c>
      <c r="J218" s="2" t="s">
        <v>1683</v>
      </c>
      <c r="K218" s="2" t="s">
        <v>1684</v>
      </c>
      <c r="L218" s="2" t="s">
        <v>1685</v>
      </c>
      <c r="M218" s="2" t="s">
        <v>1686</v>
      </c>
      <c r="N218" s="2" t="s">
        <v>1687</v>
      </c>
      <c r="O218" s="2" t="s">
        <v>1688</v>
      </c>
      <c r="P218" s="2" t="s">
        <v>1689</v>
      </c>
      <c r="Q218" s="2" t="s">
        <v>1690</v>
      </c>
      <c r="R218" s="2" t="s">
        <v>1490</v>
      </c>
      <c r="S218" s="2" t="s">
        <v>1491</v>
      </c>
      <c r="T218" s="2" t="s">
        <v>1492</v>
      </c>
      <c r="U218" s="2" t="s">
        <v>1679</v>
      </c>
      <c r="V218" s="2" t="s">
        <v>110</v>
      </c>
      <c r="W218" s="2" t="s">
        <v>39</v>
      </c>
    </row>
    <row r="219">
      <c r="A219" s="2" t="n">
        <v>135</v>
      </c>
      <c r="B219" s="2" t="s">
        <v>11381</v>
      </c>
      <c r="C219" s="2" t="s">
        <v>1691</v>
      </c>
      <c r="D219" s="2" t="n">
        <v>188.972507277</v>
      </c>
      <c r="E219" s="2" t="n">
        <v>4.06723427241101</v>
      </c>
      <c r="F219" s="2" t="s">
        <v>1693</v>
      </c>
      <c r="G219" s="2" t="n">
        <v>206543</v>
      </c>
      <c r="H219" s="3" t="str">
        <f>HYPERLINK("http://funmeta.oebiotech.com/network/206543", "http://funmeta.oebiotech.com/network/206543")</f>
      </c>
      <c r="I219" s="2" t="s">
        <v>1695</v>
      </c>
      <c r="J219" s="2" t="s">
        <v>1696</v>
      </c>
      <c r="K219" s="2"/>
      <c r="L219" s="2" t="s">
        <v>1697</v>
      </c>
      <c r="M219" s="2" t="s">
        <v>1698</v>
      </c>
      <c r="N219" s="2" t="s">
        <v>1699</v>
      </c>
      <c r="O219" s="2" t="s">
        <v>1700</v>
      </c>
      <c r="P219" s="2" t="s">
        <v>1701</v>
      </c>
      <c r="Q219" s="2" t="s">
        <v>1702</v>
      </c>
      <c r="R219" s="2" t="s">
        <v>49</v>
      </c>
      <c r="S219" s="2" t="s">
        <v>782</v>
      </c>
      <c r="T219" s="2" t="s">
        <v>1119</v>
      </c>
      <c r="U219" s="2" t="s">
        <v>1692</v>
      </c>
      <c r="V219" s="2" t="s">
        <v>24</v>
      </c>
      <c r="W219" s="2" t="s">
        <v>39</v>
      </c>
    </row>
    <row r="220">
      <c r="A220" s="2" t="n">
        <v>136</v>
      </c>
      <c r="B220" s="2" t="s">
        <v>11382</v>
      </c>
      <c r="C220" s="2" t="s">
        <v>1703</v>
      </c>
      <c r="D220" s="2" t="n">
        <v>189.004940636</v>
      </c>
      <c r="E220" s="2" t="n">
        <v>8.49580576689442</v>
      </c>
      <c r="F220" s="2" t="s">
        <v>1705</v>
      </c>
      <c r="G220" s="2" t="n">
        <v>56779</v>
      </c>
      <c r="H220" s="3" t="str">
        <f>HYPERLINK("http://funmeta.oebiotech.com/network/56779", "http://funmeta.oebiotech.com/network/56779")</f>
      </c>
      <c r="I220" s="2" t="s">
        <v>1707</v>
      </c>
      <c r="J220" s="2" t="s">
        <v>1708</v>
      </c>
      <c r="K220" s="2"/>
      <c r="L220" s="2"/>
      <c r="M220" s="2"/>
      <c r="N220" s="2" t="s">
        <v>1709</v>
      </c>
      <c r="O220" s="2" t="s">
        <v>1710</v>
      </c>
      <c r="P220" s="2" t="s">
        <v>1711</v>
      </c>
      <c r="Q220" s="2" t="s">
        <v>1712</v>
      </c>
      <c r="R220" s="2" t="s">
        <v>355</v>
      </c>
      <c r="S220" s="2" t="s">
        <v>1713</v>
      </c>
      <c r="T220" s="2" t="s">
        <v>205</v>
      </c>
      <c r="U220" s="2" t="s">
        <v>1704</v>
      </c>
      <c r="V220" s="2" t="s">
        <v>24</v>
      </c>
      <c r="W220" s="2"/>
    </row>
    <row r="221">
      <c r="A221" s="2" t="n">
        <v>137</v>
      </c>
      <c r="B221" s="2" t="s">
        <v>11383</v>
      </c>
      <c r="C221" s="2" t="s">
        <v>1714</v>
      </c>
      <c r="D221" s="2" t="n">
        <v>189.976872882</v>
      </c>
      <c r="E221" s="2" t="n">
        <v>1.55650346798862</v>
      </c>
      <c r="F221" s="2" t="s">
        <v>1716</v>
      </c>
      <c r="G221" s="2" t="n">
        <v>198808</v>
      </c>
      <c r="H221" s="3" t="str">
        <f>HYPERLINK("http://funmeta.oebiotech.com/network/198808", "http://funmeta.oebiotech.com/network/198808")</f>
      </c>
      <c r="I221" s="2" t="s">
        <v>1718</v>
      </c>
      <c r="J221" s="2"/>
      <c r="K221" s="2"/>
      <c r="L221" s="2"/>
      <c r="M221" s="2"/>
      <c r="N221" s="2" t="s">
        <v>1719</v>
      </c>
      <c r="O221" s="2"/>
      <c r="P221" s="2" t="s">
        <v>1720</v>
      </c>
      <c r="Q221" s="2" t="s">
        <v>1721</v>
      </c>
      <c r="R221" s="2" t="s">
        <v>49</v>
      </c>
      <c r="S221" s="2" t="s">
        <v>1202</v>
      </c>
      <c r="T221" s="2" t="s">
        <v>1203</v>
      </c>
      <c r="U221" s="2" t="s">
        <v>1715</v>
      </c>
      <c r="V221" s="2" t="s">
        <v>522</v>
      </c>
      <c r="W221" s="2"/>
    </row>
    <row r="222">
      <c r="A222" s="2" t="n">
        <v>138</v>
      </c>
      <c r="B222" s="2" t="s">
        <v>11384</v>
      </c>
      <c r="C222" s="2" t="s">
        <v>1722</v>
      </c>
      <c r="D222" s="2" t="n">
        <v>190.960887502</v>
      </c>
      <c r="E222" s="2" t="n">
        <v>6.89767798035577</v>
      </c>
      <c r="F222" s="2" t="s">
        <v>1724</v>
      </c>
      <c r="G222" s="2" t="n">
        <v>64176</v>
      </c>
      <c r="H222" s="3" t="str">
        <f>HYPERLINK("http://funmeta.oebiotech.com/network/64176", "http://funmeta.oebiotech.com/network/64176")</f>
      </c>
      <c r="I222" s="2" t="s">
        <v>1726</v>
      </c>
      <c r="J222" s="2" t="s">
        <v>1727</v>
      </c>
      <c r="K222" s="2"/>
      <c r="L222" s="2"/>
      <c r="M222" s="2" t="s">
        <v>1728</v>
      </c>
      <c r="N222" s="2" t="s">
        <v>1729</v>
      </c>
      <c r="O222" s="2"/>
      <c r="P222" s="2" t="s">
        <v>1730</v>
      </c>
      <c r="Q222" s="2" t="s">
        <v>1731</v>
      </c>
      <c r="R222" s="2" t="s">
        <v>49</v>
      </c>
      <c r="S222" s="2" t="s">
        <v>1732</v>
      </c>
      <c r="T222" s="2" t="s">
        <v>1733</v>
      </c>
      <c r="U222" s="2" t="s">
        <v>1723</v>
      </c>
      <c r="V222" s="2" t="s">
        <v>522</v>
      </c>
      <c r="W222" s="2"/>
    </row>
    <row r="223">
      <c r="A223" s="2" t="n">
        <v>139</v>
      </c>
      <c r="B223" s="2" t="s">
        <v>11385</v>
      </c>
      <c r="C223" s="2" t="s">
        <v>1734</v>
      </c>
      <c r="D223" s="2" t="n">
        <v>191.01972661</v>
      </c>
      <c r="E223" s="2" t="n">
        <v>5.90877677489914</v>
      </c>
      <c r="F223" s="2" t="s">
        <v>1736</v>
      </c>
      <c r="G223" s="2" t="n">
        <v>2186</v>
      </c>
      <c r="H223" s="3" t="str">
        <f>HYPERLINK("http://funmeta.oebiotech.com/network/2186", "http://funmeta.oebiotech.com/network/2186")</f>
      </c>
      <c r="I223" s="2" t="s">
        <v>1738</v>
      </c>
      <c r="J223" s="2" t="s">
        <v>1739</v>
      </c>
      <c r="K223" s="2" t="s">
        <v>1740</v>
      </c>
      <c r="L223" s="2" t="s">
        <v>1741</v>
      </c>
      <c r="M223" s="2" t="s">
        <v>1742</v>
      </c>
      <c r="N223" s="2" t="s">
        <v>1743</v>
      </c>
      <c r="O223" s="2" t="s">
        <v>1744</v>
      </c>
      <c r="P223" s="2" t="s">
        <v>1745</v>
      </c>
      <c r="Q223" s="2" t="s">
        <v>1746</v>
      </c>
      <c r="R223" s="2" t="s">
        <v>64</v>
      </c>
      <c r="S223" s="2" t="s">
        <v>65</v>
      </c>
      <c r="T223" s="2" t="s">
        <v>66</v>
      </c>
      <c r="U223" s="2" t="s">
        <v>1735</v>
      </c>
      <c r="V223" s="2" t="s">
        <v>110</v>
      </c>
      <c r="W223" s="2" t="s">
        <v>39</v>
      </c>
    </row>
    <row r="224">
      <c r="A224" s="2" t="n">
        <v>140</v>
      </c>
      <c r="B224" s="2" t="s">
        <v>11386</v>
      </c>
      <c r="C224" s="2" t="s">
        <v>1747</v>
      </c>
      <c r="D224" s="2" t="n">
        <v>191.056107808</v>
      </c>
      <c r="E224" s="2" t="n">
        <v>4.05996997866994</v>
      </c>
      <c r="F224" s="2" t="s">
        <v>11387</v>
      </c>
      <c r="G224" s="2" t="n">
        <v>1869</v>
      </c>
      <c r="H224" s="3" t="str">
        <f>HYPERLINK("http://funmeta.oebiotech.com/network/1869", "http://funmeta.oebiotech.com/network/1869")</f>
      </c>
      <c r="I224" s="2" t="s">
        <v>11388</v>
      </c>
      <c r="J224" s="2" t="s">
        <v>11389</v>
      </c>
      <c r="K224" s="2" t="s">
        <v>11390</v>
      </c>
      <c r="L224" s="2" t="s">
        <v>11391</v>
      </c>
      <c r="M224" s="2" t="s">
        <v>11392</v>
      </c>
      <c r="N224" s="2" t="s">
        <v>11393</v>
      </c>
      <c r="O224" s="2" t="s">
        <v>11394</v>
      </c>
      <c r="P224" s="2" t="s">
        <v>11395</v>
      </c>
      <c r="Q224" s="2" t="s">
        <v>11396</v>
      </c>
      <c r="R224" s="2" t="s">
        <v>49</v>
      </c>
      <c r="S224" s="2" t="s">
        <v>396</v>
      </c>
      <c r="T224" s="2" t="s">
        <v>397</v>
      </c>
      <c r="U224" s="2" t="s">
        <v>1748</v>
      </c>
      <c r="V224" s="2" t="s">
        <v>24</v>
      </c>
      <c r="W224" s="2" t="s">
        <v>39</v>
      </c>
    </row>
    <row r="225">
      <c r="A225" s="2" t="n">
        <v>140</v>
      </c>
      <c r="B225" s="2" t="s">
        <v>11397</v>
      </c>
      <c r="C225" s="2" t="s">
        <v>1747</v>
      </c>
      <c r="D225" s="2" t="n">
        <v>191.056107808</v>
      </c>
      <c r="E225" s="2" t="n">
        <v>4.05996997866994</v>
      </c>
      <c r="F225" s="2" t="s">
        <v>11398</v>
      </c>
      <c r="G225" s="2" t="n">
        <v>2861</v>
      </c>
      <c r="H225" s="3" t="str">
        <f>HYPERLINK("http://funmeta.oebiotech.com/network/2861", "http://funmeta.oebiotech.com/network/2861")</f>
      </c>
      <c r="I225" s="2" t="s">
        <v>11399</v>
      </c>
      <c r="J225" s="2" t="s">
        <v>11400</v>
      </c>
      <c r="K225" s="2" t="s">
        <v>11401</v>
      </c>
      <c r="L225" s="2" t="s">
        <v>11402</v>
      </c>
      <c r="M225" s="2" t="s">
        <v>11403</v>
      </c>
      <c r="N225" s="2" t="s">
        <v>11404</v>
      </c>
      <c r="O225" s="2" t="s">
        <v>11405</v>
      </c>
      <c r="P225" s="2" t="s">
        <v>11406</v>
      </c>
      <c r="Q225" s="2" t="s">
        <v>11407</v>
      </c>
      <c r="R225" s="2" t="s">
        <v>1490</v>
      </c>
      <c r="S225" s="2" t="s">
        <v>1491</v>
      </c>
      <c r="T225" s="2" t="s">
        <v>1492</v>
      </c>
      <c r="U225" s="2" t="s">
        <v>1748</v>
      </c>
      <c r="V225" s="2" t="s">
        <v>24</v>
      </c>
      <c r="W225" s="2" t="s">
        <v>39</v>
      </c>
    </row>
    <row r="226">
      <c r="A226" s="2" t="n">
        <v>141</v>
      </c>
      <c r="B226" s="2" t="s">
        <v>11408</v>
      </c>
      <c r="C226" s="2" t="s">
        <v>1763</v>
      </c>
      <c r="D226" s="2" t="n">
        <v>192.955346636</v>
      </c>
      <c r="E226" s="2" t="n">
        <v>5.33023903372515</v>
      </c>
      <c r="F226" s="2" t="s">
        <v>1765</v>
      </c>
      <c r="G226" s="2" t="n">
        <v>64055</v>
      </c>
      <c r="H226" s="3" t="str">
        <f>HYPERLINK("http://funmeta.oebiotech.com/network/64055", "http://funmeta.oebiotech.com/network/64055")</f>
      </c>
      <c r="I226" s="2" t="s">
        <v>1767</v>
      </c>
      <c r="J226" s="2" t="s">
        <v>1768</v>
      </c>
      <c r="K226" s="2"/>
      <c r="L226" s="2"/>
      <c r="M226" s="2"/>
      <c r="N226" s="2" t="s">
        <v>1769</v>
      </c>
      <c r="O226" s="2" t="s">
        <v>1770</v>
      </c>
      <c r="P226" s="2" t="s">
        <v>1771</v>
      </c>
      <c r="Q226" s="2" t="s">
        <v>1772</v>
      </c>
      <c r="R226" s="2" t="s">
        <v>502</v>
      </c>
      <c r="S226" s="2" t="s">
        <v>503</v>
      </c>
      <c r="T226" s="2" t="s">
        <v>205</v>
      </c>
      <c r="U226" s="2" t="s">
        <v>1764</v>
      </c>
      <c r="V226" s="2" t="s">
        <v>250</v>
      </c>
      <c r="W226" s="2"/>
    </row>
    <row r="227">
      <c r="A227" s="2" t="n">
        <v>142</v>
      </c>
      <c r="B227" s="2" t="s">
        <v>11409</v>
      </c>
      <c r="C227" s="2" t="s">
        <v>1773</v>
      </c>
      <c r="D227" s="2" t="n">
        <v>194.045881781</v>
      </c>
      <c r="E227" s="2" t="n">
        <v>0.481476095953829</v>
      </c>
      <c r="F227" s="2" t="s">
        <v>11410</v>
      </c>
      <c r="G227" s="2" t="n">
        <v>47251</v>
      </c>
      <c r="H227" s="3" t="str">
        <f>HYPERLINK("http://funmeta.oebiotech.com/network/47251", "http://funmeta.oebiotech.com/network/47251")</f>
      </c>
      <c r="I227" s="2" t="s">
        <v>11411</v>
      </c>
      <c r="J227" s="2" t="s">
        <v>11412</v>
      </c>
      <c r="K227" s="2"/>
      <c r="L227" s="2" t="s">
        <v>11413</v>
      </c>
      <c r="M227" s="2" t="s">
        <v>11414</v>
      </c>
      <c r="N227" s="2" t="s">
        <v>11415</v>
      </c>
      <c r="O227" s="2" t="s">
        <v>11416</v>
      </c>
      <c r="P227" s="2" t="s">
        <v>11417</v>
      </c>
      <c r="Q227" s="2" t="s">
        <v>11418</v>
      </c>
      <c r="R227" s="2" t="s">
        <v>502</v>
      </c>
      <c r="S227" s="2" t="s">
        <v>503</v>
      </c>
      <c r="T227" s="2" t="s">
        <v>2174</v>
      </c>
      <c r="U227" s="2" t="s">
        <v>1774</v>
      </c>
      <c r="V227" s="2" t="s">
        <v>110</v>
      </c>
      <c r="W227" s="2" t="s">
        <v>39</v>
      </c>
    </row>
    <row r="228">
      <c r="A228" s="2" t="n">
        <v>142</v>
      </c>
      <c r="B228" s="2" t="s">
        <v>11419</v>
      </c>
      <c r="C228" s="2" t="s">
        <v>1773</v>
      </c>
      <c r="D228" s="2" t="n">
        <v>194.045881781</v>
      </c>
      <c r="E228" s="2" t="n">
        <v>0.481476095953829</v>
      </c>
      <c r="F228" s="2" t="s">
        <v>11420</v>
      </c>
      <c r="G228" s="2" t="n">
        <v>47463</v>
      </c>
      <c r="H228" s="3" t="str">
        <f>HYPERLINK("http://funmeta.oebiotech.com/network/47463", "http://funmeta.oebiotech.com/network/47463")</f>
      </c>
      <c r="I228" s="2" t="s">
        <v>11421</v>
      </c>
      <c r="J228" s="2" t="s">
        <v>11422</v>
      </c>
      <c r="K228" s="2"/>
      <c r="L228" s="2" t="s">
        <v>11423</v>
      </c>
      <c r="M228" s="2" t="s">
        <v>11424</v>
      </c>
      <c r="N228" s="2" t="s">
        <v>11425</v>
      </c>
      <c r="O228" s="2" t="s">
        <v>11426</v>
      </c>
      <c r="P228" s="2" t="s">
        <v>11427</v>
      </c>
      <c r="Q228" s="2" t="s">
        <v>11428</v>
      </c>
      <c r="R228" s="2" t="s">
        <v>49</v>
      </c>
      <c r="S228" s="2" t="s">
        <v>165</v>
      </c>
      <c r="T228" s="2" t="s">
        <v>166</v>
      </c>
      <c r="U228" s="2" t="s">
        <v>1774</v>
      </c>
      <c r="V228" s="2" t="s">
        <v>110</v>
      </c>
      <c r="W228" s="2" t="s">
        <v>39</v>
      </c>
    </row>
    <row r="229">
      <c r="A229" s="2" t="n">
        <v>142</v>
      </c>
      <c r="B229" s="2" t="s">
        <v>11429</v>
      </c>
      <c r="C229" s="2" t="s">
        <v>1773</v>
      </c>
      <c r="D229" s="2" t="n">
        <v>194.045881781</v>
      </c>
      <c r="E229" s="2" t="n">
        <v>0.481476095953829</v>
      </c>
      <c r="F229" s="2" t="s">
        <v>11430</v>
      </c>
      <c r="G229" s="2" t="n">
        <v>48219</v>
      </c>
      <c r="H229" s="3" t="str">
        <f>HYPERLINK("http://funmeta.oebiotech.com/network/48219", "http://funmeta.oebiotech.com/network/48219")</f>
      </c>
      <c r="I229" s="2" t="s">
        <v>11431</v>
      </c>
      <c r="J229" s="2" t="s">
        <v>11432</v>
      </c>
      <c r="K229" s="2"/>
      <c r="L229" s="2" t="s">
        <v>11433</v>
      </c>
      <c r="M229" s="2" t="s">
        <v>11434</v>
      </c>
      <c r="N229" s="2" t="s">
        <v>11435</v>
      </c>
      <c r="O229" s="2" t="s">
        <v>11436</v>
      </c>
      <c r="P229" s="2" t="s">
        <v>11437</v>
      </c>
      <c r="Q229" s="2" t="s">
        <v>11438</v>
      </c>
      <c r="R229" s="2" t="s">
        <v>355</v>
      </c>
      <c r="S229" s="2" t="s">
        <v>2424</v>
      </c>
      <c r="T229" s="2" t="s">
        <v>11439</v>
      </c>
      <c r="U229" s="2" t="s">
        <v>1774</v>
      </c>
      <c r="V229" s="2" t="s">
        <v>110</v>
      </c>
      <c r="W229" s="2" t="s">
        <v>39</v>
      </c>
    </row>
    <row r="230">
      <c r="A230" s="2" t="n">
        <v>143</v>
      </c>
      <c r="B230" s="2" t="s">
        <v>11440</v>
      </c>
      <c r="C230" s="2" t="s">
        <v>1788</v>
      </c>
      <c r="D230" s="2" t="n">
        <v>194.933077675</v>
      </c>
      <c r="E230" s="2" t="n">
        <v>3.97619786538808</v>
      </c>
      <c r="F230" s="2" t="s">
        <v>1790</v>
      </c>
      <c r="G230" s="2" t="n">
        <v>204167</v>
      </c>
      <c r="H230" s="3" t="str">
        <f>HYPERLINK("http://funmeta.oebiotech.com/network/204167", "http://funmeta.oebiotech.com/network/204167")</f>
      </c>
      <c r="I230" s="2" t="s">
        <v>1792</v>
      </c>
      <c r="J230" s="2"/>
      <c r="K230" s="2"/>
      <c r="L230" s="2"/>
      <c r="M230" s="2"/>
      <c r="N230" s="2" t="s">
        <v>1793</v>
      </c>
      <c r="O230" s="2"/>
      <c r="P230" s="2" t="s">
        <v>1794</v>
      </c>
      <c r="Q230" s="2" t="s">
        <v>1795</v>
      </c>
      <c r="R230" s="2" t="s">
        <v>64</v>
      </c>
      <c r="S230" s="2" t="s">
        <v>1083</v>
      </c>
      <c r="T230" s="2" t="s">
        <v>1796</v>
      </c>
      <c r="U230" s="2" t="s">
        <v>1789</v>
      </c>
      <c r="V230" s="2" t="s">
        <v>42</v>
      </c>
      <c r="W230" s="2"/>
    </row>
    <row r="231">
      <c r="A231" s="2" t="n">
        <v>144</v>
      </c>
      <c r="B231" s="2" t="s">
        <v>11441</v>
      </c>
      <c r="C231" s="2" t="s">
        <v>1797</v>
      </c>
      <c r="D231" s="2" t="n">
        <v>194.979125086</v>
      </c>
      <c r="E231" s="2" t="n">
        <v>2.73673751971894</v>
      </c>
      <c r="F231" s="2" t="s">
        <v>1799</v>
      </c>
      <c r="G231" s="2" t="n">
        <v>208904</v>
      </c>
      <c r="H231" s="3" t="str">
        <f>HYPERLINK("http://funmeta.oebiotech.com/network/208904", "http://funmeta.oebiotech.com/network/208904")</f>
      </c>
      <c r="I231" s="2" t="s">
        <v>1801</v>
      </c>
      <c r="J231" s="2"/>
      <c r="K231" s="2"/>
      <c r="L231" s="2"/>
      <c r="M231" s="2"/>
      <c r="N231" s="2" t="s">
        <v>1802</v>
      </c>
      <c r="O231" s="2"/>
      <c r="P231" s="2" t="s">
        <v>1803</v>
      </c>
      <c r="Q231" s="2" t="s">
        <v>1804</v>
      </c>
      <c r="R231" s="2" t="s">
        <v>1490</v>
      </c>
      <c r="S231" s="2" t="s">
        <v>1491</v>
      </c>
      <c r="T231" s="2" t="s">
        <v>1492</v>
      </c>
      <c r="U231" s="2" t="s">
        <v>1798</v>
      </c>
      <c r="V231" s="2" t="s">
        <v>110</v>
      </c>
      <c r="W231" s="2"/>
    </row>
    <row r="232">
      <c r="A232" s="2" t="n">
        <v>145</v>
      </c>
      <c r="B232" s="2" t="s">
        <v>11442</v>
      </c>
      <c r="C232" s="2" t="s">
        <v>1805</v>
      </c>
      <c r="D232" s="2" t="n">
        <v>195.139049576</v>
      </c>
      <c r="E232" s="2" t="n">
        <v>0.958702272879596</v>
      </c>
      <c r="F232" s="2" t="s">
        <v>11443</v>
      </c>
      <c r="G232" s="2" t="n">
        <v>83335</v>
      </c>
      <c r="H232" s="3" t="str">
        <f>HYPERLINK("http://funmeta.oebiotech.com/network/83335", "http://funmeta.oebiotech.com/network/83335")</f>
      </c>
      <c r="I232" s="2" t="s">
        <v>11444</v>
      </c>
      <c r="J232" s="2"/>
      <c r="K232" s="2"/>
      <c r="L232" s="2"/>
      <c r="M232" s="2" t="s">
        <v>11445</v>
      </c>
      <c r="N232" s="2" t="s">
        <v>11446</v>
      </c>
      <c r="O232" s="2"/>
      <c r="P232" s="2" t="s">
        <v>11447</v>
      </c>
      <c r="Q232" s="2" t="s">
        <v>11448</v>
      </c>
      <c r="R232" s="2" t="s">
        <v>1490</v>
      </c>
      <c r="S232" s="2" t="s">
        <v>4971</v>
      </c>
      <c r="T232" s="2" t="s">
        <v>6636</v>
      </c>
      <c r="U232" s="2" t="s">
        <v>1806</v>
      </c>
      <c r="V232" s="2" t="s">
        <v>24</v>
      </c>
      <c r="W232" s="2"/>
    </row>
    <row r="233">
      <c r="A233" s="2" t="n">
        <v>145</v>
      </c>
      <c r="B233" s="2" t="s">
        <v>11449</v>
      </c>
      <c r="C233" s="2" t="s">
        <v>1805</v>
      </c>
      <c r="D233" s="2" t="n">
        <v>195.139049576</v>
      </c>
      <c r="E233" s="2" t="n">
        <v>0.958702272879596</v>
      </c>
      <c r="F233" s="2" t="s">
        <v>11450</v>
      </c>
      <c r="G233" s="2" t="n">
        <v>55652</v>
      </c>
      <c r="H233" s="3" t="str">
        <f>HYPERLINK("http://funmeta.oebiotech.com/network/55652", "http://funmeta.oebiotech.com/network/55652")</f>
      </c>
      <c r="I233" s="2" t="s">
        <v>11451</v>
      </c>
      <c r="J233" s="2" t="s">
        <v>11452</v>
      </c>
      <c r="K233" s="2"/>
      <c r="L233" s="2"/>
      <c r="M233" s="2"/>
      <c r="N233" s="2" t="s">
        <v>11453</v>
      </c>
      <c r="O233" s="2" t="s">
        <v>11454</v>
      </c>
      <c r="P233" s="2" t="s">
        <v>11455</v>
      </c>
      <c r="Q233" s="2" t="s">
        <v>11456</v>
      </c>
      <c r="R233" s="2" t="s">
        <v>491</v>
      </c>
      <c r="S233" s="2" t="s">
        <v>492</v>
      </c>
      <c r="T233" s="2" t="s">
        <v>10968</v>
      </c>
      <c r="U233" s="2" t="s">
        <v>1806</v>
      </c>
      <c r="V233" s="2" t="s">
        <v>24</v>
      </c>
      <c r="W233" s="2"/>
    </row>
    <row r="234">
      <c r="A234" s="2" t="n">
        <v>145</v>
      </c>
      <c r="B234" s="2" t="s">
        <v>11457</v>
      </c>
      <c r="C234" s="2" t="s">
        <v>1805</v>
      </c>
      <c r="D234" s="2" t="n">
        <v>195.139049576</v>
      </c>
      <c r="E234" s="2" t="n">
        <v>0.958702272879596</v>
      </c>
      <c r="F234" s="2" t="s">
        <v>11458</v>
      </c>
      <c r="G234" s="2" t="n">
        <v>9151</v>
      </c>
      <c r="H234" s="3" t="str">
        <f>HYPERLINK("http://funmeta.oebiotech.com/network/9151", "http://funmeta.oebiotech.com/network/9151")</f>
      </c>
      <c r="I234" s="2" t="s">
        <v>11459</v>
      </c>
      <c r="J234" s="2" t="s">
        <v>11460</v>
      </c>
      <c r="K234" s="2" t="s">
        <v>11461</v>
      </c>
      <c r="L234" s="2"/>
      <c r="M234" s="2" t="s">
        <v>11462</v>
      </c>
      <c r="N234" s="2" t="s">
        <v>11463</v>
      </c>
      <c r="O234" s="2" t="s">
        <v>11464</v>
      </c>
      <c r="P234" s="2" t="s">
        <v>11465</v>
      </c>
      <c r="Q234" s="2" t="s">
        <v>11466</v>
      </c>
      <c r="R234" s="2" t="s">
        <v>1490</v>
      </c>
      <c r="S234" s="2" t="s">
        <v>4971</v>
      </c>
      <c r="T234" s="2" t="s">
        <v>6636</v>
      </c>
      <c r="U234" s="2" t="s">
        <v>1806</v>
      </c>
      <c r="V234" s="2" t="s">
        <v>24</v>
      </c>
      <c r="W234" s="2"/>
    </row>
    <row r="235">
      <c r="A235" s="2" t="n">
        <v>146</v>
      </c>
      <c r="B235" s="2" t="s">
        <v>11467</v>
      </c>
      <c r="C235" s="2" t="s">
        <v>1820</v>
      </c>
      <c r="D235" s="2" t="n">
        <v>196.024291105</v>
      </c>
      <c r="E235" s="2" t="n">
        <v>3.30554529875729</v>
      </c>
      <c r="F235" s="2" t="s">
        <v>1822</v>
      </c>
      <c r="G235" s="2" t="n">
        <v>209154</v>
      </c>
      <c r="H235" s="3" t="str">
        <f>HYPERLINK("http://funmeta.oebiotech.com/network/209154", "http://funmeta.oebiotech.com/network/209154")</f>
      </c>
      <c r="I235" s="2" t="s">
        <v>1824</v>
      </c>
      <c r="J235" s="2"/>
      <c r="K235" s="2"/>
      <c r="L235" s="2"/>
      <c r="M235" s="2"/>
      <c r="N235" s="2" t="s">
        <v>1825</v>
      </c>
      <c r="O235" s="2"/>
      <c r="P235" s="2" t="s">
        <v>1826</v>
      </c>
      <c r="Q235" s="2" t="s">
        <v>1827</v>
      </c>
      <c r="R235" s="2" t="s">
        <v>36</v>
      </c>
      <c r="S235" s="2" t="s">
        <v>37</v>
      </c>
      <c r="T235" s="2" t="s">
        <v>1828</v>
      </c>
      <c r="U235" s="2" t="s">
        <v>1821</v>
      </c>
      <c r="V235" s="2" t="s">
        <v>522</v>
      </c>
      <c r="W235" s="2"/>
    </row>
    <row r="236">
      <c r="A236" s="2" t="n">
        <v>147</v>
      </c>
      <c r="B236" s="2" t="s">
        <v>11468</v>
      </c>
      <c r="C236" s="2" t="s">
        <v>1829</v>
      </c>
      <c r="D236" s="2" t="n">
        <v>196.979314758</v>
      </c>
      <c r="E236" s="2" t="n">
        <v>2.87834457334296</v>
      </c>
      <c r="F236" s="2" t="s">
        <v>1831</v>
      </c>
      <c r="G236" s="2" t="n">
        <v>63414</v>
      </c>
      <c r="H236" s="3" t="str">
        <f>HYPERLINK("http://funmeta.oebiotech.com/network/63414", "http://funmeta.oebiotech.com/network/63414")</f>
      </c>
      <c r="I236" s="2" t="s">
        <v>1833</v>
      </c>
      <c r="J236" s="2" t="s">
        <v>1834</v>
      </c>
      <c r="K236" s="2"/>
      <c r="L236" s="2"/>
      <c r="M236" s="2"/>
      <c r="N236" s="2" t="s">
        <v>1835</v>
      </c>
      <c r="O236" s="2" t="s">
        <v>1836</v>
      </c>
      <c r="P236" s="2" t="s">
        <v>1837</v>
      </c>
      <c r="Q236" s="2" t="s">
        <v>1838</v>
      </c>
      <c r="R236" s="2" t="s">
        <v>49</v>
      </c>
      <c r="S236" s="2" t="s">
        <v>165</v>
      </c>
      <c r="T236" s="2" t="s">
        <v>166</v>
      </c>
      <c r="U236" s="2" t="s">
        <v>1830</v>
      </c>
      <c r="V236" s="2" t="s">
        <v>522</v>
      </c>
      <c r="W236" s="2"/>
    </row>
    <row r="237">
      <c r="A237" s="2" t="n">
        <v>148</v>
      </c>
      <c r="B237" s="2" t="s">
        <v>11469</v>
      </c>
      <c r="C237" s="2" t="s">
        <v>1839</v>
      </c>
      <c r="D237" s="2" t="n">
        <v>197.025215857</v>
      </c>
      <c r="E237" s="2" t="n">
        <v>3.90008968774936</v>
      </c>
      <c r="F237" s="2" t="s">
        <v>11470</v>
      </c>
      <c r="G237" s="2" t="n">
        <v>52481</v>
      </c>
      <c r="H237" s="3" t="str">
        <f>HYPERLINK("http://funmeta.oebiotech.com/network/52481", "http://funmeta.oebiotech.com/network/52481")</f>
      </c>
      <c r="I237" s="2" t="s">
        <v>11471</v>
      </c>
      <c r="J237" s="2" t="s">
        <v>11472</v>
      </c>
      <c r="K237" s="2"/>
      <c r="L237" s="2" t="s">
        <v>11473</v>
      </c>
      <c r="M237" s="2" t="s">
        <v>11474</v>
      </c>
      <c r="N237" s="2" t="s">
        <v>11475</v>
      </c>
      <c r="O237" s="2" t="s">
        <v>11476</v>
      </c>
      <c r="P237" s="2" t="s">
        <v>11477</v>
      </c>
      <c r="Q237" s="2" t="s">
        <v>11478</v>
      </c>
      <c r="R237" s="2" t="s">
        <v>49</v>
      </c>
      <c r="S237" s="2" t="s">
        <v>771</v>
      </c>
      <c r="T237" s="2" t="s">
        <v>11479</v>
      </c>
      <c r="U237" s="2" t="s">
        <v>1840</v>
      </c>
      <c r="V237" s="2" t="s">
        <v>110</v>
      </c>
      <c r="W237" s="2" t="s">
        <v>39</v>
      </c>
    </row>
    <row r="238">
      <c r="A238" s="2" t="n">
        <v>148</v>
      </c>
      <c r="B238" s="2" t="s">
        <v>11480</v>
      </c>
      <c r="C238" s="2" t="s">
        <v>1839</v>
      </c>
      <c r="D238" s="2" t="n">
        <v>197.025215857</v>
      </c>
      <c r="E238" s="2" t="n">
        <v>3.90008968774936</v>
      </c>
      <c r="F238" s="2" t="s">
        <v>11481</v>
      </c>
      <c r="G238" s="2" t="n">
        <v>52480</v>
      </c>
      <c r="H238" s="3" t="str">
        <f>HYPERLINK("http://funmeta.oebiotech.com/network/52480", "http://funmeta.oebiotech.com/network/52480")</f>
      </c>
      <c r="I238" s="2" t="s">
        <v>11482</v>
      </c>
      <c r="J238" s="2" t="s">
        <v>11483</v>
      </c>
      <c r="K238" s="2"/>
      <c r="L238" s="2" t="s">
        <v>11484</v>
      </c>
      <c r="M238" s="2" t="s">
        <v>11485</v>
      </c>
      <c r="N238" s="2" t="s">
        <v>11486</v>
      </c>
      <c r="O238" s="2" t="s">
        <v>11487</v>
      </c>
      <c r="P238" s="2" t="s">
        <v>11488</v>
      </c>
      <c r="Q238" s="2" t="s">
        <v>11489</v>
      </c>
      <c r="R238" s="2" t="s">
        <v>49</v>
      </c>
      <c r="S238" s="2" t="s">
        <v>771</v>
      </c>
      <c r="T238" s="2" t="s">
        <v>11479</v>
      </c>
      <c r="U238" s="2" t="s">
        <v>1840</v>
      </c>
      <c r="V238" s="2" t="s">
        <v>110</v>
      </c>
      <c r="W238" s="2" t="s">
        <v>39</v>
      </c>
    </row>
    <row r="239">
      <c r="A239" s="2" t="n">
        <v>149</v>
      </c>
      <c r="B239" s="2" t="s">
        <v>11490</v>
      </c>
      <c r="C239" s="2" t="s">
        <v>1853</v>
      </c>
      <c r="D239" s="2" t="n">
        <v>197.11831844</v>
      </c>
      <c r="E239" s="2" t="n">
        <v>0.738737722818899</v>
      </c>
      <c r="F239" s="2" t="s">
        <v>1855</v>
      </c>
      <c r="G239" s="2" t="n">
        <v>208044</v>
      </c>
      <c r="H239" s="3" t="str">
        <f>HYPERLINK("http://funmeta.oebiotech.com/network/208044", "http://funmeta.oebiotech.com/network/208044")</f>
      </c>
      <c r="I239" s="2" t="s">
        <v>1857</v>
      </c>
      <c r="J239" s="2"/>
      <c r="K239" s="2"/>
      <c r="L239" s="2"/>
      <c r="M239" s="2"/>
      <c r="N239" s="2" t="s">
        <v>1858</v>
      </c>
      <c r="O239" s="2"/>
      <c r="P239" s="2" t="s">
        <v>1859</v>
      </c>
      <c r="Q239" s="2" t="s">
        <v>1860</v>
      </c>
      <c r="R239" s="2" t="s">
        <v>49</v>
      </c>
      <c r="S239" s="2" t="s">
        <v>396</v>
      </c>
      <c r="T239" s="2" t="s">
        <v>1861</v>
      </c>
      <c r="U239" s="2" t="s">
        <v>1854</v>
      </c>
      <c r="V239" s="2" t="s">
        <v>110</v>
      </c>
      <c r="W239" s="2"/>
    </row>
    <row r="240">
      <c r="A240" s="2" t="n">
        <v>150</v>
      </c>
      <c r="B240" s="2" t="s">
        <v>11491</v>
      </c>
      <c r="C240" s="2" t="s">
        <v>1862</v>
      </c>
      <c r="D240" s="2" t="n">
        <v>198.030900413</v>
      </c>
      <c r="E240" s="2" t="n">
        <v>8.54840975071427</v>
      </c>
      <c r="F240" s="2" t="s">
        <v>1864</v>
      </c>
      <c r="G240" s="2" t="n">
        <v>201122</v>
      </c>
      <c r="H240" s="3" t="str">
        <f>HYPERLINK("http://funmeta.oebiotech.com/network/201122", "http://funmeta.oebiotech.com/network/201122")</f>
      </c>
      <c r="I240" s="2" t="s">
        <v>1866</v>
      </c>
      <c r="J240" s="2"/>
      <c r="K240" s="2"/>
      <c r="L240" s="2"/>
      <c r="M240" s="2"/>
      <c r="N240" s="2" t="s">
        <v>1867</v>
      </c>
      <c r="O240" s="2"/>
      <c r="P240" s="2" t="s">
        <v>1868</v>
      </c>
      <c r="Q240" s="2" t="s">
        <v>1869</v>
      </c>
      <c r="R240" s="2" t="s">
        <v>502</v>
      </c>
      <c r="S240" s="2" t="s">
        <v>503</v>
      </c>
      <c r="T240" s="2" t="s">
        <v>504</v>
      </c>
      <c r="U240" s="2" t="s">
        <v>1863</v>
      </c>
      <c r="V240" s="2" t="s">
        <v>110</v>
      </c>
      <c r="W240" s="2"/>
    </row>
    <row r="241">
      <c r="A241" s="2" t="n">
        <v>151</v>
      </c>
      <c r="B241" s="2" t="s">
        <v>11492</v>
      </c>
      <c r="C241" s="2" t="s">
        <v>1870</v>
      </c>
      <c r="D241" s="2" t="n">
        <v>199.002358386</v>
      </c>
      <c r="E241" s="2" t="n">
        <v>1.2709245521795</v>
      </c>
      <c r="F241" s="2" t="s">
        <v>11493</v>
      </c>
      <c r="G241" s="2" t="n">
        <v>57013</v>
      </c>
      <c r="H241" s="3" t="str">
        <f>HYPERLINK("http://funmeta.oebiotech.com/network/57013", "http://funmeta.oebiotech.com/network/57013")</f>
      </c>
      <c r="I241" s="2" t="s">
        <v>11494</v>
      </c>
      <c r="J241" s="2" t="s">
        <v>11495</v>
      </c>
      <c r="K241" s="2"/>
      <c r="L241" s="2"/>
      <c r="M241" s="2"/>
      <c r="N241" s="2" t="s">
        <v>11496</v>
      </c>
      <c r="O241" s="2" t="s">
        <v>11497</v>
      </c>
      <c r="P241" s="2" t="s">
        <v>11498</v>
      </c>
      <c r="Q241" s="2" t="s">
        <v>11499</v>
      </c>
      <c r="R241" s="2" t="s">
        <v>49</v>
      </c>
      <c r="S241" s="2" t="s">
        <v>11500</v>
      </c>
      <c r="T241" s="2" t="s">
        <v>205</v>
      </c>
      <c r="U241" s="2" t="s">
        <v>1871</v>
      </c>
      <c r="V241" s="2" t="s">
        <v>522</v>
      </c>
      <c r="W241" s="2"/>
    </row>
    <row r="242">
      <c r="A242" s="2" t="n">
        <v>151</v>
      </c>
      <c r="B242" s="2" t="s">
        <v>11501</v>
      </c>
      <c r="C242" s="2" t="s">
        <v>1870</v>
      </c>
      <c r="D242" s="2" t="n">
        <v>199.002358386</v>
      </c>
      <c r="E242" s="2" t="n">
        <v>1.2709245521795</v>
      </c>
      <c r="F242" s="2" t="s">
        <v>11502</v>
      </c>
      <c r="G242" s="2" t="n">
        <v>57020</v>
      </c>
      <c r="H242" s="3" t="str">
        <f>HYPERLINK("http://funmeta.oebiotech.com/network/57020", "http://funmeta.oebiotech.com/network/57020")</f>
      </c>
      <c r="I242" s="2" t="s">
        <v>11503</v>
      </c>
      <c r="J242" s="2" t="s">
        <v>11504</v>
      </c>
      <c r="K242" s="2"/>
      <c r="L242" s="2"/>
      <c r="M242" s="2"/>
      <c r="N242" s="2" t="s">
        <v>11505</v>
      </c>
      <c r="O242" s="2" t="s">
        <v>11506</v>
      </c>
      <c r="P242" s="2" t="s">
        <v>11507</v>
      </c>
      <c r="Q242" s="2" t="s">
        <v>11508</v>
      </c>
      <c r="R242" s="2" t="s">
        <v>49</v>
      </c>
      <c r="S242" s="2" t="s">
        <v>11500</v>
      </c>
      <c r="T242" s="2" t="s">
        <v>205</v>
      </c>
      <c r="U242" s="2" t="s">
        <v>1871</v>
      </c>
      <c r="V242" s="2" t="s">
        <v>522</v>
      </c>
      <c r="W242" s="2"/>
    </row>
    <row r="243">
      <c r="A243" s="2" t="n">
        <v>152</v>
      </c>
      <c r="B243" s="2" t="s">
        <v>11509</v>
      </c>
      <c r="C243" s="2" t="s">
        <v>1881</v>
      </c>
      <c r="D243" s="2" t="n">
        <v>199.133964198</v>
      </c>
      <c r="E243" s="2" t="n">
        <v>0.35106922015773</v>
      </c>
      <c r="F243" s="2" t="s">
        <v>11510</v>
      </c>
      <c r="G243" s="2" t="n">
        <v>35245</v>
      </c>
      <c r="H243" s="3" t="str">
        <f>HYPERLINK("http://funmeta.oebiotech.com/network/35245", "http://funmeta.oebiotech.com/network/35245")</f>
      </c>
      <c r="I243" s="2" t="s">
        <v>11511</v>
      </c>
      <c r="J243" s="2" t="s">
        <v>11512</v>
      </c>
      <c r="K243" s="2" t="s">
        <v>11513</v>
      </c>
      <c r="L243" s="2" t="s">
        <v>11514</v>
      </c>
      <c r="M243" s="2" t="s">
        <v>11515</v>
      </c>
      <c r="N243" s="2" t="s">
        <v>11516</v>
      </c>
      <c r="O243" s="2" t="s">
        <v>11517</v>
      </c>
      <c r="P243" s="2" t="s">
        <v>11518</v>
      </c>
      <c r="Q243" s="2" t="s">
        <v>11519</v>
      </c>
      <c r="R243" s="2" t="s">
        <v>1490</v>
      </c>
      <c r="S243" s="2" t="s">
        <v>4971</v>
      </c>
      <c r="T243" s="2" t="s">
        <v>6636</v>
      </c>
      <c r="U243" s="2" t="s">
        <v>1882</v>
      </c>
      <c r="V243" s="2" t="s">
        <v>24</v>
      </c>
      <c r="W243" s="2" t="s">
        <v>39</v>
      </c>
    </row>
    <row r="244">
      <c r="A244" s="2" t="n">
        <v>152</v>
      </c>
      <c r="B244" s="2" t="s">
        <v>11520</v>
      </c>
      <c r="C244" s="2" t="s">
        <v>1881</v>
      </c>
      <c r="D244" s="2" t="n">
        <v>199.1339642</v>
      </c>
      <c r="E244" s="2" t="n">
        <v>0.35106922015773</v>
      </c>
      <c r="F244" s="2" t="s">
        <v>11521</v>
      </c>
      <c r="G244" s="2" t="n">
        <v>35248</v>
      </c>
      <c r="H244" s="3" t="str">
        <f>HYPERLINK("http://funmeta.oebiotech.com/network/35248", "http://funmeta.oebiotech.com/network/35248")</f>
      </c>
      <c r="I244" s="2" t="s">
        <v>11522</v>
      </c>
      <c r="J244" s="2" t="s">
        <v>11523</v>
      </c>
      <c r="K244" s="2" t="s">
        <v>11524</v>
      </c>
      <c r="L244" s="2" t="s">
        <v>11525</v>
      </c>
      <c r="M244" s="2" t="s">
        <v>11526</v>
      </c>
      <c r="N244" s="2" t="s">
        <v>11527</v>
      </c>
      <c r="O244" s="2" t="s">
        <v>11528</v>
      </c>
      <c r="P244" s="2" t="s">
        <v>11529</v>
      </c>
      <c r="Q244" s="2" t="s">
        <v>11530</v>
      </c>
      <c r="R244" s="2" t="s">
        <v>1490</v>
      </c>
      <c r="S244" s="2" t="s">
        <v>4971</v>
      </c>
      <c r="T244" s="2" t="s">
        <v>6636</v>
      </c>
      <c r="U244" s="2" t="s">
        <v>1882</v>
      </c>
      <c r="V244" s="2" t="s">
        <v>24</v>
      </c>
      <c r="W244" s="2" t="s">
        <v>39</v>
      </c>
    </row>
    <row r="245">
      <c r="A245" s="2" t="n">
        <v>152</v>
      </c>
      <c r="B245" s="2" t="s">
        <v>11531</v>
      </c>
      <c r="C245" s="2" t="s">
        <v>1881</v>
      </c>
      <c r="D245" s="2" t="n">
        <v>199.1339642</v>
      </c>
      <c r="E245" s="2" t="n">
        <v>0.35106922015773</v>
      </c>
      <c r="F245" s="2" t="s">
        <v>11532</v>
      </c>
      <c r="G245" s="2" t="n">
        <v>35254</v>
      </c>
      <c r="H245" s="3" t="str">
        <f>HYPERLINK("http://funmeta.oebiotech.com/network/35254", "http://funmeta.oebiotech.com/network/35254")</f>
      </c>
      <c r="I245" s="2" t="s">
        <v>11533</v>
      </c>
      <c r="J245" s="2" t="s">
        <v>11534</v>
      </c>
      <c r="K245" s="2" t="s">
        <v>11535</v>
      </c>
      <c r="L245" s="2" t="s">
        <v>11536</v>
      </c>
      <c r="M245" s="2" t="s">
        <v>11537</v>
      </c>
      <c r="N245" s="2" t="s">
        <v>11538</v>
      </c>
      <c r="O245" s="2" t="s">
        <v>11539</v>
      </c>
      <c r="P245" s="2" t="s">
        <v>11540</v>
      </c>
      <c r="Q245" s="2" t="s">
        <v>11541</v>
      </c>
      <c r="R245" s="2" t="s">
        <v>1490</v>
      </c>
      <c r="S245" s="2" t="s">
        <v>4971</v>
      </c>
      <c r="T245" s="2" t="s">
        <v>6636</v>
      </c>
      <c r="U245" s="2" t="s">
        <v>1882</v>
      </c>
      <c r="V245" s="2" t="s">
        <v>24</v>
      </c>
      <c r="W245" s="2" t="s">
        <v>39</v>
      </c>
    </row>
    <row r="246">
      <c r="A246" s="2" t="n">
        <v>153</v>
      </c>
      <c r="B246" s="2" t="s">
        <v>11542</v>
      </c>
      <c r="C246" s="2" t="s">
        <v>1894</v>
      </c>
      <c r="D246" s="2" t="n">
        <v>200.055896153</v>
      </c>
      <c r="E246" s="2" t="n">
        <v>4.5731395793499</v>
      </c>
      <c r="F246" s="2" t="s">
        <v>1896</v>
      </c>
      <c r="G246" s="2" t="n">
        <v>209790</v>
      </c>
      <c r="H246" s="3" t="str">
        <f>HYPERLINK("http://funmeta.oebiotech.com/network/209790", "http://funmeta.oebiotech.com/network/209790")</f>
      </c>
      <c r="I246" s="2" t="s">
        <v>1898</v>
      </c>
      <c r="J246" s="2"/>
      <c r="K246" s="2"/>
      <c r="L246" s="2"/>
      <c r="M246" s="2"/>
      <c r="N246" s="2" t="s">
        <v>1899</v>
      </c>
      <c r="O246" s="2"/>
      <c r="P246" s="2" t="s">
        <v>1900</v>
      </c>
      <c r="Q246" s="2" t="s">
        <v>1901</v>
      </c>
      <c r="R246" s="2" t="s">
        <v>49</v>
      </c>
      <c r="S246" s="2" t="s">
        <v>165</v>
      </c>
      <c r="T246" s="2" t="s">
        <v>166</v>
      </c>
      <c r="U246" s="2" t="s">
        <v>1895</v>
      </c>
      <c r="V246" s="2" t="s">
        <v>42</v>
      </c>
      <c r="W246" s="2"/>
    </row>
    <row r="247">
      <c r="A247" s="2" t="n">
        <v>154</v>
      </c>
      <c r="B247" s="2" t="s">
        <v>11543</v>
      </c>
      <c r="C247" s="2" t="s">
        <v>1902</v>
      </c>
      <c r="D247" s="2" t="n">
        <v>201.113228756</v>
      </c>
      <c r="E247" s="2" t="n">
        <v>0.448273036327311</v>
      </c>
      <c r="F247" s="2" t="s">
        <v>1904</v>
      </c>
      <c r="G247" s="2" t="n">
        <v>7762</v>
      </c>
      <c r="H247" s="3" t="str">
        <f>HYPERLINK("http://funmeta.oebiotech.com/network/7762", "http://funmeta.oebiotech.com/network/7762")</f>
      </c>
      <c r="I247" s="2" t="s">
        <v>1906</v>
      </c>
      <c r="J247" s="2" t="s">
        <v>1907</v>
      </c>
      <c r="K247" s="2" t="s">
        <v>1908</v>
      </c>
      <c r="L247" s="2" t="s">
        <v>1909</v>
      </c>
      <c r="M247" s="2"/>
      <c r="N247" s="2" t="s">
        <v>1910</v>
      </c>
      <c r="O247" s="2" t="s">
        <v>1911</v>
      </c>
      <c r="P247" s="2" t="s">
        <v>1912</v>
      </c>
      <c r="Q247" s="2" t="s">
        <v>1913</v>
      </c>
      <c r="R247" s="2" t="s">
        <v>355</v>
      </c>
      <c r="S247" s="2" t="s">
        <v>1914</v>
      </c>
      <c r="T247" s="2" t="s">
        <v>1915</v>
      </c>
      <c r="U247" s="2" t="s">
        <v>1903</v>
      </c>
      <c r="V247" s="2" t="s">
        <v>24</v>
      </c>
      <c r="W247" s="2" t="s">
        <v>39</v>
      </c>
    </row>
    <row r="248">
      <c r="A248" s="2" t="n">
        <v>155</v>
      </c>
      <c r="B248" s="2" t="s">
        <v>11544</v>
      </c>
      <c r="C248" s="2" t="s">
        <v>1916</v>
      </c>
      <c r="D248" s="2" t="n">
        <v>201.989916982</v>
      </c>
      <c r="E248" s="2" t="n">
        <v>19.3787703323968</v>
      </c>
      <c r="F248" s="2" t="s">
        <v>1918</v>
      </c>
      <c r="G248" s="2" t="n">
        <v>82204</v>
      </c>
      <c r="H248" s="3" t="str">
        <f>HYPERLINK("http://funmeta.oebiotech.com/network/82204", "http://funmeta.oebiotech.com/network/82204")</f>
      </c>
      <c r="I248" s="2" t="s">
        <v>1920</v>
      </c>
      <c r="J248" s="2"/>
      <c r="K248" s="2"/>
      <c r="L248" s="2"/>
      <c r="M248" s="2" t="s">
        <v>1921</v>
      </c>
      <c r="N248" s="2"/>
      <c r="O248" s="2"/>
      <c r="P248" s="2" t="s">
        <v>1922</v>
      </c>
      <c r="Q248" s="2" t="s">
        <v>1923</v>
      </c>
      <c r="R248" s="2" t="s">
        <v>355</v>
      </c>
      <c r="S248" s="2" t="s">
        <v>466</v>
      </c>
      <c r="T248" s="2" t="s">
        <v>467</v>
      </c>
      <c r="U248" s="2" t="s">
        <v>1917</v>
      </c>
      <c r="V248" s="2" t="s">
        <v>522</v>
      </c>
      <c r="W248" s="2"/>
    </row>
    <row r="249">
      <c r="A249" s="2" t="n">
        <v>156</v>
      </c>
      <c r="B249" s="2" t="s">
        <v>11545</v>
      </c>
      <c r="C249" s="2" t="s">
        <v>1924</v>
      </c>
      <c r="D249" s="2" t="n">
        <v>202.009887088</v>
      </c>
      <c r="E249" s="2" t="n">
        <v>1.74208801373602</v>
      </c>
      <c r="F249" s="2" t="s">
        <v>1926</v>
      </c>
      <c r="G249" s="2" t="n">
        <v>199228</v>
      </c>
      <c r="H249" s="3" t="str">
        <f>HYPERLINK("http://funmeta.oebiotech.com/network/199228", "http://funmeta.oebiotech.com/network/199228")</f>
      </c>
      <c r="I249" s="2" t="s">
        <v>1928</v>
      </c>
      <c r="J249" s="2"/>
      <c r="K249" s="2"/>
      <c r="L249" s="2"/>
      <c r="M249" s="2"/>
      <c r="N249" s="2" t="s">
        <v>1929</v>
      </c>
      <c r="O249" s="2"/>
      <c r="P249" s="2" t="s">
        <v>1930</v>
      </c>
      <c r="Q249" s="2" t="s">
        <v>1931</v>
      </c>
      <c r="R249" s="2" t="s">
        <v>502</v>
      </c>
      <c r="S249" s="2" t="s">
        <v>503</v>
      </c>
      <c r="T249" s="2" t="s">
        <v>1932</v>
      </c>
      <c r="U249" s="2" t="s">
        <v>1925</v>
      </c>
      <c r="V249" s="2" t="s">
        <v>522</v>
      </c>
      <c r="W249" s="2"/>
    </row>
    <row r="250">
      <c r="A250" s="2" t="n">
        <v>157</v>
      </c>
      <c r="B250" s="2" t="s">
        <v>11546</v>
      </c>
      <c r="C250" s="2" t="s">
        <v>1933</v>
      </c>
      <c r="D250" s="2" t="n">
        <v>203.0166579</v>
      </c>
      <c r="E250" s="2" t="n">
        <v>7.15648692472504</v>
      </c>
      <c r="F250" s="2" t="s">
        <v>1935</v>
      </c>
      <c r="G250" s="2" t="n">
        <v>199548</v>
      </c>
      <c r="H250" s="3" t="str">
        <f>HYPERLINK("http://funmeta.oebiotech.com/network/199548", "http://funmeta.oebiotech.com/network/199548")</f>
      </c>
      <c r="I250" s="2" t="s">
        <v>1937</v>
      </c>
      <c r="J250" s="2"/>
      <c r="K250" s="2"/>
      <c r="L250" s="2"/>
      <c r="M250" s="2"/>
      <c r="N250" s="2" t="s">
        <v>1938</v>
      </c>
      <c r="O250" s="2"/>
      <c r="P250" s="2" t="s">
        <v>1939</v>
      </c>
      <c r="Q250" s="2" t="s">
        <v>1940</v>
      </c>
      <c r="R250" s="2" t="s">
        <v>203</v>
      </c>
      <c r="S250" s="2" t="s">
        <v>1941</v>
      </c>
      <c r="T250" s="2" t="s">
        <v>205</v>
      </c>
      <c r="U250" s="2" t="s">
        <v>1934</v>
      </c>
      <c r="V250" s="2" t="s">
        <v>522</v>
      </c>
      <c r="W250" s="2"/>
    </row>
    <row r="251">
      <c r="A251" s="2" t="n">
        <v>158</v>
      </c>
      <c r="B251" s="2" t="s">
        <v>11547</v>
      </c>
      <c r="C251" s="2" t="s">
        <v>1942</v>
      </c>
      <c r="D251" s="2" t="n">
        <v>203.085422622</v>
      </c>
      <c r="E251" s="2" t="n">
        <v>3.85197550235977</v>
      </c>
      <c r="F251" s="2" t="s">
        <v>1944</v>
      </c>
      <c r="G251" s="2" t="n">
        <v>204409</v>
      </c>
      <c r="H251" s="3" t="str">
        <f>HYPERLINK("http://funmeta.oebiotech.com/network/204409", "http://funmeta.oebiotech.com/network/204409")</f>
      </c>
      <c r="I251" s="2" t="s">
        <v>1946</v>
      </c>
      <c r="J251" s="2" t="s">
        <v>1947</v>
      </c>
      <c r="K251" s="2"/>
      <c r="L251" s="2" t="s">
        <v>1948</v>
      </c>
      <c r="M251" s="2" t="s">
        <v>1949</v>
      </c>
      <c r="N251" s="2" t="s">
        <v>1950</v>
      </c>
      <c r="O251" s="2" t="s">
        <v>1951</v>
      </c>
      <c r="P251" s="2" t="s">
        <v>1952</v>
      </c>
      <c r="Q251" s="2" t="s">
        <v>1953</v>
      </c>
      <c r="R251" s="2" t="s">
        <v>49</v>
      </c>
      <c r="S251" s="2" t="s">
        <v>165</v>
      </c>
      <c r="T251" s="2" t="s">
        <v>166</v>
      </c>
      <c r="U251" s="2" t="s">
        <v>1943</v>
      </c>
      <c r="V251" s="2" t="s">
        <v>42</v>
      </c>
      <c r="W251" s="2" t="s">
        <v>39</v>
      </c>
    </row>
    <row r="252">
      <c r="A252" s="2" t="n">
        <v>159</v>
      </c>
      <c r="B252" s="2" t="s">
        <v>11548</v>
      </c>
      <c r="C252" s="2" t="s">
        <v>1954</v>
      </c>
      <c r="D252" s="2" t="n">
        <v>203.9891514</v>
      </c>
      <c r="E252" s="2" t="n">
        <v>8.96856815860124</v>
      </c>
      <c r="F252" s="2" t="s">
        <v>1956</v>
      </c>
      <c r="G252" s="2" t="n">
        <v>209120</v>
      </c>
      <c r="H252" s="3" t="str">
        <f>HYPERLINK("http://funmeta.oebiotech.com/network/209120", "http://funmeta.oebiotech.com/network/209120")</f>
      </c>
      <c r="I252" s="2" t="s">
        <v>1958</v>
      </c>
      <c r="J252" s="2" t="s">
        <v>1959</v>
      </c>
      <c r="K252" s="2"/>
      <c r="L252" s="2"/>
      <c r="M252" s="2" t="s">
        <v>1960</v>
      </c>
      <c r="N252" s="2" t="s">
        <v>1961</v>
      </c>
      <c r="O252" s="2"/>
      <c r="P252" s="2" t="s">
        <v>1962</v>
      </c>
      <c r="Q252" s="2" t="s">
        <v>1963</v>
      </c>
      <c r="R252" s="2" t="s">
        <v>502</v>
      </c>
      <c r="S252" s="2" t="s">
        <v>503</v>
      </c>
      <c r="T252" s="2" t="s">
        <v>1964</v>
      </c>
      <c r="U252" s="2" t="s">
        <v>1955</v>
      </c>
      <c r="V252" s="2" t="s">
        <v>110</v>
      </c>
      <c r="W252" s="2"/>
    </row>
    <row r="253">
      <c r="A253" s="2" t="n">
        <v>160</v>
      </c>
      <c r="B253" s="2" t="s">
        <v>11549</v>
      </c>
      <c r="C253" s="2" t="s">
        <v>1965</v>
      </c>
      <c r="D253" s="2" t="n">
        <v>205.159789326</v>
      </c>
      <c r="E253" s="2" t="n">
        <v>0.689702176708904</v>
      </c>
      <c r="F253" s="2" t="s">
        <v>11550</v>
      </c>
      <c r="G253" s="2" t="n">
        <v>59489</v>
      </c>
      <c r="H253" s="3" t="str">
        <f>HYPERLINK("http://funmeta.oebiotech.com/network/59489", "http://funmeta.oebiotech.com/network/59489")</f>
      </c>
      <c r="I253" s="2" t="s">
        <v>11551</v>
      </c>
      <c r="J253" s="2" t="s">
        <v>11552</v>
      </c>
      <c r="K253" s="2"/>
      <c r="L253" s="2" t="s">
        <v>11553</v>
      </c>
      <c r="M253" s="2" t="s">
        <v>11554</v>
      </c>
      <c r="N253" s="2" t="s">
        <v>11555</v>
      </c>
      <c r="O253" s="2" t="s">
        <v>11556</v>
      </c>
      <c r="P253" s="2" t="s">
        <v>11557</v>
      </c>
      <c r="Q253" s="2" t="s">
        <v>11558</v>
      </c>
      <c r="R253" s="2" t="s">
        <v>1490</v>
      </c>
      <c r="S253" s="2" t="s">
        <v>4971</v>
      </c>
      <c r="T253" s="2" t="s">
        <v>5966</v>
      </c>
      <c r="U253" s="2" t="s">
        <v>1966</v>
      </c>
      <c r="V253" s="2" t="s">
        <v>110</v>
      </c>
      <c r="W253" s="2" t="s">
        <v>39</v>
      </c>
    </row>
    <row r="254">
      <c r="A254" s="2" t="n">
        <v>160</v>
      </c>
      <c r="B254" s="2" t="s">
        <v>11559</v>
      </c>
      <c r="C254" s="2" t="s">
        <v>1965</v>
      </c>
      <c r="D254" s="2" t="n">
        <v>205.159789326</v>
      </c>
      <c r="E254" s="2" t="n">
        <v>0.689702176708904</v>
      </c>
      <c r="F254" s="2" t="s">
        <v>11560</v>
      </c>
      <c r="G254" s="2" t="n">
        <v>52466</v>
      </c>
      <c r="H254" s="3" t="str">
        <f>HYPERLINK("http://funmeta.oebiotech.com/network/52466", "http://funmeta.oebiotech.com/network/52466")</f>
      </c>
      <c r="I254" s="2" t="s">
        <v>11561</v>
      </c>
      <c r="J254" s="2" t="s">
        <v>11562</v>
      </c>
      <c r="K254" s="2"/>
      <c r="L254" s="2" t="s">
        <v>11563</v>
      </c>
      <c r="M254" s="2"/>
      <c r="N254" s="2" t="s">
        <v>11564</v>
      </c>
      <c r="O254" s="2" t="s">
        <v>11565</v>
      </c>
      <c r="P254" s="2" t="s">
        <v>11566</v>
      </c>
      <c r="Q254" s="2" t="s">
        <v>11567</v>
      </c>
      <c r="R254" s="2" t="s">
        <v>502</v>
      </c>
      <c r="S254" s="2" t="s">
        <v>503</v>
      </c>
      <c r="T254" s="2" t="s">
        <v>4504</v>
      </c>
      <c r="U254" s="2" t="s">
        <v>1966</v>
      </c>
      <c r="V254" s="2" t="s">
        <v>110</v>
      </c>
      <c r="W254" s="2" t="s">
        <v>39</v>
      </c>
    </row>
    <row r="255">
      <c r="A255" s="2" t="n">
        <v>160</v>
      </c>
      <c r="B255" s="2" t="s">
        <v>11568</v>
      </c>
      <c r="C255" s="2" t="s">
        <v>1965</v>
      </c>
      <c r="D255" s="2" t="n">
        <v>205.159789328</v>
      </c>
      <c r="E255" s="2" t="n">
        <v>0.689702176708904</v>
      </c>
      <c r="F255" s="2" t="s">
        <v>11569</v>
      </c>
      <c r="G255" s="2" t="n">
        <v>201891</v>
      </c>
      <c r="H255" s="3" t="str">
        <f>HYPERLINK("http://funmeta.oebiotech.com/network/201891", "http://funmeta.oebiotech.com/network/201891")</f>
      </c>
      <c r="I255" s="2" t="s">
        <v>11570</v>
      </c>
      <c r="J255" s="2" t="s">
        <v>11571</v>
      </c>
      <c r="K255" s="2"/>
      <c r="L255" s="2" t="s">
        <v>11572</v>
      </c>
      <c r="M255" s="2" t="s">
        <v>11573</v>
      </c>
      <c r="N255" s="2" t="s">
        <v>11574</v>
      </c>
      <c r="O255" s="2" t="s">
        <v>11575</v>
      </c>
      <c r="P255" s="2" t="s">
        <v>11576</v>
      </c>
      <c r="Q255" s="2" t="s">
        <v>11577</v>
      </c>
      <c r="R255" s="2" t="s">
        <v>502</v>
      </c>
      <c r="S255" s="2" t="s">
        <v>2369</v>
      </c>
      <c r="T255" s="2" t="s">
        <v>11578</v>
      </c>
      <c r="U255" s="2" t="s">
        <v>1966</v>
      </c>
      <c r="V255" s="2" t="s">
        <v>110</v>
      </c>
      <c r="W255" s="2" t="s">
        <v>39</v>
      </c>
    </row>
    <row r="256">
      <c r="A256" s="2" t="n">
        <v>161</v>
      </c>
      <c r="B256" s="2" t="s">
        <v>11579</v>
      </c>
      <c r="C256" s="2" t="s">
        <v>1980</v>
      </c>
      <c r="D256" s="2" t="n">
        <v>206.937113614</v>
      </c>
      <c r="E256" s="2" t="n">
        <v>7.56333234562051</v>
      </c>
      <c r="F256" s="2" t="s">
        <v>1982</v>
      </c>
      <c r="G256" s="2" t="n">
        <v>82147</v>
      </c>
      <c r="H256" s="3" t="str">
        <f>HYPERLINK("http://funmeta.oebiotech.com/network/82147", "http://funmeta.oebiotech.com/network/82147")</f>
      </c>
      <c r="I256" s="2" t="s">
        <v>1984</v>
      </c>
      <c r="J256" s="2" t="s">
        <v>1985</v>
      </c>
      <c r="K256" s="2"/>
      <c r="L256" s="2" t="s">
        <v>1986</v>
      </c>
      <c r="M256" s="2" t="s">
        <v>1987</v>
      </c>
      <c r="N256" s="2" t="s">
        <v>1988</v>
      </c>
      <c r="O256" s="2"/>
      <c r="P256" s="2" t="s">
        <v>1989</v>
      </c>
      <c r="Q256" s="2" t="s">
        <v>1990</v>
      </c>
      <c r="R256" s="2" t="s">
        <v>49</v>
      </c>
      <c r="S256" s="2" t="s">
        <v>383</v>
      </c>
      <c r="T256" s="2" t="s">
        <v>384</v>
      </c>
      <c r="U256" s="2" t="s">
        <v>1981</v>
      </c>
      <c r="V256" s="2" t="s">
        <v>250</v>
      </c>
      <c r="W256" s="2" t="s">
        <v>39</v>
      </c>
    </row>
    <row r="257">
      <c r="A257" s="2" t="n">
        <v>162</v>
      </c>
      <c r="B257" s="2" t="s">
        <v>11580</v>
      </c>
      <c r="C257" s="2" t="s">
        <v>1991</v>
      </c>
      <c r="D257" s="2" t="n">
        <v>207.014641232</v>
      </c>
      <c r="E257" s="2" t="n">
        <v>2.46341489668376</v>
      </c>
      <c r="F257" s="2" t="s">
        <v>1993</v>
      </c>
      <c r="G257" s="2" t="n">
        <v>55769</v>
      </c>
      <c r="H257" s="3" t="str">
        <f>HYPERLINK("http://funmeta.oebiotech.com/network/55769", "http://funmeta.oebiotech.com/network/55769")</f>
      </c>
      <c r="I257" s="2" t="s">
        <v>1995</v>
      </c>
      <c r="J257" s="2" t="s">
        <v>1996</v>
      </c>
      <c r="K257" s="2"/>
      <c r="L257" s="2"/>
      <c r="M257" s="2"/>
      <c r="N257" s="2" t="s">
        <v>1997</v>
      </c>
      <c r="O257" s="2" t="s">
        <v>1998</v>
      </c>
      <c r="P257" s="2" t="s">
        <v>1999</v>
      </c>
      <c r="Q257" s="2" t="s">
        <v>2000</v>
      </c>
      <c r="R257" s="2" t="s">
        <v>49</v>
      </c>
      <c r="S257" s="2" t="s">
        <v>165</v>
      </c>
      <c r="T257" s="2" t="s">
        <v>2001</v>
      </c>
      <c r="U257" s="2" t="s">
        <v>1992</v>
      </c>
      <c r="V257" s="2" t="s">
        <v>110</v>
      </c>
      <c r="W257" s="2"/>
    </row>
    <row r="258">
      <c r="A258" s="2" t="n">
        <v>163</v>
      </c>
      <c r="B258" s="2" t="s">
        <v>11581</v>
      </c>
      <c r="C258" s="2" t="s">
        <v>2002</v>
      </c>
      <c r="D258" s="2" t="n">
        <v>208.061531845</v>
      </c>
      <c r="E258" s="2" t="n">
        <v>3.03698006936339</v>
      </c>
      <c r="F258" s="2" t="s">
        <v>11582</v>
      </c>
      <c r="G258" s="2" t="n">
        <v>82276</v>
      </c>
      <c r="H258" s="3" t="str">
        <f>HYPERLINK("http://funmeta.oebiotech.com/network/82276", "http://funmeta.oebiotech.com/network/82276")</f>
      </c>
      <c r="I258" s="2" t="s">
        <v>11583</v>
      </c>
      <c r="J258" s="2"/>
      <c r="K258" s="2"/>
      <c r="L258" s="2" t="s">
        <v>11584</v>
      </c>
      <c r="M258" s="2" t="s">
        <v>11585</v>
      </c>
      <c r="N258" s="2" t="s">
        <v>11586</v>
      </c>
      <c r="O258" s="2"/>
      <c r="P258" s="2" t="s">
        <v>11587</v>
      </c>
      <c r="Q258" s="2" t="s">
        <v>11588</v>
      </c>
      <c r="R258" s="2" t="s">
        <v>502</v>
      </c>
      <c r="S258" s="2" t="s">
        <v>503</v>
      </c>
      <c r="T258" s="2" t="s">
        <v>205</v>
      </c>
      <c r="U258" s="2" t="s">
        <v>2003</v>
      </c>
      <c r="V258" s="2" t="s">
        <v>110</v>
      </c>
      <c r="W258" s="2" t="s">
        <v>39</v>
      </c>
    </row>
    <row r="259">
      <c r="A259" s="2" t="n">
        <v>163</v>
      </c>
      <c r="B259" s="2" t="s">
        <v>11589</v>
      </c>
      <c r="C259" s="2" t="s">
        <v>2002</v>
      </c>
      <c r="D259" s="2" t="n">
        <v>208.061531845</v>
      </c>
      <c r="E259" s="2" t="n">
        <v>3.03698006936339</v>
      </c>
      <c r="F259" s="2" t="s">
        <v>11590</v>
      </c>
      <c r="G259" s="2" t="n">
        <v>47189</v>
      </c>
      <c r="H259" s="3" t="str">
        <f>HYPERLINK("http://funmeta.oebiotech.com/network/47189", "http://funmeta.oebiotech.com/network/47189")</f>
      </c>
      <c r="I259" s="2" t="s">
        <v>11591</v>
      </c>
      <c r="J259" s="2" t="s">
        <v>11592</v>
      </c>
      <c r="K259" s="2"/>
      <c r="L259" s="2" t="s">
        <v>11593</v>
      </c>
      <c r="M259" s="2" t="s">
        <v>11594</v>
      </c>
      <c r="N259" s="2" t="s">
        <v>11595</v>
      </c>
      <c r="O259" s="2" t="s">
        <v>11596</v>
      </c>
      <c r="P259" s="2" t="s">
        <v>11597</v>
      </c>
      <c r="Q259" s="2" t="s">
        <v>11598</v>
      </c>
      <c r="R259" s="2" t="s">
        <v>49</v>
      </c>
      <c r="S259" s="2" t="s">
        <v>165</v>
      </c>
      <c r="T259" s="2" t="s">
        <v>166</v>
      </c>
      <c r="U259" s="2" t="s">
        <v>2003</v>
      </c>
      <c r="V259" s="2" t="s">
        <v>110</v>
      </c>
      <c r="W259" s="2" t="s">
        <v>39</v>
      </c>
    </row>
    <row r="260">
      <c r="A260" s="2" t="n">
        <v>164</v>
      </c>
      <c r="B260" s="2" t="s">
        <v>11599</v>
      </c>
      <c r="C260" s="2" t="s">
        <v>2017</v>
      </c>
      <c r="D260" s="2" t="n">
        <v>208.962303355</v>
      </c>
      <c r="E260" s="2" t="n">
        <v>1.46339698885044</v>
      </c>
      <c r="F260" s="2" t="s">
        <v>11600</v>
      </c>
      <c r="G260" s="2" t="n">
        <v>82277</v>
      </c>
      <c r="H260" s="3" t="str">
        <f>HYPERLINK("http://funmeta.oebiotech.com/network/82277", "http://funmeta.oebiotech.com/network/82277")</f>
      </c>
      <c r="I260" s="2" t="s">
        <v>11601</v>
      </c>
      <c r="J260" s="2" t="s">
        <v>11602</v>
      </c>
      <c r="K260" s="2"/>
      <c r="L260" s="2" t="s">
        <v>11603</v>
      </c>
      <c r="M260" s="2" t="s">
        <v>11604</v>
      </c>
      <c r="N260" s="2" t="s">
        <v>11605</v>
      </c>
      <c r="O260" s="2"/>
      <c r="P260" s="2" t="s">
        <v>11606</v>
      </c>
      <c r="Q260" s="2" t="s">
        <v>11607</v>
      </c>
      <c r="R260" s="2" t="s">
        <v>1490</v>
      </c>
      <c r="S260" s="2" t="s">
        <v>1491</v>
      </c>
      <c r="T260" s="2" t="s">
        <v>1492</v>
      </c>
      <c r="U260" s="2" t="s">
        <v>2018</v>
      </c>
      <c r="V260" s="2" t="s">
        <v>360</v>
      </c>
      <c r="W260" s="2" t="s">
        <v>39</v>
      </c>
    </row>
    <row r="261">
      <c r="A261" s="2" t="n">
        <v>164</v>
      </c>
      <c r="B261" s="2" t="s">
        <v>11608</v>
      </c>
      <c r="C261" s="2" t="s">
        <v>2017</v>
      </c>
      <c r="D261" s="2" t="n">
        <v>208.962303355</v>
      </c>
      <c r="E261" s="2" t="n">
        <v>1.46339698885044</v>
      </c>
      <c r="F261" s="2" t="s">
        <v>11609</v>
      </c>
      <c r="G261" s="2" t="n">
        <v>82256</v>
      </c>
      <c r="H261" s="3" t="str">
        <f>HYPERLINK("http://funmeta.oebiotech.com/network/82256", "http://funmeta.oebiotech.com/network/82256")</f>
      </c>
      <c r="I261" s="2" t="s">
        <v>11610</v>
      </c>
      <c r="J261" s="2" t="s">
        <v>11611</v>
      </c>
      <c r="K261" s="2"/>
      <c r="L261" s="2" t="s">
        <v>11612</v>
      </c>
      <c r="M261" s="2" t="s">
        <v>11613</v>
      </c>
      <c r="N261" s="2" t="s">
        <v>11614</v>
      </c>
      <c r="O261" s="2"/>
      <c r="P261" s="2" t="s">
        <v>11615</v>
      </c>
      <c r="Q261" s="2" t="s">
        <v>11616</v>
      </c>
      <c r="R261" s="2" t="s">
        <v>355</v>
      </c>
      <c r="S261" s="2" t="s">
        <v>11617</v>
      </c>
      <c r="T261" s="2" t="s">
        <v>11618</v>
      </c>
      <c r="U261" s="2" t="s">
        <v>2018</v>
      </c>
      <c r="V261" s="2" t="s">
        <v>360</v>
      </c>
      <c r="W261" s="2" t="s">
        <v>39</v>
      </c>
    </row>
    <row r="262">
      <c r="A262" s="2" t="n">
        <v>165</v>
      </c>
      <c r="B262" s="2" t="s">
        <v>11619</v>
      </c>
      <c r="C262" s="2" t="s">
        <v>2031</v>
      </c>
      <c r="D262" s="2" t="n">
        <v>208.986708322</v>
      </c>
      <c r="E262" s="2" t="n">
        <v>4.79196305951813</v>
      </c>
      <c r="F262" s="2" t="s">
        <v>2033</v>
      </c>
      <c r="G262" s="2" t="n">
        <v>63419</v>
      </c>
      <c r="H262" s="3" t="str">
        <f>HYPERLINK("http://funmeta.oebiotech.com/network/63419", "http://funmeta.oebiotech.com/network/63419")</f>
      </c>
      <c r="I262" s="2" t="s">
        <v>2035</v>
      </c>
      <c r="J262" s="2" t="s">
        <v>2036</v>
      </c>
      <c r="K262" s="2"/>
      <c r="L262" s="2"/>
      <c r="M262" s="2"/>
      <c r="N262" s="2" t="s">
        <v>2037</v>
      </c>
      <c r="O262" s="2" t="s">
        <v>2038</v>
      </c>
      <c r="P262" s="2" t="s">
        <v>2039</v>
      </c>
      <c r="Q262" s="2" t="s">
        <v>2040</v>
      </c>
      <c r="R262" s="2" t="s">
        <v>355</v>
      </c>
      <c r="S262" s="2" t="s">
        <v>1713</v>
      </c>
      <c r="T262" s="2" t="s">
        <v>205</v>
      </c>
      <c r="U262" s="2" t="s">
        <v>2032</v>
      </c>
      <c r="V262" s="2" t="s">
        <v>522</v>
      </c>
      <c r="W262" s="2"/>
    </row>
    <row r="263">
      <c r="A263" s="2" t="n">
        <v>166</v>
      </c>
      <c r="B263" s="2" t="s">
        <v>11620</v>
      </c>
      <c r="C263" s="2" t="s">
        <v>2041</v>
      </c>
      <c r="D263" s="2" t="n">
        <v>209.061946377</v>
      </c>
      <c r="E263" s="2" t="n">
        <v>8.37452356596753</v>
      </c>
      <c r="F263" s="2" t="s">
        <v>2043</v>
      </c>
      <c r="G263" s="2" t="n">
        <v>206557</v>
      </c>
      <c r="H263" s="3" t="str">
        <f>HYPERLINK("http://funmeta.oebiotech.com/network/206557", "http://funmeta.oebiotech.com/network/206557")</f>
      </c>
      <c r="I263" s="2" t="s">
        <v>2045</v>
      </c>
      <c r="J263" s="2" t="s">
        <v>2046</v>
      </c>
      <c r="K263" s="2"/>
      <c r="L263" s="2"/>
      <c r="M263" s="2"/>
      <c r="N263" s="2" t="s">
        <v>2047</v>
      </c>
      <c r="O263" s="2"/>
      <c r="P263" s="2" t="s">
        <v>2048</v>
      </c>
      <c r="Q263" s="2" t="s">
        <v>2049</v>
      </c>
      <c r="R263" s="2" t="s">
        <v>64</v>
      </c>
      <c r="S263" s="2" t="s">
        <v>65</v>
      </c>
      <c r="T263" s="2" t="s">
        <v>91</v>
      </c>
      <c r="U263" s="2" t="s">
        <v>2042</v>
      </c>
      <c r="V263" s="2" t="s">
        <v>110</v>
      </c>
      <c r="W263" s="2"/>
    </row>
    <row r="264">
      <c r="A264" s="2" t="n">
        <v>167</v>
      </c>
      <c r="B264" s="2" t="s">
        <v>11621</v>
      </c>
      <c r="C264" s="2" t="s">
        <v>2050</v>
      </c>
      <c r="D264" s="2" t="n">
        <v>209.118318442</v>
      </c>
      <c r="E264" s="2" t="n">
        <v>3.72991893340508</v>
      </c>
      <c r="F264" s="2" t="s">
        <v>11622</v>
      </c>
      <c r="G264" s="2" t="n">
        <v>3361</v>
      </c>
      <c r="H264" s="3" t="str">
        <f>HYPERLINK("http://funmeta.oebiotech.com/network/3361", "http://funmeta.oebiotech.com/network/3361")</f>
      </c>
      <c r="I264" s="2" t="s">
        <v>11623</v>
      </c>
      <c r="J264" s="2"/>
      <c r="K264" s="2" t="s">
        <v>11624</v>
      </c>
      <c r="L264" s="2" t="s">
        <v>11625</v>
      </c>
      <c r="M264" s="2" t="s">
        <v>11626</v>
      </c>
      <c r="N264" s="2" t="s">
        <v>11627</v>
      </c>
      <c r="O264" s="2"/>
      <c r="P264" s="2" t="s">
        <v>11628</v>
      </c>
      <c r="Q264" s="2" t="s">
        <v>11629</v>
      </c>
      <c r="R264" s="2" t="s">
        <v>1490</v>
      </c>
      <c r="S264" s="2" t="s">
        <v>1491</v>
      </c>
      <c r="T264" s="2" t="s">
        <v>3437</v>
      </c>
      <c r="U264" s="2" t="s">
        <v>2051</v>
      </c>
      <c r="V264" s="2" t="s">
        <v>110</v>
      </c>
      <c r="W264" s="2" t="s">
        <v>39</v>
      </c>
    </row>
    <row r="265">
      <c r="A265" s="2" t="n">
        <v>167</v>
      </c>
      <c r="B265" s="2" t="s">
        <v>11630</v>
      </c>
      <c r="C265" s="2" t="s">
        <v>2050</v>
      </c>
      <c r="D265" s="2" t="n">
        <v>209.118318442</v>
      </c>
      <c r="E265" s="2" t="n">
        <v>3.72991893340508</v>
      </c>
      <c r="F265" s="2" t="s">
        <v>11631</v>
      </c>
      <c r="G265" s="2" t="n">
        <v>3360</v>
      </c>
      <c r="H265" s="3" t="str">
        <f>HYPERLINK("http://funmeta.oebiotech.com/network/3360", "http://funmeta.oebiotech.com/network/3360")</f>
      </c>
      <c r="I265" s="2" t="s">
        <v>11632</v>
      </c>
      <c r="J265" s="2"/>
      <c r="K265" s="2" t="s">
        <v>11633</v>
      </c>
      <c r="L265" s="2" t="s">
        <v>11634</v>
      </c>
      <c r="M265" s="2" t="s">
        <v>11635</v>
      </c>
      <c r="N265" s="2" t="s">
        <v>11636</v>
      </c>
      <c r="O265" s="2" t="s">
        <v>11637</v>
      </c>
      <c r="P265" s="2" t="s">
        <v>11638</v>
      </c>
      <c r="Q265" s="2" t="s">
        <v>11639</v>
      </c>
      <c r="R265" s="2" t="s">
        <v>1490</v>
      </c>
      <c r="S265" s="2" t="s">
        <v>1491</v>
      </c>
      <c r="T265" s="2" t="s">
        <v>3437</v>
      </c>
      <c r="U265" s="2" t="s">
        <v>2051</v>
      </c>
      <c r="V265" s="2" t="s">
        <v>110</v>
      </c>
      <c r="W265" s="2" t="s">
        <v>39</v>
      </c>
    </row>
    <row r="266">
      <c r="A266" s="2" t="n">
        <v>168</v>
      </c>
      <c r="B266" s="2" t="s">
        <v>11640</v>
      </c>
      <c r="C266" s="2" t="s">
        <v>2063</v>
      </c>
      <c r="D266" s="2" t="n">
        <v>210.040796403</v>
      </c>
      <c r="E266" s="2" t="n">
        <v>1.72247636731942</v>
      </c>
      <c r="F266" s="2" t="s">
        <v>2065</v>
      </c>
      <c r="G266" s="2" t="n">
        <v>54728</v>
      </c>
      <c r="H266" s="3" t="str">
        <f>HYPERLINK("http://funmeta.oebiotech.com/network/54728", "http://funmeta.oebiotech.com/network/54728")</f>
      </c>
      <c r="I266" s="2" t="s">
        <v>2067</v>
      </c>
      <c r="J266" s="2"/>
      <c r="K266" s="2"/>
      <c r="L266" s="2" t="s">
        <v>2068</v>
      </c>
      <c r="M266" s="2" t="s">
        <v>2069</v>
      </c>
      <c r="N266" s="2" t="s">
        <v>2070</v>
      </c>
      <c r="O266" s="2" t="s">
        <v>2071</v>
      </c>
      <c r="P266" s="2" t="s">
        <v>2072</v>
      </c>
      <c r="Q266" s="2" t="s">
        <v>2073</v>
      </c>
      <c r="R266" s="2" t="s">
        <v>49</v>
      </c>
      <c r="S266" s="2" t="s">
        <v>165</v>
      </c>
      <c r="T266" s="2" t="s">
        <v>166</v>
      </c>
      <c r="U266" s="2" t="s">
        <v>2064</v>
      </c>
      <c r="V266" s="2" t="s">
        <v>110</v>
      </c>
      <c r="W266" s="2" t="s">
        <v>39</v>
      </c>
    </row>
    <row r="267">
      <c r="A267" s="2" t="n">
        <v>169</v>
      </c>
      <c r="B267" s="2" t="s">
        <v>11641</v>
      </c>
      <c r="C267" s="2" t="s">
        <v>2074</v>
      </c>
      <c r="D267" s="2" t="n">
        <v>210.965042924</v>
      </c>
      <c r="E267" s="2" t="n">
        <v>0.297275473866437</v>
      </c>
      <c r="F267" s="2" t="s">
        <v>11642</v>
      </c>
      <c r="G267" s="2" t="n">
        <v>47319</v>
      </c>
      <c r="H267" s="3" t="str">
        <f>HYPERLINK("http://funmeta.oebiotech.com/network/47319", "http://funmeta.oebiotech.com/network/47319")</f>
      </c>
      <c r="I267" s="2" t="s">
        <v>11643</v>
      </c>
      <c r="J267" s="2" t="s">
        <v>11644</v>
      </c>
      <c r="K267" s="2"/>
      <c r="L267" s="2" t="s">
        <v>11645</v>
      </c>
      <c r="M267" s="2" t="s">
        <v>11646</v>
      </c>
      <c r="N267" s="2" t="s">
        <v>11647</v>
      </c>
      <c r="O267" s="2" t="s">
        <v>11648</v>
      </c>
      <c r="P267" s="2" t="s">
        <v>11649</v>
      </c>
      <c r="Q267" s="2" t="s">
        <v>11650</v>
      </c>
      <c r="R267" s="2" t="s">
        <v>49</v>
      </c>
      <c r="S267" s="2" t="s">
        <v>165</v>
      </c>
      <c r="T267" s="2" t="s">
        <v>2001</v>
      </c>
      <c r="U267" s="2" t="s">
        <v>2075</v>
      </c>
      <c r="V267" s="2" t="s">
        <v>250</v>
      </c>
      <c r="W267" s="2" t="s">
        <v>39</v>
      </c>
    </row>
    <row r="268">
      <c r="A268" s="2" t="n">
        <v>169</v>
      </c>
      <c r="B268" s="2" t="s">
        <v>11651</v>
      </c>
      <c r="C268" s="2" t="s">
        <v>2074</v>
      </c>
      <c r="D268" s="2" t="n">
        <v>210.965042924</v>
      </c>
      <c r="E268" s="2" t="n">
        <v>0.297275473866437</v>
      </c>
      <c r="F268" s="2" t="s">
        <v>11652</v>
      </c>
      <c r="G268" s="2" t="n">
        <v>47481</v>
      </c>
      <c r="H268" s="3" t="str">
        <f>HYPERLINK("http://funmeta.oebiotech.com/network/47481", "http://funmeta.oebiotech.com/network/47481")</f>
      </c>
      <c r="I268" s="2" t="s">
        <v>11653</v>
      </c>
      <c r="J268" s="2" t="s">
        <v>11654</v>
      </c>
      <c r="K268" s="2"/>
      <c r="L268" s="2" t="s">
        <v>11655</v>
      </c>
      <c r="M268" s="2" t="s">
        <v>11656</v>
      </c>
      <c r="N268" s="2" t="s">
        <v>11657</v>
      </c>
      <c r="O268" s="2" t="s">
        <v>11658</v>
      </c>
      <c r="P268" s="2" t="s">
        <v>11659</v>
      </c>
      <c r="Q268" s="2" t="s">
        <v>11660</v>
      </c>
      <c r="R268" s="2" t="s">
        <v>355</v>
      </c>
      <c r="S268" s="2" t="s">
        <v>1914</v>
      </c>
      <c r="T268" s="2" t="s">
        <v>1915</v>
      </c>
      <c r="U268" s="2" t="s">
        <v>2075</v>
      </c>
      <c r="V268" s="2" t="s">
        <v>250</v>
      </c>
      <c r="W268" s="2" t="s">
        <v>39</v>
      </c>
    </row>
    <row r="269">
      <c r="A269" s="2" t="n">
        <v>169</v>
      </c>
      <c r="B269" s="2" t="s">
        <v>11661</v>
      </c>
      <c r="C269" s="2" t="s">
        <v>2074</v>
      </c>
      <c r="D269" s="2" t="n">
        <v>210.965042924</v>
      </c>
      <c r="E269" s="2" t="n">
        <v>0.297275473866437</v>
      </c>
      <c r="F269" s="2" t="s">
        <v>11662</v>
      </c>
      <c r="G269" s="2" t="n">
        <v>46856</v>
      </c>
      <c r="H269" s="3" t="str">
        <f>HYPERLINK("http://funmeta.oebiotech.com/network/46856", "http://funmeta.oebiotech.com/network/46856")</f>
      </c>
      <c r="I269" s="2" t="s">
        <v>11663</v>
      </c>
      <c r="J269" s="2" t="s">
        <v>11664</v>
      </c>
      <c r="K269" s="2"/>
      <c r="L269" s="2" t="s">
        <v>11665</v>
      </c>
      <c r="M269" s="2" t="s">
        <v>11666</v>
      </c>
      <c r="N269" s="2" t="s">
        <v>11667</v>
      </c>
      <c r="O269" s="2" t="s">
        <v>11668</v>
      </c>
      <c r="P269" s="2" t="s">
        <v>11669</v>
      </c>
      <c r="Q269" s="2" t="s">
        <v>11670</v>
      </c>
      <c r="R269" s="2" t="s">
        <v>49</v>
      </c>
      <c r="S269" s="2" t="s">
        <v>165</v>
      </c>
      <c r="T269" s="2" t="s">
        <v>2001</v>
      </c>
      <c r="U269" s="2" t="s">
        <v>2075</v>
      </c>
      <c r="V269" s="2" t="s">
        <v>250</v>
      </c>
      <c r="W269" s="2" t="s">
        <v>39</v>
      </c>
    </row>
    <row r="270">
      <c r="A270" s="2" t="n">
        <v>170</v>
      </c>
      <c r="B270" s="2" t="s">
        <v>11671</v>
      </c>
      <c r="C270" s="2" t="s">
        <v>2089</v>
      </c>
      <c r="D270" s="2" t="n">
        <v>211.001632689</v>
      </c>
      <c r="E270" s="2" t="n">
        <v>0.551608764909364</v>
      </c>
      <c r="F270" s="2" t="s">
        <v>2091</v>
      </c>
      <c r="G270" s="2" t="n">
        <v>205669</v>
      </c>
      <c r="H270" s="3" t="str">
        <f>HYPERLINK("http://funmeta.oebiotech.com/network/205669", "http://funmeta.oebiotech.com/network/205669")</f>
      </c>
      <c r="I270" s="2" t="s">
        <v>2093</v>
      </c>
      <c r="J270" s="2" t="s">
        <v>2094</v>
      </c>
      <c r="K270" s="2"/>
      <c r="L270" s="2" t="s">
        <v>2095</v>
      </c>
      <c r="M270" s="2" t="s">
        <v>2096</v>
      </c>
      <c r="N270" s="2" t="s">
        <v>2097</v>
      </c>
      <c r="O270" s="2" t="s">
        <v>2098</v>
      </c>
      <c r="P270" s="2" t="s">
        <v>2099</v>
      </c>
      <c r="Q270" s="2" t="s">
        <v>2100</v>
      </c>
      <c r="R270" s="2" t="s">
        <v>1505</v>
      </c>
      <c r="S270" s="2" t="s">
        <v>1506</v>
      </c>
      <c r="T270" s="2" t="s">
        <v>205</v>
      </c>
      <c r="U270" s="2" t="s">
        <v>2090</v>
      </c>
      <c r="V270" s="2" t="s">
        <v>42</v>
      </c>
      <c r="W270" s="2" t="s">
        <v>39</v>
      </c>
    </row>
    <row r="271">
      <c r="A271" s="2" t="n">
        <v>171</v>
      </c>
      <c r="B271" s="2" t="s">
        <v>11672</v>
      </c>
      <c r="C271" s="2" t="s">
        <v>2101</v>
      </c>
      <c r="D271" s="2" t="n">
        <v>211.133968506</v>
      </c>
      <c r="E271" s="2" t="n">
        <v>0.0667762337902944</v>
      </c>
      <c r="F271" s="2" t="s">
        <v>2103</v>
      </c>
      <c r="G271" s="2" t="n">
        <v>2112</v>
      </c>
      <c r="H271" s="3" t="str">
        <f>HYPERLINK("http://funmeta.oebiotech.com/network/2112", "http://funmeta.oebiotech.com/network/2112")</f>
      </c>
      <c r="I271" s="2" t="s">
        <v>2105</v>
      </c>
      <c r="J271" s="2" t="s">
        <v>2106</v>
      </c>
      <c r="K271" s="2" t="s">
        <v>2107</v>
      </c>
      <c r="L271" s="2" t="s">
        <v>2108</v>
      </c>
      <c r="M271" s="2" t="s">
        <v>2109</v>
      </c>
      <c r="N271" s="2" t="s">
        <v>2110</v>
      </c>
      <c r="O271" s="2" t="s">
        <v>2111</v>
      </c>
      <c r="P271" s="2" t="s">
        <v>2112</v>
      </c>
      <c r="Q271" s="2" t="s">
        <v>2113</v>
      </c>
      <c r="R271" s="2" t="s">
        <v>1490</v>
      </c>
      <c r="S271" s="2" t="s">
        <v>1491</v>
      </c>
      <c r="T271" s="2" t="s">
        <v>1492</v>
      </c>
      <c r="U271" s="2" t="s">
        <v>2102</v>
      </c>
      <c r="V271" s="2" t="s">
        <v>110</v>
      </c>
      <c r="W271" s="2" t="s">
        <v>39</v>
      </c>
    </row>
    <row r="272">
      <c r="A272" s="2" t="n">
        <v>172</v>
      </c>
      <c r="B272" s="2" t="s">
        <v>11673</v>
      </c>
      <c r="C272" s="2" t="s">
        <v>2114</v>
      </c>
      <c r="D272" s="2" t="n">
        <v>212.990557208</v>
      </c>
      <c r="E272" s="2" t="n">
        <v>6.77660700429034</v>
      </c>
      <c r="F272" s="2" t="s">
        <v>2116</v>
      </c>
      <c r="G272" s="2" t="n">
        <v>255167</v>
      </c>
      <c r="H272" s="3" t="str">
        <f>HYPERLINK("http://funmeta.oebiotech.com/network/255167", "http://funmeta.oebiotech.com/network/255167")</f>
      </c>
      <c r="I272" s="2" t="s">
        <v>2118</v>
      </c>
      <c r="J272" s="2"/>
      <c r="K272" s="2"/>
      <c r="L272" s="2"/>
      <c r="M272" s="2"/>
      <c r="N272" s="2"/>
      <c r="O272" s="2"/>
      <c r="P272" s="2" t="s">
        <v>2119</v>
      </c>
      <c r="Q272" s="2" t="s">
        <v>2120</v>
      </c>
      <c r="R272" s="2" t="s">
        <v>638</v>
      </c>
      <c r="S272" s="2" t="s">
        <v>2121</v>
      </c>
      <c r="T272" s="2" t="s">
        <v>205</v>
      </c>
      <c r="U272" s="2" t="s">
        <v>2115</v>
      </c>
      <c r="V272" s="2" t="s">
        <v>110</v>
      </c>
      <c r="W272" s="2"/>
    </row>
    <row r="273">
      <c r="A273" s="2" t="n">
        <v>173</v>
      </c>
      <c r="B273" s="2" t="s">
        <v>11674</v>
      </c>
      <c r="C273" s="2" t="s">
        <v>2122</v>
      </c>
      <c r="D273" s="2" t="n">
        <v>214.0211202</v>
      </c>
      <c r="E273" s="2" t="n">
        <v>0.100718198071102</v>
      </c>
      <c r="F273" s="2" t="s">
        <v>2124</v>
      </c>
      <c r="G273" s="2" t="n">
        <v>212487</v>
      </c>
      <c r="H273" s="3" t="str">
        <f>HYPERLINK("http://funmeta.oebiotech.com/network/212487", "http://funmeta.oebiotech.com/network/212487")</f>
      </c>
      <c r="I273" s="2" t="s">
        <v>2126</v>
      </c>
      <c r="J273" s="2"/>
      <c r="K273" s="2"/>
      <c r="L273" s="2"/>
      <c r="M273" s="2"/>
      <c r="N273" s="2"/>
      <c r="O273" s="2"/>
      <c r="P273" s="2" t="s">
        <v>2127</v>
      </c>
      <c r="Q273" s="2" t="s">
        <v>2128</v>
      </c>
      <c r="R273" s="2" t="s">
        <v>203</v>
      </c>
      <c r="S273" s="2" t="s">
        <v>1352</v>
      </c>
      <c r="T273" s="2" t="s">
        <v>2129</v>
      </c>
      <c r="U273" s="2" t="s">
        <v>2123</v>
      </c>
      <c r="V273" s="2" t="s">
        <v>110</v>
      </c>
      <c r="W273" s="2"/>
    </row>
    <row r="274">
      <c r="A274" s="2" t="n">
        <v>174</v>
      </c>
      <c r="B274" s="2" t="s">
        <v>11675</v>
      </c>
      <c r="C274" s="2" t="s">
        <v>2130</v>
      </c>
      <c r="D274" s="2" t="n">
        <v>214.046394086</v>
      </c>
      <c r="E274" s="2" t="n">
        <v>1.2502288086081</v>
      </c>
      <c r="F274" s="2" t="s">
        <v>2132</v>
      </c>
      <c r="G274" s="2" t="n">
        <v>211681</v>
      </c>
      <c r="H274" s="3" t="str">
        <f>HYPERLINK("http://funmeta.oebiotech.com/network/211681", "http://funmeta.oebiotech.com/network/211681")</f>
      </c>
      <c r="I274" s="2" t="s">
        <v>2134</v>
      </c>
      <c r="J274" s="2"/>
      <c r="K274" s="2"/>
      <c r="L274" s="2"/>
      <c r="M274" s="2"/>
      <c r="N274" s="2" t="s">
        <v>2135</v>
      </c>
      <c r="O274" s="2"/>
      <c r="P274" s="2" t="s">
        <v>2136</v>
      </c>
      <c r="Q274" s="2" t="s">
        <v>2137</v>
      </c>
      <c r="R274" s="2" t="s">
        <v>49</v>
      </c>
      <c r="S274" s="2" t="s">
        <v>165</v>
      </c>
      <c r="T274" s="2" t="s">
        <v>166</v>
      </c>
      <c r="U274" s="2" t="s">
        <v>2131</v>
      </c>
      <c r="V274" s="2" t="s">
        <v>42</v>
      </c>
      <c r="W274" s="2"/>
    </row>
    <row r="275">
      <c r="A275" s="2" t="n">
        <v>175</v>
      </c>
      <c r="B275" s="2" t="s">
        <v>11676</v>
      </c>
      <c r="C275" s="2" t="s">
        <v>2138</v>
      </c>
      <c r="D275" s="2" t="n">
        <v>214.9883382</v>
      </c>
      <c r="E275" s="2" t="n">
        <v>2.53721256026245</v>
      </c>
      <c r="F275" s="2" t="s">
        <v>11677</v>
      </c>
      <c r="G275" s="2" t="n">
        <v>206566</v>
      </c>
      <c r="H275" s="3" t="str">
        <f>HYPERLINK("http://funmeta.oebiotech.com/network/206566", "http://funmeta.oebiotech.com/network/206566")</f>
      </c>
      <c r="I275" s="2" t="s">
        <v>11678</v>
      </c>
      <c r="J275" s="2"/>
      <c r="K275" s="2"/>
      <c r="L275" s="2"/>
      <c r="M275" s="2"/>
      <c r="N275" s="2" t="s">
        <v>11679</v>
      </c>
      <c r="O275" s="2"/>
      <c r="P275" s="2" t="s">
        <v>11680</v>
      </c>
      <c r="Q275" s="2" t="s">
        <v>11681</v>
      </c>
      <c r="R275" s="2" t="s">
        <v>49</v>
      </c>
      <c r="S275" s="2" t="s">
        <v>50</v>
      </c>
      <c r="T275" s="2" t="s">
        <v>205</v>
      </c>
      <c r="U275" s="2" t="s">
        <v>2139</v>
      </c>
      <c r="V275" s="2" t="s">
        <v>1019</v>
      </c>
      <c r="W275" s="2"/>
    </row>
    <row r="276">
      <c r="A276" s="2" t="n">
        <v>175</v>
      </c>
      <c r="B276" s="2" t="s">
        <v>11682</v>
      </c>
      <c r="C276" s="2" t="s">
        <v>2138</v>
      </c>
      <c r="D276" s="2" t="n">
        <v>214.9883382</v>
      </c>
      <c r="E276" s="2" t="n">
        <v>2.53721256026245</v>
      </c>
      <c r="F276" s="2" t="s">
        <v>11683</v>
      </c>
      <c r="G276" s="2" t="n">
        <v>200523</v>
      </c>
      <c r="H276" s="3" t="str">
        <f>HYPERLINK("http://funmeta.oebiotech.com/network/200523", "http://funmeta.oebiotech.com/network/200523")</f>
      </c>
      <c r="I276" s="2" t="s">
        <v>11684</v>
      </c>
      <c r="J276" s="2" t="s">
        <v>11685</v>
      </c>
      <c r="K276" s="2"/>
      <c r="L276" s="2"/>
      <c r="M276" s="2"/>
      <c r="N276" s="2" t="s">
        <v>11686</v>
      </c>
      <c r="O276" s="2"/>
      <c r="P276" s="2" t="s">
        <v>11687</v>
      </c>
      <c r="Q276" s="2" t="s">
        <v>11688</v>
      </c>
      <c r="R276" s="2" t="s">
        <v>49</v>
      </c>
      <c r="S276" s="2" t="s">
        <v>165</v>
      </c>
      <c r="T276" s="2" t="s">
        <v>1642</v>
      </c>
      <c r="U276" s="2" t="s">
        <v>2139</v>
      </c>
      <c r="V276" s="2" t="s">
        <v>1019</v>
      </c>
      <c r="W276" s="2"/>
    </row>
    <row r="277">
      <c r="A277" s="2" t="n">
        <v>176</v>
      </c>
      <c r="B277" s="2" t="s">
        <v>11689</v>
      </c>
      <c r="C277" s="2" t="s">
        <v>2149</v>
      </c>
      <c r="D277" s="2" t="n">
        <v>215.011660744</v>
      </c>
      <c r="E277" s="2" t="n">
        <v>2.09552748965513</v>
      </c>
      <c r="F277" s="2" t="s">
        <v>11690</v>
      </c>
      <c r="G277" s="2" t="n">
        <v>47172</v>
      </c>
      <c r="H277" s="3" t="str">
        <f>HYPERLINK("http://funmeta.oebiotech.com/network/47172", "http://funmeta.oebiotech.com/network/47172")</f>
      </c>
      <c r="I277" s="2" t="s">
        <v>11691</v>
      </c>
      <c r="J277" s="2" t="s">
        <v>11692</v>
      </c>
      <c r="K277" s="2"/>
      <c r="L277" s="2" t="s">
        <v>11693</v>
      </c>
      <c r="M277" s="2" t="s">
        <v>11694</v>
      </c>
      <c r="N277" s="2" t="s">
        <v>11695</v>
      </c>
      <c r="O277" s="2" t="s">
        <v>11696</v>
      </c>
      <c r="P277" s="2" t="s">
        <v>11697</v>
      </c>
      <c r="Q277" s="2" t="s">
        <v>11698</v>
      </c>
      <c r="R277" s="2" t="s">
        <v>502</v>
      </c>
      <c r="S277" s="2" t="s">
        <v>503</v>
      </c>
      <c r="T277" s="2" t="s">
        <v>11699</v>
      </c>
      <c r="U277" s="2" t="s">
        <v>2150</v>
      </c>
      <c r="V277" s="2" t="s">
        <v>522</v>
      </c>
      <c r="W277" s="2" t="s">
        <v>39</v>
      </c>
    </row>
    <row r="278">
      <c r="A278" s="2" t="n">
        <v>176</v>
      </c>
      <c r="B278" s="2" t="s">
        <v>11700</v>
      </c>
      <c r="C278" s="2" t="s">
        <v>2149</v>
      </c>
      <c r="D278" s="2" t="n">
        <v>215.011660744</v>
      </c>
      <c r="E278" s="2" t="n">
        <v>2.09552748965513</v>
      </c>
      <c r="F278" s="2" t="s">
        <v>11701</v>
      </c>
      <c r="G278" s="2" t="n">
        <v>47690</v>
      </c>
      <c r="H278" s="3" t="str">
        <f>HYPERLINK("http://funmeta.oebiotech.com/network/47690", "http://funmeta.oebiotech.com/network/47690")</f>
      </c>
      <c r="I278" s="2" t="s">
        <v>11702</v>
      </c>
      <c r="J278" s="2" t="s">
        <v>11703</v>
      </c>
      <c r="K278" s="2"/>
      <c r="L278" s="2" t="s">
        <v>11704</v>
      </c>
      <c r="M278" s="2" t="s">
        <v>11705</v>
      </c>
      <c r="N278" s="2" t="s">
        <v>11706</v>
      </c>
      <c r="O278" s="2" t="s">
        <v>11707</v>
      </c>
      <c r="P278" s="2" t="s">
        <v>11708</v>
      </c>
      <c r="Q278" s="2" t="s">
        <v>11709</v>
      </c>
      <c r="R278" s="2" t="s">
        <v>502</v>
      </c>
      <c r="S278" s="2" t="s">
        <v>503</v>
      </c>
      <c r="T278" s="2" t="s">
        <v>2174</v>
      </c>
      <c r="U278" s="2" t="s">
        <v>2150</v>
      </c>
      <c r="V278" s="2" t="s">
        <v>522</v>
      </c>
      <c r="W278" s="2" t="s">
        <v>39</v>
      </c>
    </row>
    <row r="279">
      <c r="A279" s="2" t="n">
        <v>176</v>
      </c>
      <c r="B279" s="2" t="s">
        <v>11710</v>
      </c>
      <c r="C279" s="2" t="s">
        <v>2149</v>
      </c>
      <c r="D279" s="2" t="n">
        <v>215.011660744</v>
      </c>
      <c r="E279" s="2" t="n">
        <v>2.09552748965513</v>
      </c>
      <c r="F279" s="2" t="s">
        <v>11711</v>
      </c>
      <c r="G279" s="2" t="n">
        <v>47741</v>
      </c>
      <c r="H279" s="3" t="str">
        <f>HYPERLINK("http://funmeta.oebiotech.com/network/47741", "http://funmeta.oebiotech.com/network/47741")</f>
      </c>
      <c r="I279" s="2" t="s">
        <v>11712</v>
      </c>
      <c r="J279" s="2" t="s">
        <v>11713</v>
      </c>
      <c r="K279" s="2"/>
      <c r="L279" s="2" t="s">
        <v>11714</v>
      </c>
      <c r="M279" s="2" t="s">
        <v>11715</v>
      </c>
      <c r="N279" s="2" t="s">
        <v>11716</v>
      </c>
      <c r="O279" s="2" t="s">
        <v>11717</v>
      </c>
      <c r="P279" s="2" t="s">
        <v>11718</v>
      </c>
      <c r="Q279" s="2" t="s">
        <v>11719</v>
      </c>
      <c r="R279" s="2" t="s">
        <v>2509</v>
      </c>
      <c r="S279" s="2" t="s">
        <v>4528</v>
      </c>
      <c r="T279" s="2" t="s">
        <v>4529</v>
      </c>
      <c r="U279" s="2" t="s">
        <v>2150</v>
      </c>
      <c r="V279" s="2" t="s">
        <v>522</v>
      </c>
      <c r="W279" s="2" t="s">
        <v>39</v>
      </c>
    </row>
    <row r="280">
      <c r="A280" s="2" t="n">
        <v>177</v>
      </c>
      <c r="B280" s="2" t="s">
        <v>11720</v>
      </c>
      <c r="C280" s="2" t="s">
        <v>2164</v>
      </c>
      <c r="D280" s="2" t="n">
        <v>216.0069051</v>
      </c>
      <c r="E280" s="2" t="n">
        <v>5.20989957578904</v>
      </c>
      <c r="F280" s="2" t="s">
        <v>2166</v>
      </c>
      <c r="G280" s="2" t="n">
        <v>201687</v>
      </c>
      <c r="H280" s="3" t="str">
        <f>HYPERLINK("http://funmeta.oebiotech.com/network/201687", "http://funmeta.oebiotech.com/network/201687")</f>
      </c>
      <c r="I280" s="2" t="s">
        <v>2168</v>
      </c>
      <c r="J280" s="2" t="s">
        <v>2169</v>
      </c>
      <c r="K280" s="2"/>
      <c r="L280" s="2"/>
      <c r="M280" s="2" t="s">
        <v>2170</v>
      </c>
      <c r="N280" s="2" t="s">
        <v>2171</v>
      </c>
      <c r="O280" s="2"/>
      <c r="P280" s="2" t="s">
        <v>2172</v>
      </c>
      <c r="Q280" s="2" t="s">
        <v>2173</v>
      </c>
      <c r="R280" s="2" t="s">
        <v>502</v>
      </c>
      <c r="S280" s="2" t="s">
        <v>503</v>
      </c>
      <c r="T280" s="2" t="s">
        <v>2174</v>
      </c>
      <c r="U280" s="2" t="s">
        <v>2165</v>
      </c>
      <c r="V280" s="2" t="s">
        <v>24</v>
      </c>
      <c r="W280" s="2"/>
    </row>
    <row r="281">
      <c r="A281" s="2" t="n">
        <v>178</v>
      </c>
      <c r="B281" s="2" t="s">
        <v>11721</v>
      </c>
      <c r="C281" s="2" t="s">
        <v>2175</v>
      </c>
      <c r="D281" s="2" t="n">
        <v>216.9110147</v>
      </c>
      <c r="E281" s="2" t="n">
        <v>2.29119405335595</v>
      </c>
      <c r="F281" s="2" t="s">
        <v>2177</v>
      </c>
      <c r="G281" s="2" t="n">
        <v>200770</v>
      </c>
      <c r="H281" s="3" t="str">
        <f>HYPERLINK("http://funmeta.oebiotech.com/network/200770", "http://funmeta.oebiotech.com/network/200770")</f>
      </c>
      <c r="I281" s="2" t="s">
        <v>2179</v>
      </c>
      <c r="J281" s="2" t="s">
        <v>2180</v>
      </c>
      <c r="K281" s="2"/>
      <c r="L281" s="2"/>
      <c r="M281" s="2"/>
      <c r="N281" s="2" t="s">
        <v>2181</v>
      </c>
      <c r="O281" s="2"/>
      <c r="P281" s="2" t="s">
        <v>2182</v>
      </c>
      <c r="Q281" s="2" t="s">
        <v>2183</v>
      </c>
      <c r="R281" s="2" t="s">
        <v>203</v>
      </c>
      <c r="S281" s="2" t="s">
        <v>2184</v>
      </c>
      <c r="T281" s="2" t="s">
        <v>2185</v>
      </c>
      <c r="U281" s="2" t="s">
        <v>2176</v>
      </c>
      <c r="V281" s="2" t="s">
        <v>522</v>
      </c>
      <c r="W281" s="2"/>
    </row>
    <row r="282">
      <c r="A282" s="2" t="n">
        <v>179</v>
      </c>
      <c r="B282" s="2" t="s">
        <v>11722</v>
      </c>
      <c r="C282" s="2" t="s">
        <v>2186</v>
      </c>
      <c r="D282" s="2" t="n">
        <v>216.972479922</v>
      </c>
      <c r="E282" s="2" t="n">
        <v>17.9052824371074</v>
      </c>
      <c r="F282" s="2" t="s">
        <v>2188</v>
      </c>
      <c r="G282" s="2" t="n">
        <v>200759</v>
      </c>
      <c r="H282" s="3" t="str">
        <f>HYPERLINK("http://funmeta.oebiotech.com/network/200759", "http://funmeta.oebiotech.com/network/200759")</f>
      </c>
      <c r="I282" s="2" t="s">
        <v>2190</v>
      </c>
      <c r="J282" s="2"/>
      <c r="K282" s="2"/>
      <c r="L282" s="2"/>
      <c r="M282" s="2"/>
      <c r="N282" s="2"/>
      <c r="O282" s="2"/>
      <c r="P282" s="2" t="s">
        <v>2191</v>
      </c>
      <c r="Q282" s="2" t="s">
        <v>2192</v>
      </c>
      <c r="R282" s="2" t="s">
        <v>355</v>
      </c>
      <c r="S282" s="2" t="s">
        <v>2193</v>
      </c>
      <c r="T282" s="2" t="s">
        <v>205</v>
      </c>
      <c r="U282" s="2" t="s">
        <v>2187</v>
      </c>
      <c r="V282" s="2" t="s">
        <v>110</v>
      </c>
      <c r="W282" s="2"/>
    </row>
    <row r="283">
      <c r="A283" s="2" t="n">
        <v>180</v>
      </c>
      <c r="B283" s="2" t="s">
        <v>11723</v>
      </c>
      <c r="C283" s="2" t="s">
        <v>2194</v>
      </c>
      <c r="D283" s="2" t="n">
        <v>217.981302393</v>
      </c>
      <c r="E283" s="2" t="n">
        <v>6.48371033894218</v>
      </c>
      <c r="F283" s="2" t="s">
        <v>2196</v>
      </c>
      <c r="G283" s="2" t="n">
        <v>203082</v>
      </c>
      <c r="H283" s="3" t="str">
        <f>HYPERLINK("http://funmeta.oebiotech.com/network/203082", "http://funmeta.oebiotech.com/network/203082")</f>
      </c>
      <c r="I283" s="2" t="s">
        <v>2198</v>
      </c>
      <c r="J283" s="2" t="s">
        <v>2199</v>
      </c>
      <c r="K283" s="2"/>
      <c r="L283" s="2" t="s">
        <v>2200</v>
      </c>
      <c r="M283" s="2" t="s">
        <v>2201</v>
      </c>
      <c r="N283" s="2" t="s">
        <v>2202</v>
      </c>
      <c r="O283" s="2" t="s">
        <v>2203</v>
      </c>
      <c r="P283" s="2" t="s">
        <v>2204</v>
      </c>
      <c r="Q283" s="2" t="s">
        <v>2205</v>
      </c>
      <c r="R283" s="2" t="s">
        <v>1505</v>
      </c>
      <c r="S283" s="2" t="s">
        <v>1506</v>
      </c>
      <c r="T283" s="2" t="s">
        <v>205</v>
      </c>
      <c r="U283" s="2" t="s">
        <v>2195</v>
      </c>
      <c r="V283" s="2" t="s">
        <v>522</v>
      </c>
      <c r="W283" s="2" t="s">
        <v>39</v>
      </c>
    </row>
    <row r="284">
      <c r="A284" s="2" t="n">
        <v>181</v>
      </c>
      <c r="B284" s="2" t="s">
        <v>11724</v>
      </c>
      <c r="C284" s="2" t="s">
        <v>2206</v>
      </c>
      <c r="D284" s="2" t="n">
        <v>218.041854717</v>
      </c>
      <c r="E284" s="2" t="n">
        <v>5.64339354633979</v>
      </c>
      <c r="F284" s="2" t="s">
        <v>11725</v>
      </c>
      <c r="G284" s="2" t="n">
        <v>205290</v>
      </c>
      <c r="H284" s="3" t="str">
        <f>HYPERLINK("http://funmeta.oebiotech.com/network/205290", "http://funmeta.oebiotech.com/network/205290")</f>
      </c>
      <c r="I284" s="2" t="s">
        <v>11726</v>
      </c>
      <c r="J284" s="2"/>
      <c r="K284" s="2"/>
      <c r="L284" s="2"/>
      <c r="M284" s="2"/>
      <c r="N284" s="2" t="s">
        <v>11727</v>
      </c>
      <c r="O284" s="2"/>
      <c r="P284" s="2" t="s">
        <v>11728</v>
      </c>
      <c r="Q284" s="2" t="s">
        <v>11729</v>
      </c>
      <c r="R284" s="2" t="s">
        <v>49</v>
      </c>
      <c r="S284" s="2" t="s">
        <v>165</v>
      </c>
      <c r="T284" s="2" t="s">
        <v>166</v>
      </c>
      <c r="U284" s="2" t="s">
        <v>2207</v>
      </c>
      <c r="V284" s="2" t="s">
        <v>24</v>
      </c>
      <c r="W284" s="2"/>
    </row>
    <row r="285">
      <c r="A285" s="2" t="n">
        <v>181</v>
      </c>
      <c r="B285" s="2" t="s">
        <v>11730</v>
      </c>
      <c r="C285" s="2" t="s">
        <v>2206</v>
      </c>
      <c r="D285" s="2" t="n">
        <v>218.041854717</v>
      </c>
      <c r="E285" s="2" t="n">
        <v>5.64339354633979</v>
      </c>
      <c r="F285" s="2" t="s">
        <v>11731</v>
      </c>
      <c r="G285" s="2" t="n">
        <v>203808</v>
      </c>
      <c r="H285" s="3" t="str">
        <f>HYPERLINK("http://funmeta.oebiotech.com/network/203808", "http://funmeta.oebiotech.com/network/203808")</f>
      </c>
      <c r="I285" s="2" t="s">
        <v>11732</v>
      </c>
      <c r="J285" s="2"/>
      <c r="K285" s="2"/>
      <c r="L285" s="2"/>
      <c r="M285" s="2"/>
      <c r="N285" s="2" t="s">
        <v>11733</v>
      </c>
      <c r="O285" s="2"/>
      <c r="P285" s="2" t="s">
        <v>11734</v>
      </c>
      <c r="Q285" s="2" t="s">
        <v>11735</v>
      </c>
      <c r="R285" s="2" t="s">
        <v>49</v>
      </c>
      <c r="S285" s="2" t="s">
        <v>165</v>
      </c>
      <c r="T285" s="2" t="s">
        <v>166</v>
      </c>
      <c r="U285" s="2" t="s">
        <v>2207</v>
      </c>
      <c r="V285" s="2" t="s">
        <v>24</v>
      </c>
      <c r="W285" s="2"/>
    </row>
    <row r="286">
      <c r="A286" s="2" t="n">
        <v>182</v>
      </c>
      <c r="B286" s="2" t="s">
        <v>11736</v>
      </c>
      <c r="C286" s="2" t="s">
        <v>2214</v>
      </c>
      <c r="D286" s="2" t="n">
        <v>218.103392351</v>
      </c>
      <c r="E286" s="2" t="n">
        <v>1.38799638413769</v>
      </c>
      <c r="F286" s="2" t="s">
        <v>2216</v>
      </c>
      <c r="G286" s="2" t="n">
        <v>51519</v>
      </c>
      <c r="H286" s="3" t="str">
        <f>HYPERLINK("http://funmeta.oebiotech.com/network/51519", "http://funmeta.oebiotech.com/network/51519")</f>
      </c>
      <c r="I286" s="2" t="s">
        <v>2218</v>
      </c>
      <c r="J286" s="2" t="s">
        <v>2219</v>
      </c>
      <c r="K286" s="2"/>
      <c r="L286" s="2" t="s">
        <v>2220</v>
      </c>
      <c r="M286" s="2" t="s">
        <v>2221</v>
      </c>
      <c r="N286" s="2" t="s">
        <v>2222</v>
      </c>
      <c r="O286" s="2" t="s">
        <v>2223</v>
      </c>
      <c r="P286" s="2" t="s">
        <v>2224</v>
      </c>
      <c r="Q286" s="2" t="s">
        <v>2225</v>
      </c>
      <c r="R286" s="2" t="s">
        <v>49</v>
      </c>
      <c r="S286" s="2" t="s">
        <v>165</v>
      </c>
      <c r="T286" s="2" t="s">
        <v>166</v>
      </c>
      <c r="U286" s="2" t="s">
        <v>2215</v>
      </c>
      <c r="V286" s="2" t="s">
        <v>24</v>
      </c>
      <c r="W286" s="2" t="s">
        <v>39</v>
      </c>
    </row>
    <row r="287">
      <c r="A287" s="2" t="n">
        <v>183</v>
      </c>
      <c r="B287" s="2" t="s">
        <v>11737</v>
      </c>
      <c r="C287" s="2" t="s">
        <v>2226</v>
      </c>
      <c r="D287" s="2" t="n">
        <v>218.166271688</v>
      </c>
      <c r="E287" s="2" t="n">
        <v>6.720550842303</v>
      </c>
      <c r="F287" s="2" t="s">
        <v>2228</v>
      </c>
      <c r="G287" s="2" t="n">
        <v>210825</v>
      </c>
      <c r="H287" s="3" t="str">
        <f>HYPERLINK("http://funmeta.oebiotech.com/network/210825", "http://funmeta.oebiotech.com/network/210825")</f>
      </c>
      <c r="I287" s="2" t="s">
        <v>2230</v>
      </c>
      <c r="J287" s="2"/>
      <c r="K287" s="2"/>
      <c r="L287" s="2"/>
      <c r="M287" s="2" t="s">
        <v>2231</v>
      </c>
      <c r="N287" s="2" t="s">
        <v>2232</v>
      </c>
      <c r="O287" s="2"/>
      <c r="P287" s="2" t="s">
        <v>2233</v>
      </c>
      <c r="Q287" s="2" t="s">
        <v>2234</v>
      </c>
      <c r="R287" s="2" t="s">
        <v>36</v>
      </c>
      <c r="S287" s="2" t="s">
        <v>37</v>
      </c>
      <c r="T287" s="2" t="s">
        <v>679</v>
      </c>
      <c r="U287" s="2" t="s">
        <v>2227</v>
      </c>
      <c r="V287" s="2" t="s">
        <v>110</v>
      </c>
      <c r="W287" s="2"/>
    </row>
    <row r="288">
      <c r="A288" s="2" t="n">
        <v>184</v>
      </c>
      <c r="B288" s="2" t="s">
        <v>11738</v>
      </c>
      <c r="C288" s="2" t="s">
        <v>2235</v>
      </c>
      <c r="D288" s="2" t="n">
        <v>219.051813818</v>
      </c>
      <c r="E288" s="2" t="n">
        <v>1.34559499893158</v>
      </c>
      <c r="F288" s="2" t="s">
        <v>11739</v>
      </c>
      <c r="G288" s="2" t="n">
        <v>207010</v>
      </c>
      <c r="H288" s="3" t="str">
        <f>HYPERLINK("http://funmeta.oebiotech.com/network/207010", "http://funmeta.oebiotech.com/network/207010")</f>
      </c>
      <c r="I288" s="2" t="s">
        <v>11740</v>
      </c>
      <c r="J288" s="2"/>
      <c r="K288" s="2"/>
      <c r="L288" s="2"/>
      <c r="M288" s="2"/>
      <c r="N288" s="2" t="s">
        <v>11741</v>
      </c>
      <c r="O288" s="2"/>
      <c r="P288" s="2" t="s">
        <v>11742</v>
      </c>
      <c r="Q288" s="2" t="s">
        <v>11743</v>
      </c>
      <c r="R288" s="2" t="s">
        <v>355</v>
      </c>
      <c r="S288" s="2" t="s">
        <v>795</v>
      </c>
      <c r="T288" s="2" t="s">
        <v>11296</v>
      </c>
      <c r="U288" s="2" t="s">
        <v>2236</v>
      </c>
      <c r="V288" s="2" t="s">
        <v>42</v>
      </c>
      <c r="W288" s="2"/>
    </row>
    <row r="289">
      <c r="A289" s="2" t="n">
        <v>184</v>
      </c>
      <c r="B289" s="2" t="s">
        <v>11744</v>
      </c>
      <c r="C289" s="2" t="s">
        <v>2235</v>
      </c>
      <c r="D289" s="2" t="n">
        <v>219.051813818</v>
      </c>
      <c r="E289" s="2" t="n">
        <v>1.34559499893158</v>
      </c>
      <c r="F289" s="2" t="s">
        <v>11745</v>
      </c>
      <c r="G289" s="2" t="n">
        <v>203076</v>
      </c>
      <c r="H289" s="3" t="str">
        <f>HYPERLINK("http://funmeta.oebiotech.com/network/203076", "http://funmeta.oebiotech.com/network/203076")</f>
      </c>
      <c r="I289" s="2" t="s">
        <v>11746</v>
      </c>
      <c r="J289" s="2" t="s">
        <v>11747</v>
      </c>
      <c r="K289" s="2"/>
      <c r="L289" s="2"/>
      <c r="M289" s="2"/>
      <c r="N289" s="2" t="s">
        <v>11748</v>
      </c>
      <c r="O289" s="2"/>
      <c r="P289" s="2" t="s">
        <v>11749</v>
      </c>
      <c r="Q289" s="2" t="s">
        <v>11750</v>
      </c>
      <c r="R289" s="2" t="s">
        <v>355</v>
      </c>
      <c r="S289" s="2" t="s">
        <v>466</v>
      </c>
      <c r="T289" s="2" t="s">
        <v>467</v>
      </c>
      <c r="U289" s="2" t="s">
        <v>2236</v>
      </c>
      <c r="V289" s="2" t="s">
        <v>42</v>
      </c>
      <c r="W289" s="2"/>
    </row>
    <row r="290">
      <c r="A290" s="2" t="n">
        <v>185</v>
      </c>
      <c r="B290" s="2" t="s">
        <v>11751</v>
      </c>
      <c r="C290" s="2" t="s">
        <v>2246</v>
      </c>
      <c r="D290" s="2" t="n">
        <v>219.17543939</v>
      </c>
      <c r="E290" s="2" t="n">
        <v>0.566208012375347</v>
      </c>
      <c r="F290" s="2" t="s">
        <v>11752</v>
      </c>
      <c r="G290" s="2" t="n">
        <v>35139</v>
      </c>
      <c r="H290" s="3" t="str">
        <f>HYPERLINK("http://funmeta.oebiotech.com/network/35139", "http://funmeta.oebiotech.com/network/35139")</f>
      </c>
      <c r="I290" s="2" t="s">
        <v>11753</v>
      </c>
      <c r="J290" s="2" t="s">
        <v>11754</v>
      </c>
      <c r="K290" s="2" t="s">
        <v>11755</v>
      </c>
      <c r="L290" s="2" t="s">
        <v>11756</v>
      </c>
      <c r="M290" s="2" t="s">
        <v>11757</v>
      </c>
      <c r="N290" s="2" t="s">
        <v>11758</v>
      </c>
      <c r="O290" s="2" t="s">
        <v>11759</v>
      </c>
      <c r="P290" s="2" t="s">
        <v>11760</v>
      </c>
      <c r="Q290" s="2" t="s">
        <v>11761</v>
      </c>
      <c r="R290" s="2" t="s">
        <v>502</v>
      </c>
      <c r="S290" s="2" t="s">
        <v>2369</v>
      </c>
      <c r="T290" s="2" t="s">
        <v>11578</v>
      </c>
      <c r="U290" s="2" t="s">
        <v>2247</v>
      </c>
      <c r="V290" s="2" t="s">
        <v>110</v>
      </c>
      <c r="W290" s="2" t="s">
        <v>39</v>
      </c>
    </row>
    <row r="291">
      <c r="A291" s="2" t="n">
        <v>185</v>
      </c>
      <c r="B291" s="2" t="s">
        <v>11762</v>
      </c>
      <c r="C291" s="2" t="s">
        <v>2246</v>
      </c>
      <c r="D291" s="2" t="n">
        <v>219.17543939</v>
      </c>
      <c r="E291" s="2" t="n">
        <v>0.566208012375347</v>
      </c>
      <c r="F291" s="2" t="s">
        <v>11763</v>
      </c>
      <c r="G291" s="2" t="n">
        <v>35804</v>
      </c>
      <c r="H291" s="3" t="str">
        <f>HYPERLINK("http://funmeta.oebiotech.com/network/35804", "http://funmeta.oebiotech.com/network/35804")</f>
      </c>
      <c r="I291" s="2" t="s">
        <v>11764</v>
      </c>
      <c r="J291" s="2" t="s">
        <v>11765</v>
      </c>
      <c r="K291" s="2" t="s">
        <v>11766</v>
      </c>
      <c r="L291" s="2" t="s">
        <v>11767</v>
      </c>
      <c r="M291" s="2" t="s">
        <v>11768</v>
      </c>
      <c r="N291" s="2" t="s">
        <v>11769</v>
      </c>
      <c r="O291" s="2" t="s">
        <v>11770</v>
      </c>
      <c r="P291" s="2" t="s">
        <v>11771</v>
      </c>
      <c r="Q291" s="2" t="s">
        <v>11772</v>
      </c>
      <c r="R291" s="2" t="s">
        <v>1490</v>
      </c>
      <c r="S291" s="2" t="s">
        <v>4971</v>
      </c>
      <c r="T291" s="2" t="s">
        <v>5966</v>
      </c>
      <c r="U291" s="2" t="s">
        <v>2247</v>
      </c>
      <c r="V291" s="2" t="s">
        <v>110</v>
      </c>
      <c r="W291" s="2" t="s">
        <v>39</v>
      </c>
    </row>
    <row r="292">
      <c r="A292" s="2" t="n">
        <v>185</v>
      </c>
      <c r="B292" s="2" t="s">
        <v>11773</v>
      </c>
      <c r="C292" s="2" t="s">
        <v>2246</v>
      </c>
      <c r="D292" s="2" t="n">
        <v>219.175439393</v>
      </c>
      <c r="E292" s="2" t="n">
        <v>0.566208012375347</v>
      </c>
      <c r="F292" s="2" t="s">
        <v>11774</v>
      </c>
      <c r="G292" s="2" t="n">
        <v>35476</v>
      </c>
      <c r="H292" s="3" t="str">
        <f>HYPERLINK("http://funmeta.oebiotech.com/network/35476", "http://funmeta.oebiotech.com/network/35476")</f>
      </c>
      <c r="I292" s="2" t="s">
        <v>11775</v>
      </c>
      <c r="J292" s="2" t="s">
        <v>11776</v>
      </c>
      <c r="K292" s="2" t="s">
        <v>11777</v>
      </c>
      <c r="L292" s="2" t="s">
        <v>11778</v>
      </c>
      <c r="M292" s="2" t="s">
        <v>11779</v>
      </c>
      <c r="N292" s="2" t="s">
        <v>11780</v>
      </c>
      <c r="O292" s="2" t="s">
        <v>11781</v>
      </c>
      <c r="P292" s="2" t="s">
        <v>11782</v>
      </c>
      <c r="Q292" s="2" t="s">
        <v>11783</v>
      </c>
      <c r="R292" s="2" t="s">
        <v>1490</v>
      </c>
      <c r="S292" s="2" t="s">
        <v>4971</v>
      </c>
      <c r="T292" s="2" t="s">
        <v>5966</v>
      </c>
      <c r="U292" s="2" t="s">
        <v>2247</v>
      </c>
      <c r="V292" s="2" t="s">
        <v>110</v>
      </c>
      <c r="W292" s="2" t="s">
        <v>39</v>
      </c>
    </row>
    <row r="293">
      <c r="A293" s="2" t="n">
        <v>186</v>
      </c>
      <c r="B293" s="2" t="s">
        <v>11784</v>
      </c>
      <c r="C293" s="2" t="s">
        <v>2262</v>
      </c>
      <c r="D293" s="2" t="n">
        <v>221.152297012</v>
      </c>
      <c r="E293" s="2" t="n">
        <v>5.74421438557546</v>
      </c>
      <c r="F293" s="2" t="s">
        <v>2264</v>
      </c>
      <c r="G293" s="2" t="n">
        <v>59</v>
      </c>
      <c r="H293" s="3" t="str">
        <f>HYPERLINK("http://funmeta.oebiotech.com/network/59", "http://funmeta.oebiotech.com/network/59")</f>
      </c>
      <c r="I293" s="2" t="s">
        <v>2266</v>
      </c>
      <c r="J293" s="2" t="s">
        <v>2267</v>
      </c>
      <c r="K293" s="2" t="s">
        <v>2268</v>
      </c>
      <c r="L293" s="2" t="s">
        <v>2269</v>
      </c>
      <c r="M293" s="2" t="s">
        <v>2270</v>
      </c>
      <c r="N293" s="2" t="s">
        <v>2271</v>
      </c>
      <c r="O293" s="2" t="s">
        <v>2272</v>
      </c>
      <c r="P293" s="2" t="s">
        <v>2273</v>
      </c>
      <c r="Q293" s="2" t="s">
        <v>2274</v>
      </c>
      <c r="R293" s="2" t="s">
        <v>1490</v>
      </c>
      <c r="S293" s="2" t="s">
        <v>1491</v>
      </c>
      <c r="T293" s="2" t="s">
        <v>1492</v>
      </c>
      <c r="U293" s="2" t="s">
        <v>2263</v>
      </c>
      <c r="V293" s="2" t="s">
        <v>360</v>
      </c>
      <c r="W293" s="2" t="s">
        <v>39</v>
      </c>
    </row>
    <row r="294">
      <c r="A294" s="2" t="n">
        <v>187</v>
      </c>
      <c r="B294" s="2" t="s">
        <v>11785</v>
      </c>
      <c r="C294" s="2" t="s">
        <v>2275</v>
      </c>
      <c r="D294" s="2" t="n">
        <v>225.026070008</v>
      </c>
      <c r="E294" s="2" t="n">
        <v>2.98293359551421</v>
      </c>
      <c r="F294" s="2" t="s">
        <v>11786</v>
      </c>
      <c r="G294" s="2" t="n">
        <v>57773</v>
      </c>
      <c r="H294" s="3" t="str">
        <f>HYPERLINK("http://funmeta.oebiotech.com/network/57773", "http://funmeta.oebiotech.com/network/57773")</f>
      </c>
      <c r="I294" s="2" t="s">
        <v>11787</v>
      </c>
      <c r="J294" s="2" t="s">
        <v>11788</v>
      </c>
      <c r="K294" s="2"/>
      <c r="L294" s="2"/>
      <c r="M294" s="2"/>
      <c r="N294" s="2" t="s">
        <v>11789</v>
      </c>
      <c r="O294" s="2" t="s">
        <v>11790</v>
      </c>
      <c r="P294" s="2" t="s">
        <v>11791</v>
      </c>
      <c r="Q294" s="2" t="s">
        <v>11792</v>
      </c>
      <c r="R294" s="2" t="s">
        <v>355</v>
      </c>
      <c r="S294" s="2" t="s">
        <v>3142</v>
      </c>
      <c r="T294" s="2" t="s">
        <v>205</v>
      </c>
      <c r="U294" s="2" t="s">
        <v>2276</v>
      </c>
      <c r="V294" s="2" t="s">
        <v>24</v>
      </c>
      <c r="W294" s="2"/>
    </row>
    <row r="295">
      <c r="A295" s="2" t="n">
        <v>187</v>
      </c>
      <c r="B295" s="2" t="s">
        <v>11793</v>
      </c>
      <c r="C295" s="2" t="s">
        <v>2275</v>
      </c>
      <c r="D295" s="2" t="n">
        <v>225.026070008</v>
      </c>
      <c r="E295" s="2" t="n">
        <v>2.98293359551421</v>
      </c>
      <c r="F295" s="2" t="s">
        <v>11794</v>
      </c>
      <c r="G295" s="2" t="n">
        <v>62232</v>
      </c>
      <c r="H295" s="3" t="str">
        <f>HYPERLINK("http://funmeta.oebiotech.com/network/62232", "http://funmeta.oebiotech.com/network/62232")</f>
      </c>
      <c r="I295" s="2" t="s">
        <v>11795</v>
      </c>
      <c r="J295" s="2" t="s">
        <v>11796</v>
      </c>
      <c r="K295" s="2"/>
      <c r="L295" s="2"/>
      <c r="M295" s="2"/>
      <c r="N295" s="2" t="s">
        <v>11797</v>
      </c>
      <c r="O295" s="2" t="s">
        <v>11798</v>
      </c>
      <c r="P295" s="2" t="s">
        <v>11799</v>
      </c>
      <c r="Q295" s="2" t="s">
        <v>11800</v>
      </c>
      <c r="R295" s="2" t="s">
        <v>49</v>
      </c>
      <c r="S295" s="2" t="s">
        <v>165</v>
      </c>
      <c r="T295" s="2" t="s">
        <v>625</v>
      </c>
      <c r="U295" s="2" t="s">
        <v>2276</v>
      </c>
      <c r="V295" s="2" t="s">
        <v>24</v>
      </c>
      <c r="W295" s="2"/>
    </row>
    <row r="296">
      <c r="A296" s="2" t="n">
        <v>187</v>
      </c>
      <c r="B296" s="2" t="s">
        <v>11801</v>
      </c>
      <c r="C296" s="2" t="s">
        <v>2275</v>
      </c>
      <c r="D296" s="2" t="n">
        <v>225.026070974</v>
      </c>
      <c r="E296" s="2" t="n">
        <v>2.98293359551421</v>
      </c>
      <c r="F296" s="2" t="s">
        <v>11802</v>
      </c>
      <c r="G296" s="2" t="n">
        <v>211430</v>
      </c>
      <c r="H296" s="3" t="str">
        <f>HYPERLINK("http://funmeta.oebiotech.com/network/211430", "http://funmeta.oebiotech.com/network/211430")</f>
      </c>
      <c r="I296" s="2" t="s">
        <v>11803</v>
      </c>
      <c r="J296" s="2"/>
      <c r="K296" s="2"/>
      <c r="L296" s="2"/>
      <c r="M296" s="2"/>
      <c r="N296" s="2" t="s">
        <v>11804</v>
      </c>
      <c r="O296" s="2"/>
      <c r="P296" s="2" t="s">
        <v>11805</v>
      </c>
      <c r="Q296" s="2" t="s">
        <v>11806</v>
      </c>
      <c r="R296" s="2" t="s">
        <v>1490</v>
      </c>
      <c r="S296" s="2" t="s">
        <v>1491</v>
      </c>
      <c r="T296" s="2" t="s">
        <v>1492</v>
      </c>
      <c r="U296" s="2" t="s">
        <v>2276</v>
      </c>
      <c r="V296" s="2" t="s">
        <v>24</v>
      </c>
      <c r="W296" s="2"/>
    </row>
    <row r="297">
      <c r="A297" s="2" t="n">
        <v>188</v>
      </c>
      <c r="B297" s="2" t="s">
        <v>11807</v>
      </c>
      <c r="C297" s="2" t="s">
        <v>2288</v>
      </c>
      <c r="D297" s="2" t="n">
        <v>225.14961857</v>
      </c>
      <c r="E297" s="2" t="n">
        <v>0.174768313103398</v>
      </c>
      <c r="F297" s="2" t="s">
        <v>11808</v>
      </c>
      <c r="G297" s="2" t="n">
        <v>56217</v>
      </c>
      <c r="H297" s="3" t="str">
        <f>HYPERLINK("http://funmeta.oebiotech.com/network/56217", "http://funmeta.oebiotech.com/network/56217")</f>
      </c>
      <c r="I297" s="2" t="s">
        <v>11809</v>
      </c>
      <c r="J297" s="2"/>
      <c r="K297" s="2"/>
      <c r="L297" s="2"/>
      <c r="M297" s="2" t="s">
        <v>11810</v>
      </c>
      <c r="N297" s="2" t="s">
        <v>11811</v>
      </c>
      <c r="O297" s="2" t="s">
        <v>11812</v>
      </c>
      <c r="P297" s="2" t="s">
        <v>11813</v>
      </c>
      <c r="Q297" s="2" t="s">
        <v>11814</v>
      </c>
      <c r="R297" s="2" t="s">
        <v>1490</v>
      </c>
      <c r="S297" s="2" t="s">
        <v>1491</v>
      </c>
      <c r="T297" s="2" t="s">
        <v>3437</v>
      </c>
      <c r="U297" s="2" t="s">
        <v>2289</v>
      </c>
      <c r="V297" s="2" t="s">
        <v>110</v>
      </c>
      <c r="W297" s="2"/>
    </row>
    <row r="298">
      <c r="A298" s="2" t="n">
        <v>188</v>
      </c>
      <c r="B298" s="2" t="s">
        <v>11815</v>
      </c>
      <c r="C298" s="2" t="s">
        <v>2288</v>
      </c>
      <c r="D298" s="2" t="n">
        <v>225.14961857</v>
      </c>
      <c r="E298" s="2" t="n">
        <v>0.174768313103398</v>
      </c>
      <c r="F298" s="2" t="s">
        <v>11816</v>
      </c>
      <c r="G298" s="2" t="n">
        <v>61100</v>
      </c>
      <c r="H298" s="3" t="str">
        <f>HYPERLINK("http://funmeta.oebiotech.com/network/61100", "http://funmeta.oebiotech.com/network/61100")</f>
      </c>
      <c r="I298" s="2" t="s">
        <v>11817</v>
      </c>
      <c r="J298" s="2" t="s">
        <v>11818</v>
      </c>
      <c r="K298" s="2"/>
      <c r="L298" s="2"/>
      <c r="M298" s="2" t="s">
        <v>11819</v>
      </c>
      <c r="N298" s="2" t="s">
        <v>11820</v>
      </c>
      <c r="O298" s="2"/>
      <c r="P298" s="2" t="s">
        <v>11821</v>
      </c>
      <c r="Q298" s="2" t="s">
        <v>11822</v>
      </c>
      <c r="R298" s="2" t="s">
        <v>355</v>
      </c>
      <c r="S298" s="2" t="s">
        <v>11823</v>
      </c>
      <c r="T298" s="2" t="s">
        <v>205</v>
      </c>
      <c r="U298" s="2" t="s">
        <v>2289</v>
      </c>
      <c r="V298" s="2" t="s">
        <v>110</v>
      </c>
      <c r="W298" s="2"/>
    </row>
    <row r="299">
      <c r="A299" s="2" t="n">
        <v>188</v>
      </c>
      <c r="B299" s="2" t="s">
        <v>11824</v>
      </c>
      <c r="C299" s="2" t="s">
        <v>2288</v>
      </c>
      <c r="D299" s="2" t="n">
        <v>225.14961857</v>
      </c>
      <c r="E299" s="2" t="n">
        <v>0.174768313103398</v>
      </c>
      <c r="F299" s="2" t="s">
        <v>11825</v>
      </c>
      <c r="G299" s="2" t="n">
        <v>63758</v>
      </c>
      <c r="H299" s="3" t="str">
        <f>HYPERLINK("http://funmeta.oebiotech.com/network/63758", "http://funmeta.oebiotech.com/network/63758")</f>
      </c>
      <c r="I299" s="2" t="s">
        <v>11826</v>
      </c>
      <c r="J299" s="2"/>
      <c r="K299" s="2"/>
      <c r="L299" s="2"/>
      <c r="M299" s="2" t="s">
        <v>11827</v>
      </c>
      <c r="N299" s="2" t="s">
        <v>11828</v>
      </c>
      <c r="O299" s="2" t="s">
        <v>11829</v>
      </c>
      <c r="P299" s="2" t="s">
        <v>11830</v>
      </c>
      <c r="Q299" s="2" t="s">
        <v>11831</v>
      </c>
      <c r="R299" s="2" t="s">
        <v>1490</v>
      </c>
      <c r="S299" s="2" t="s">
        <v>4971</v>
      </c>
      <c r="T299" s="2" t="s">
        <v>5966</v>
      </c>
      <c r="U299" s="2" t="s">
        <v>2289</v>
      </c>
      <c r="V299" s="2" t="s">
        <v>110</v>
      </c>
      <c r="W299" s="2"/>
    </row>
    <row r="300">
      <c r="A300" s="2" t="n">
        <v>189</v>
      </c>
      <c r="B300" s="2" t="s">
        <v>11832</v>
      </c>
      <c r="C300" s="2" t="s">
        <v>2302</v>
      </c>
      <c r="D300" s="2" t="n">
        <v>225.9266427</v>
      </c>
      <c r="E300" s="2" t="n">
        <v>4.65502504948579</v>
      </c>
      <c r="F300" s="2" t="s">
        <v>2304</v>
      </c>
      <c r="G300" s="2" t="n">
        <v>204979</v>
      </c>
      <c r="H300" s="3" t="str">
        <f>HYPERLINK("http://funmeta.oebiotech.com/network/204979", "http://funmeta.oebiotech.com/network/204979")</f>
      </c>
      <c r="I300" s="2" t="s">
        <v>2306</v>
      </c>
      <c r="J300" s="2" t="s">
        <v>2307</v>
      </c>
      <c r="K300" s="2"/>
      <c r="L300" s="2" t="s">
        <v>2308</v>
      </c>
      <c r="M300" s="2"/>
      <c r="N300" s="2" t="s">
        <v>2309</v>
      </c>
      <c r="O300" s="2" t="s">
        <v>2310</v>
      </c>
      <c r="P300" s="2" t="s">
        <v>2311</v>
      </c>
      <c r="Q300" s="2" t="s">
        <v>2312</v>
      </c>
      <c r="R300" s="2" t="s">
        <v>502</v>
      </c>
      <c r="S300" s="2" t="s">
        <v>503</v>
      </c>
      <c r="T300" s="2" t="s">
        <v>2313</v>
      </c>
      <c r="U300" s="2" t="s">
        <v>2303</v>
      </c>
      <c r="V300" s="2" t="s">
        <v>360</v>
      </c>
      <c r="W300" s="2" t="s">
        <v>39</v>
      </c>
    </row>
    <row r="301">
      <c r="A301" s="2" t="n">
        <v>190</v>
      </c>
      <c r="B301" s="2" t="s">
        <v>11833</v>
      </c>
      <c r="C301" s="2" t="s">
        <v>2314</v>
      </c>
      <c r="D301" s="2" t="n">
        <v>226.959957546</v>
      </c>
      <c r="E301" s="2" t="n">
        <v>2.73084992825121</v>
      </c>
      <c r="F301" s="2" t="s">
        <v>11834</v>
      </c>
      <c r="G301" s="2" t="n">
        <v>48205</v>
      </c>
      <c r="H301" s="3" t="str">
        <f>HYPERLINK("http://funmeta.oebiotech.com/network/48205", "http://funmeta.oebiotech.com/network/48205")</f>
      </c>
      <c r="I301" s="2" t="s">
        <v>11835</v>
      </c>
      <c r="J301" s="2"/>
      <c r="K301" s="2"/>
      <c r="L301" s="2" t="s">
        <v>11836</v>
      </c>
      <c r="M301" s="2" t="s">
        <v>11837</v>
      </c>
      <c r="N301" s="2"/>
      <c r="O301" s="2" t="s">
        <v>11838</v>
      </c>
      <c r="P301" s="2" t="s">
        <v>11839</v>
      </c>
      <c r="Q301" s="2" t="s">
        <v>11840</v>
      </c>
      <c r="R301" s="2" t="s">
        <v>49</v>
      </c>
      <c r="S301" s="2" t="s">
        <v>165</v>
      </c>
      <c r="T301" s="2" t="s">
        <v>2001</v>
      </c>
      <c r="U301" s="2" t="s">
        <v>2315</v>
      </c>
      <c r="V301" s="2" t="s">
        <v>250</v>
      </c>
      <c r="W301" s="2" t="s">
        <v>39</v>
      </c>
    </row>
    <row r="302">
      <c r="A302" s="2" t="n">
        <v>190</v>
      </c>
      <c r="B302" s="2" t="s">
        <v>11841</v>
      </c>
      <c r="C302" s="2" t="s">
        <v>2314</v>
      </c>
      <c r="D302" s="2" t="n">
        <v>226.959957546</v>
      </c>
      <c r="E302" s="2" t="n">
        <v>2.73084992825121</v>
      </c>
      <c r="F302" s="2" t="s">
        <v>11842</v>
      </c>
      <c r="G302" s="2" t="n">
        <v>257257</v>
      </c>
      <c r="H302" s="3" t="str">
        <f>HYPERLINK("http://funmeta.oebiotech.com/network/257257", "http://funmeta.oebiotech.com/network/257257")</f>
      </c>
      <c r="I302" s="2" t="s">
        <v>11843</v>
      </c>
      <c r="J302" s="2" t="s">
        <v>11844</v>
      </c>
      <c r="K302" s="2"/>
      <c r="L302" s="2" t="s">
        <v>11836</v>
      </c>
      <c r="M302" s="2" t="s">
        <v>1525</v>
      </c>
      <c r="N302" s="2" t="s">
        <v>11845</v>
      </c>
      <c r="O302" s="2" t="s">
        <v>11838</v>
      </c>
      <c r="P302" s="2" t="s">
        <v>11846</v>
      </c>
      <c r="Q302" s="2" t="s">
        <v>11847</v>
      </c>
      <c r="R302" s="2" t="s">
        <v>49</v>
      </c>
      <c r="S302" s="2" t="s">
        <v>165</v>
      </c>
      <c r="T302" s="2" t="s">
        <v>2001</v>
      </c>
      <c r="U302" s="2" t="s">
        <v>2315</v>
      </c>
      <c r="V302" s="2" t="s">
        <v>250</v>
      </c>
      <c r="W302" s="2" t="s">
        <v>39</v>
      </c>
    </row>
    <row r="303">
      <c r="A303" s="2" t="n">
        <v>191</v>
      </c>
      <c r="B303" s="2" t="s">
        <v>11848</v>
      </c>
      <c r="C303" s="2" t="s">
        <v>2327</v>
      </c>
      <c r="D303" s="2" t="n">
        <v>227.128883128</v>
      </c>
      <c r="E303" s="2" t="n">
        <v>10.2066374735592</v>
      </c>
      <c r="F303" s="2" t="s">
        <v>2329</v>
      </c>
      <c r="G303" s="2" t="n">
        <v>2817</v>
      </c>
      <c r="H303" s="3" t="str">
        <f>HYPERLINK("http://funmeta.oebiotech.com/network/2817", "http://funmeta.oebiotech.com/network/2817")</f>
      </c>
      <c r="I303" s="2" t="s">
        <v>2331</v>
      </c>
      <c r="J303" s="2" t="s">
        <v>2332</v>
      </c>
      <c r="K303" s="2" t="s">
        <v>2333</v>
      </c>
      <c r="L303" s="2" t="s">
        <v>2334</v>
      </c>
      <c r="M303" s="2" t="s">
        <v>2335</v>
      </c>
      <c r="N303" s="2" t="s">
        <v>2336</v>
      </c>
      <c r="O303" s="2" t="s">
        <v>2337</v>
      </c>
      <c r="P303" s="2" t="s">
        <v>2338</v>
      </c>
      <c r="Q303" s="2" t="s">
        <v>2339</v>
      </c>
      <c r="R303" s="2" t="s">
        <v>1490</v>
      </c>
      <c r="S303" s="2" t="s">
        <v>1491</v>
      </c>
      <c r="T303" s="2" t="s">
        <v>1492</v>
      </c>
      <c r="U303" s="2" t="s">
        <v>2328</v>
      </c>
      <c r="V303" s="2" t="s">
        <v>110</v>
      </c>
      <c r="W303" s="2" t="s">
        <v>39</v>
      </c>
    </row>
    <row r="304">
      <c r="A304" s="2" t="n">
        <v>192</v>
      </c>
      <c r="B304" s="2" t="s">
        <v>11849</v>
      </c>
      <c r="C304" s="2" t="s">
        <v>2340</v>
      </c>
      <c r="D304" s="2" t="n">
        <v>228.033598708</v>
      </c>
      <c r="E304" s="2" t="n">
        <v>5.80957588756962</v>
      </c>
      <c r="F304" s="2" t="s">
        <v>2342</v>
      </c>
      <c r="G304" s="2" t="n">
        <v>209893</v>
      </c>
      <c r="H304" s="3" t="str">
        <f>HYPERLINK("http://funmeta.oebiotech.com/network/209893", "http://funmeta.oebiotech.com/network/209893")</f>
      </c>
      <c r="I304" s="2" t="s">
        <v>2344</v>
      </c>
      <c r="J304" s="2"/>
      <c r="K304" s="2"/>
      <c r="L304" s="2"/>
      <c r="M304" s="2"/>
      <c r="N304" s="2" t="s">
        <v>2345</v>
      </c>
      <c r="O304" s="2"/>
      <c r="P304" s="2" t="s">
        <v>2346</v>
      </c>
      <c r="Q304" s="2" t="s">
        <v>2347</v>
      </c>
      <c r="R304" s="2" t="s">
        <v>64</v>
      </c>
      <c r="S304" s="2" t="s">
        <v>65</v>
      </c>
      <c r="T304" s="2" t="s">
        <v>91</v>
      </c>
      <c r="U304" s="2" t="s">
        <v>2341</v>
      </c>
      <c r="V304" s="2" t="s">
        <v>24</v>
      </c>
      <c r="W304" s="2"/>
    </row>
    <row r="305">
      <c r="A305" s="2" t="n">
        <v>193</v>
      </c>
      <c r="B305" s="2" t="s">
        <v>11850</v>
      </c>
      <c r="C305" s="2" t="s">
        <v>2348</v>
      </c>
      <c r="D305" s="2" t="n">
        <v>228.99898686</v>
      </c>
      <c r="E305" s="2" t="n">
        <v>4.09940713407686</v>
      </c>
      <c r="F305" s="2" t="s">
        <v>2350</v>
      </c>
      <c r="G305" s="2" t="n">
        <v>204765</v>
      </c>
      <c r="H305" s="3" t="str">
        <f>HYPERLINK("http://funmeta.oebiotech.com/network/204765", "http://funmeta.oebiotech.com/network/204765")</f>
      </c>
      <c r="I305" s="2" t="s">
        <v>2352</v>
      </c>
      <c r="J305" s="2" t="s">
        <v>2353</v>
      </c>
      <c r="K305" s="2"/>
      <c r="L305" s="2" t="s">
        <v>2354</v>
      </c>
      <c r="M305" s="2"/>
      <c r="N305" s="2" t="s">
        <v>2355</v>
      </c>
      <c r="O305" s="2" t="s">
        <v>2356</v>
      </c>
      <c r="P305" s="2" t="s">
        <v>2357</v>
      </c>
      <c r="Q305" s="2" t="s">
        <v>2358</v>
      </c>
      <c r="R305" s="2" t="s">
        <v>355</v>
      </c>
      <c r="S305" s="2" t="s">
        <v>874</v>
      </c>
      <c r="T305" s="2" t="s">
        <v>875</v>
      </c>
      <c r="U305" s="2" t="s">
        <v>2349</v>
      </c>
      <c r="V305" s="2" t="s">
        <v>24</v>
      </c>
      <c r="W305" s="2" t="s">
        <v>39</v>
      </c>
    </row>
    <row r="306">
      <c r="A306" s="2" t="n">
        <v>194</v>
      </c>
      <c r="B306" s="2" t="s">
        <v>11851</v>
      </c>
      <c r="C306" s="2" t="s">
        <v>2359</v>
      </c>
      <c r="D306" s="2" t="n">
        <v>229.046605746</v>
      </c>
      <c r="E306" s="2" t="n">
        <v>5.52486818193812</v>
      </c>
      <c r="F306" s="2" t="s">
        <v>2361</v>
      </c>
      <c r="G306" s="2" t="n">
        <v>212645</v>
      </c>
      <c r="H306" s="3" t="str">
        <f>HYPERLINK("http://funmeta.oebiotech.com/network/212645", "http://funmeta.oebiotech.com/network/212645")</f>
      </c>
      <c r="I306" s="2" t="s">
        <v>2363</v>
      </c>
      <c r="J306" s="2" t="s">
        <v>2364</v>
      </c>
      <c r="K306" s="2"/>
      <c r="L306" s="2"/>
      <c r="M306" s="2"/>
      <c r="N306" s="2" t="s">
        <v>2365</v>
      </c>
      <c r="O306" s="2" t="s">
        <v>2366</v>
      </c>
      <c r="P306" s="2" t="s">
        <v>2367</v>
      </c>
      <c r="Q306" s="2" t="s">
        <v>2368</v>
      </c>
      <c r="R306" s="2" t="s">
        <v>502</v>
      </c>
      <c r="S306" s="2" t="s">
        <v>2369</v>
      </c>
      <c r="T306" s="2" t="s">
        <v>2370</v>
      </c>
      <c r="U306" s="2" t="s">
        <v>2360</v>
      </c>
      <c r="V306" s="2" t="s">
        <v>24</v>
      </c>
      <c r="W306" s="2"/>
    </row>
    <row r="307">
      <c r="A307" s="2" t="n">
        <v>195</v>
      </c>
      <c r="B307" s="2" t="s">
        <v>11852</v>
      </c>
      <c r="C307" s="2" t="s">
        <v>2371</v>
      </c>
      <c r="D307" s="2" t="n">
        <v>230.028119403</v>
      </c>
      <c r="E307" s="2" t="n">
        <v>4.06141281311035</v>
      </c>
      <c r="F307" s="2" t="s">
        <v>11853</v>
      </c>
      <c r="G307" s="2" t="n">
        <v>199494</v>
      </c>
      <c r="H307" s="3" t="str">
        <f>HYPERLINK("http://funmeta.oebiotech.com/network/199494", "http://funmeta.oebiotech.com/network/199494")</f>
      </c>
      <c r="I307" s="2" t="s">
        <v>11854</v>
      </c>
      <c r="J307" s="2"/>
      <c r="K307" s="2"/>
      <c r="L307" s="2"/>
      <c r="M307" s="2" t="s">
        <v>11855</v>
      </c>
      <c r="N307" s="2"/>
      <c r="O307" s="2"/>
      <c r="P307" s="2" t="s">
        <v>11856</v>
      </c>
      <c r="Q307" s="2" t="s">
        <v>11857</v>
      </c>
      <c r="R307" s="2" t="s">
        <v>502</v>
      </c>
      <c r="S307" s="2" t="s">
        <v>2413</v>
      </c>
      <c r="T307" s="2" t="s">
        <v>205</v>
      </c>
      <c r="U307" s="2" t="s">
        <v>2372</v>
      </c>
      <c r="V307" s="2" t="s">
        <v>24</v>
      </c>
      <c r="W307" s="2"/>
    </row>
    <row r="308">
      <c r="A308" s="2" t="n">
        <v>195</v>
      </c>
      <c r="B308" s="2" t="s">
        <v>11858</v>
      </c>
      <c r="C308" s="2" t="s">
        <v>2371</v>
      </c>
      <c r="D308" s="2" t="n">
        <v>230.028119403</v>
      </c>
      <c r="E308" s="2" t="n">
        <v>4.06141281311035</v>
      </c>
      <c r="F308" s="2" t="s">
        <v>11859</v>
      </c>
      <c r="G308" s="2" t="n">
        <v>200625</v>
      </c>
      <c r="H308" s="3" t="str">
        <f>HYPERLINK("http://funmeta.oebiotech.com/network/200625", "http://funmeta.oebiotech.com/network/200625")</f>
      </c>
      <c r="I308" s="2" t="s">
        <v>11860</v>
      </c>
      <c r="J308" s="2"/>
      <c r="K308" s="2"/>
      <c r="L308" s="2"/>
      <c r="M308" s="2"/>
      <c r="N308" s="2" t="s">
        <v>11861</v>
      </c>
      <c r="O308" s="2"/>
      <c r="P308" s="2" t="s">
        <v>11862</v>
      </c>
      <c r="Q308" s="2" t="s">
        <v>11863</v>
      </c>
      <c r="R308" s="2" t="s">
        <v>502</v>
      </c>
      <c r="S308" s="2" t="s">
        <v>2413</v>
      </c>
      <c r="T308" s="2" t="s">
        <v>205</v>
      </c>
      <c r="U308" s="2" t="s">
        <v>2372</v>
      </c>
      <c r="V308" s="2" t="s">
        <v>24</v>
      </c>
      <c r="W308" s="2"/>
    </row>
    <row r="309">
      <c r="A309" s="2" t="n">
        <v>196</v>
      </c>
      <c r="B309" s="2" t="s">
        <v>11864</v>
      </c>
      <c r="C309" s="2" t="s">
        <v>2381</v>
      </c>
      <c r="D309" s="2" t="n">
        <v>230.155038299</v>
      </c>
      <c r="E309" s="2" t="n">
        <v>6.32406464946966</v>
      </c>
      <c r="F309" s="2" t="s">
        <v>11865</v>
      </c>
      <c r="G309" s="2" t="n">
        <v>57751</v>
      </c>
      <c r="H309" s="3" t="str">
        <f>HYPERLINK("http://funmeta.oebiotech.com/network/57751", "http://funmeta.oebiotech.com/network/57751")</f>
      </c>
      <c r="I309" s="2" t="s">
        <v>11866</v>
      </c>
      <c r="J309" s="2" t="s">
        <v>11867</v>
      </c>
      <c r="K309" s="2"/>
      <c r="L309" s="2"/>
      <c r="M309" s="2"/>
      <c r="N309" s="2" t="s">
        <v>11868</v>
      </c>
      <c r="O309" s="2" t="s">
        <v>11869</v>
      </c>
      <c r="P309" s="2" t="s">
        <v>11870</v>
      </c>
      <c r="Q309" s="2" t="s">
        <v>11871</v>
      </c>
      <c r="R309" s="2" t="s">
        <v>355</v>
      </c>
      <c r="S309" s="2" t="s">
        <v>1316</v>
      </c>
      <c r="T309" s="2" t="s">
        <v>4897</v>
      </c>
      <c r="U309" s="2" t="s">
        <v>2382</v>
      </c>
      <c r="V309" s="2" t="s">
        <v>110</v>
      </c>
      <c r="W309" s="2"/>
    </row>
    <row r="310">
      <c r="A310" s="2" t="n">
        <v>196</v>
      </c>
      <c r="B310" s="2" t="s">
        <v>11872</v>
      </c>
      <c r="C310" s="2" t="s">
        <v>2381</v>
      </c>
      <c r="D310" s="2" t="n">
        <v>230.155038299</v>
      </c>
      <c r="E310" s="2" t="n">
        <v>6.32406464946966</v>
      </c>
      <c r="F310" s="2" t="s">
        <v>11873</v>
      </c>
      <c r="G310" s="2" t="n">
        <v>59155</v>
      </c>
      <c r="H310" s="3" t="str">
        <f>HYPERLINK("http://funmeta.oebiotech.com/network/59155", "http://funmeta.oebiotech.com/network/59155")</f>
      </c>
      <c r="I310" s="2" t="s">
        <v>11874</v>
      </c>
      <c r="J310" s="2" t="s">
        <v>11875</v>
      </c>
      <c r="K310" s="2"/>
      <c r="L310" s="2"/>
      <c r="M310" s="2"/>
      <c r="N310" s="2" t="s">
        <v>11876</v>
      </c>
      <c r="O310" s="2"/>
      <c r="P310" s="2" t="s">
        <v>11877</v>
      </c>
      <c r="Q310" s="2" t="s">
        <v>11878</v>
      </c>
      <c r="R310" s="2" t="s">
        <v>355</v>
      </c>
      <c r="S310" s="2" t="s">
        <v>1316</v>
      </c>
      <c r="T310" s="2" t="s">
        <v>11879</v>
      </c>
      <c r="U310" s="2" t="s">
        <v>2382</v>
      </c>
      <c r="V310" s="2" t="s">
        <v>110</v>
      </c>
      <c r="W310" s="2"/>
    </row>
    <row r="311">
      <c r="A311" s="2" t="n">
        <v>196</v>
      </c>
      <c r="B311" s="2" t="s">
        <v>11880</v>
      </c>
      <c r="C311" s="2" t="s">
        <v>2381</v>
      </c>
      <c r="D311" s="2" t="n">
        <v>230.1550383</v>
      </c>
      <c r="E311" s="2" t="n">
        <v>6.32406464946966</v>
      </c>
      <c r="F311" s="2" t="s">
        <v>11881</v>
      </c>
      <c r="G311" s="2" t="n">
        <v>200124</v>
      </c>
      <c r="H311" s="3" t="str">
        <f>HYPERLINK("http://funmeta.oebiotech.com/network/200124", "http://funmeta.oebiotech.com/network/200124")</f>
      </c>
      <c r="I311" s="2" t="s">
        <v>11882</v>
      </c>
      <c r="J311" s="2" t="s">
        <v>11883</v>
      </c>
      <c r="K311" s="2"/>
      <c r="L311" s="2"/>
      <c r="M311" s="2"/>
      <c r="N311" s="2" t="s">
        <v>11884</v>
      </c>
      <c r="O311" s="2"/>
      <c r="P311" s="2" t="s">
        <v>11885</v>
      </c>
      <c r="Q311" s="2" t="s">
        <v>11886</v>
      </c>
      <c r="R311" s="2" t="s">
        <v>64</v>
      </c>
      <c r="S311" s="2" t="s">
        <v>65</v>
      </c>
      <c r="T311" s="2" t="s">
        <v>91</v>
      </c>
      <c r="U311" s="2" t="s">
        <v>2382</v>
      </c>
      <c r="V311" s="2" t="s">
        <v>110</v>
      </c>
      <c r="W311" s="2"/>
    </row>
    <row r="312">
      <c r="A312" s="2" t="n">
        <v>197</v>
      </c>
      <c r="B312" s="2" t="s">
        <v>11887</v>
      </c>
      <c r="C312" s="2" t="s">
        <v>2394</v>
      </c>
      <c r="D312" s="2" t="n">
        <v>230.979912177</v>
      </c>
      <c r="E312" s="2" t="n">
        <v>7.35036852272733</v>
      </c>
      <c r="F312" s="2" t="s">
        <v>2396</v>
      </c>
      <c r="G312" s="2" t="n">
        <v>213374</v>
      </c>
      <c r="H312" s="3" t="str">
        <f>HYPERLINK("http://funmeta.oebiotech.com/network/213374", "http://funmeta.oebiotech.com/network/213374")</f>
      </c>
      <c r="I312" s="2" t="s">
        <v>2398</v>
      </c>
      <c r="J312" s="2"/>
      <c r="K312" s="2"/>
      <c r="L312" s="2"/>
      <c r="M312" s="2"/>
      <c r="N312" s="2" t="s">
        <v>2399</v>
      </c>
      <c r="O312" s="2"/>
      <c r="P312" s="2" t="s">
        <v>2400</v>
      </c>
      <c r="Q312" s="2" t="s">
        <v>2401</v>
      </c>
      <c r="R312" s="2" t="s">
        <v>502</v>
      </c>
      <c r="S312" s="2" t="s">
        <v>503</v>
      </c>
      <c r="T312" s="2" t="s">
        <v>205</v>
      </c>
      <c r="U312" s="2" t="s">
        <v>2395</v>
      </c>
      <c r="V312" s="2" t="s">
        <v>42</v>
      </c>
      <c r="W312" s="2"/>
    </row>
    <row r="313">
      <c r="A313" s="2" t="n">
        <v>198</v>
      </c>
      <c r="B313" s="2" t="s">
        <v>11888</v>
      </c>
      <c r="C313" s="2" t="s">
        <v>2402</v>
      </c>
      <c r="D313" s="2" t="n">
        <v>231.017594441</v>
      </c>
      <c r="E313" s="2" t="n">
        <v>11.2344057074431</v>
      </c>
      <c r="F313" s="2" t="s">
        <v>2404</v>
      </c>
      <c r="G313" s="2" t="n">
        <v>199753</v>
      </c>
      <c r="H313" s="3" t="str">
        <f>HYPERLINK("http://funmeta.oebiotech.com/network/199753", "http://funmeta.oebiotech.com/network/199753")</f>
      </c>
      <c r="I313" s="2" t="s">
        <v>2406</v>
      </c>
      <c r="J313" s="2" t="s">
        <v>2407</v>
      </c>
      <c r="K313" s="2"/>
      <c r="L313" s="2" t="s">
        <v>2408</v>
      </c>
      <c r="M313" s="2"/>
      <c r="N313" s="2" t="s">
        <v>2409</v>
      </c>
      <c r="O313" s="2" t="s">
        <v>2410</v>
      </c>
      <c r="P313" s="2" t="s">
        <v>2411</v>
      </c>
      <c r="Q313" s="2" t="s">
        <v>2412</v>
      </c>
      <c r="R313" s="2" t="s">
        <v>502</v>
      </c>
      <c r="S313" s="2" t="s">
        <v>2413</v>
      </c>
      <c r="T313" s="2" t="s">
        <v>205</v>
      </c>
      <c r="U313" s="2" t="s">
        <v>2403</v>
      </c>
      <c r="V313" s="2" t="s">
        <v>360</v>
      </c>
      <c r="W313" s="2" t="s">
        <v>39</v>
      </c>
    </row>
    <row r="314">
      <c r="A314" s="2" t="n">
        <v>199</v>
      </c>
      <c r="B314" s="2" t="s">
        <v>11889</v>
      </c>
      <c r="C314" s="2" t="s">
        <v>2414</v>
      </c>
      <c r="D314" s="2" t="n">
        <v>232.043773291</v>
      </c>
      <c r="E314" s="2" t="n">
        <v>9.33822231261432</v>
      </c>
      <c r="F314" s="2" t="s">
        <v>2416</v>
      </c>
      <c r="G314" s="2" t="n">
        <v>61961</v>
      </c>
      <c r="H314" s="3" t="str">
        <f>HYPERLINK("http://funmeta.oebiotech.com/network/61961", "http://funmeta.oebiotech.com/network/61961")</f>
      </c>
      <c r="I314" s="2" t="s">
        <v>2418</v>
      </c>
      <c r="J314" s="2" t="s">
        <v>2419</v>
      </c>
      <c r="K314" s="2"/>
      <c r="L314" s="2"/>
      <c r="M314" s="2"/>
      <c r="N314" s="2" t="s">
        <v>2420</v>
      </c>
      <c r="O314" s="2" t="s">
        <v>2421</v>
      </c>
      <c r="P314" s="2" t="s">
        <v>2422</v>
      </c>
      <c r="Q314" s="2" t="s">
        <v>2423</v>
      </c>
      <c r="R314" s="2" t="s">
        <v>355</v>
      </c>
      <c r="S314" s="2" t="s">
        <v>2424</v>
      </c>
      <c r="T314" s="2" t="s">
        <v>2425</v>
      </c>
      <c r="U314" s="2" t="s">
        <v>2415</v>
      </c>
      <c r="V314" s="2" t="s">
        <v>110</v>
      </c>
      <c r="W314" s="2"/>
    </row>
    <row r="315">
      <c r="A315" s="2" t="n">
        <v>200</v>
      </c>
      <c r="B315" s="2" t="s">
        <v>11890</v>
      </c>
      <c r="C315" s="2" t="s">
        <v>2426</v>
      </c>
      <c r="D315" s="2" t="n">
        <v>232.889852578</v>
      </c>
      <c r="E315" s="2" t="n">
        <v>8.65783770056204</v>
      </c>
      <c r="F315" s="2" t="s">
        <v>2428</v>
      </c>
      <c r="G315" s="2" t="n">
        <v>55853</v>
      </c>
      <c r="H315" s="3" t="str">
        <f>HYPERLINK("http://funmeta.oebiotech.com/network/55853", "http://funmeta.oebiotech.com/network/55853")</f>
      </c>
      <c r="I315" s="2" t="s">
        <v>2430</v>
      </c>
      <c r="J315" s="2" t="s">
        <v>2431</v>
      </c>
      <c r="K315" s="2"/>
      <c r="L315" s="2" t="s">
        <v>2432</v>
      </c>
      <c r="M315" s="2" t="s">
        <v>2433</v>
      </c>
      <c r="N315" s="2" t="s">
        <v>2434</v>
      </c>
      <c r="O315" s="2" t="s">
        <v>2435</v>
      </c>
      <c r="P315" s="2" t="s">
        <v>2436</v>
      </c>
      <c r="Q315" s="2" t="s">
        <v>2437</v>
      </c>
      <c r="R315" s="2" t="s">
        <v>638</v>
      </c>
      <c r="S315" s="2" t="s">
        <v>2438</v>
      </c>
      <c r="T315" s="2" t="s">
        <v>205</v>
      </c>
      <c r="U315" s="2" t="s">
        <v>2427</v>
      </c>
      <c r="V315" s="2" t="s">
        <v>24</v>
      </c>
      <c r="W315" s="2" t="s">
        <v>39</v>
      </c>
    </row>
    <row r="316">
      <c r="A316" s="2" t="n">
        <v>201</v>
      </c>
      <c r="B316" s="2" t="s">
        <v>11891</v>
      </c>
      <c r="C316" s="2" t="s">
        <v>2439</v>
      </c>
      <c r="D316" s="2" t="n">
        <v>232.99104092</v>
      </c>
      <c r="E316" s="2" t="n">
        <v>1.88013569302778</v>
      </c>
      <c r="F316" s="2" t="s">
        <v>2441</v>
      </c>
      <c r="G316" s="2" t="n">
        <v>210141</v>
      </c>
      <c r="H316" s="3" t="str">
        <f>HYPERLINK("http://funmeta.oebiotech.com/network/210141", "http://funmeta.oebiotech.com/network/210141")</f>
      </c>
      <c r="I316" s="2" t="s">
        <v>2443</v>
      </c>
      <c r="J316" s="2"/>
      <c r="K316" s="2"/>
      <c r="L316" s="2"/>
      <c r="M316" s="2"/>
      <c r="N316" s="2"/>
      <c r="O316" s="2"/>
      <c r="P316" s="2" t="s">
        <v>2444</v>
      </c>
      <c r="Q316" s="2" t="s">
        <v>2445</v>
      </c>
      <c r="R316" s="2" t="s">
        <v>502</v>
      </c>
      <c r="S316" s="2" t="s">
        <v>503</v>
      </c>
      <c r="T316" s="2" t="s">
        <v>2446</v>
      </c>
      <c r="U316" s="2" t="s">
        <v>2440</v>
      </c>
      <c r="V316" s="2" t="s">
        <v>522</v>
      </c>
      <c r="W316" s="2"/>
    </row>
    <row r="317">
      <c r="A317" s="2" t="n">
        <v>202</v>
      </c>
      <c r="B317" s="2" t="s">
        <v>11892</v>
      </c>
      <c r="C317" s="2" t="s">
        <v>2447</v>
      </c>
      <c r="D317" s="2" t="n">
        <v>233.963330343</v>
      </c>
      <c r="E317" s="2" t="n">
        <v>12.94640859706</v>
      </c>
      <c r="F317" s="2" t="s">
        <v>2449</v>
      </c>
      <c r="G317" s="2" t="n">
        <v>200691</v>
      </c>
      <c r="H317" s="3" t="str">
        <f>HYPERLINK("http://funmeta.oebiotech.com/network/200691", "http://funmeta.oebiotech.com/network/200691")</f>
      </c>
      <c r="I317" s="2" t="s">
        <v>2451</v>
      </c>
      <c r="J317" s="2"/>
      <c r="K317" s="2"/>
      <c r="L317" s="2"/>
      <c r="M317" s="2"/>
      <c r="N317" s="2" t="s">
        <v>2452</v>
      </c>
      <c r="O317" s="2"/>
      <c r="P317" s="2" t="s">
        <v>2453</v>
      </c>
      <c r="Q317" s="2" t="s">
        <v>2454</v>
      </c>
      <c r="R317" s="2" t="s">
        <v>502</v>
      </c>
      <c r="S317" s="2" t="s">
        <v>503</v>
      </c>
      <c r="T317" s="2" t="s">
        <v>2174</v>
      </c>
      <c r="U317" s="2" t="s">
        <v>2448</v>
      </c>
      <c r="V317" s="2" t="s">
        <v>522</v>
      </c>
      <c r="W317" s="2"/>
    </row>
    <row r="318">
      <c r="A318" s="2" t="n">
        <v>203</v>
      </c>
      <c r="B318" s="2" t="s">
        <v>11893</v>
      </c>
      <c r="C318" s="2" t="s">
        <v>2455</v>
      </c>
      <c r="D318" s="2" t="n">
        <v>234.9507174</v>
      </c>
      <c r="E318" s="2" t="n">
        <v>1.21203310023545</v>
      </c>
      <c r="F318" s="2" t="s">
        <v>2457</v>
      </c>
      <c r="G318" s="2" t="n">
        <v>205143</v>
      </c>
      <c r="H318" s="3" t="str">
        <f>HYPERLINK("http://funmeta.oebiotech.com/network/205143", "http://funmeta.oebiotech.com/network/205143")</f>
      </c>
      <c r="I318" s="2" t="s">
        <v>2459</v>
      </c>
      <c r="J318" s="2"/>
      <c r="K318" s="2"/>
      <c r="L318" s="2"/>
      <c r="M318" s="2"/>
      <c r="N318" s="2" t="s">
        <v>2460</v>
      </c>
      <c r="O318" s="2"/>
      <c r="P318" s="2" t="s">
        <v>2461</v>
      </c>
      <c r="Q318" s="2" t="s">
        <v>2462</v>
      </c>
      <c r="R318" s="2" t="s">
        <v>49</v>
      </c>
      <c r="S318" s="2" t="s">
        <v>218</v>
      </c>
      <c r="T318" s="2" t="s">
        <v>219</v>
      </c>
      <c r="U318" s="2" t="s">
        <v>2456</v>
      </c>
      <c r="V318" s="2" t="s">
        <v>110</v>
      </c>
      <c r="W318" s="2"/>
    </row>
    <row r="319">
      <c r="A319" s="2" t="n">
        <v>204</v>
      </c>
      <c r="B319" s="2" t="s">
        <v>11894</v>
      </c>
      <c r="C319" s="2" t="s">
        <v>2463</v>
      </c>
      <c r="D319" s="2" t="n">
        <v>235.04594136</v>
      </c>
      <c r="E319" s="2" t="n">
        <v>1.1491250776643</v>
      </c>
      <c r="F319" s="2" t="s">
        <v>11895</v>
      </c>
      <c r="G319" s="2" t="n">
        <v>2921</v>
      </c>
      <c r="H319" s="3" t="str">
        <f>HYPERLINK("http://funmeta.oebiotech.com/network/2921", "http://funmeta.oebiotech.com/network/2921")</f>
      </c>
      <c r="I319" s="2" t="s">
        <v>11896</v>
      </c>
      <c r="J319" s="2" t="s">
        <v>11897</v>
      </c>
      <c r="K319" s="2" t="s">
        <v>11898</v>
      </c>
      <c r="L319" s="2" t="s">
        <v>11899</v>
      </c>
      <c r="M319" s="2" t="s">
        <v>11900</v>
      </c>
      <c r="N319" s="2" t="s">
        <v>11901</v>
      </c>
      <c r="O319" s="2" t="s">
        <v>11902</v>
      </c>
      <c r="P319" s="2" t="s">
        <v>11903</v>
      </c>
      <c r="Q319" s="2" t="s">
        <v>11904</v>
      </c>
      <c r="R319" s="2" t="s">
        <v>49</v>
      </c>
      <c r="S319" s="2" t="s">
        <v>165</v>
      </c>
      <c r="T319" s="2" t="s">
        <v>179</v>
      </c>
      <c r="U319" s="2" t="s">
        <v>2464</v>
      </c>
      <c r="V319" s="2" t="s">
        <v>1019</v>
      </c>
      <c r="W319" s="2" t="s">
        <v>39</v>
      </c>
    </row>
    <row r="320">
      <c r="A320" s="2" t="n">
        <v>204</v>
      </c>
      <c r="B320" s="2" t="s">
        <v>11905</v>
      </c>
      <c r="C320" s="2" t="s">
        <v>2463</v>
      </c>
      <c r="D320" s="2" t="n">
        <v>235.04594136</v>
      </c>
      <c r="E320" s="2" t="n">
        <v>1.1491250776643</v>
      </c>
      <c r="F320" s="2" t="s">
        <v>11906</v>
      </c>
      <c r="G320" s="2" t="n">
        <v>2857</v>
      </c>
      <c r="H320" s="3" t="str">
        <f>HYPERLINK("http://funmeta.oebiotech.com/network/2857", "http://funmeta.oebiotech.com/network/2857")</f>
      </c>
      <c r="I320" s="2" t="s">
        <v>11907</v>
      </c>
      <c r="J320" s="2" t="s">
        <v>11908</v>
      </c>
      <c r="K320" s="2" t="s">
        <v>11909</v>
      </c>
      <c r="L320" s="2" t="s">
        <v>11910</v>
      </c>
      <c r="M320" s="2" t="s">
        <v>11911</v>
      </c>
      <c r="N320" s="2" t="s">
        <v>11912</v>
      </c>
      <c r="O320" s="2" t="s">
        <v>11913</v>
      </c>
      <c r="P320" s="2" t="s">
        <v>11914</v>
      </c>
      <c r="Q320" s="2" t="s">
        <v>11915</v>
      </c>
      <c r="R320" s="2" t="s">
        <v>49</v>
      </c>
      <c r="S320" s="2" t="s">
        <v>165</v>
      </c>
      <c r="T320" s="2" t="s">
        <v>179</v>
      </c>
      <c r="U320" s="2" t="s">
        <v>2464</v>
      </c>
      <c r="V320" s="2" t="s">
        <v>1019</v>
      </c>
      <c r="W320" s="2" t="s">
        <v>39</v>
      </c>
    </row>
    <row r="321">
      <c r="A321" s="2" t="n">
        <v>205</v>
      </c>
      <c r="B321" s="2" t="s">
        <v>11916</v>
      </c>
      <c r="C321" s="2" t="s">
        <v>2477</v>
      </c>
      <c r="D321" s="2" t="n">
        <v>235.169498789</v>
      </c>
      <c r="E321" s="2" t="n">
        <v>9.464350457656</v>
      </c>
      <c r="F321" s="2" t="s">
        <v>11917</v>
      </c>
      <c r="G321" s="2" t="n">
        <v>199747</v>
      </c>
      <c r="H321" s="3" t="str">
        <f>HYPERLINK("http://funmeta.oebiotech.com/network/199747", "http://funmeta.oebiotech.com/network/199747")</f>
      </c>
      <c r="I321" s="2" t="s">
        <v>11918</v>
      </c>
      <c r="J321" s="2"/>
      <c r="K321" s="2"/>
      <c r="L321" s="2"/>
      <c r="M321" s="2" t="s">
        <v>11919</v>
      </c>
      <c r="N321" s="2"/>
      <c r="O321" s="2"/>
      <c r="P321" s="2" t="s">
        <v>11920</v>
      </c>
      <c r="Q321" s="2" t="s">
        <v>11921</v>
      </c>
      <c r="R321" s="2" t="s">
        <v>36</v>
      </c>
      <c r="S321" s="2" t="s">
        <v>37</v>
      </c>
      <c r="T321" s="2" t="s">
        <v>679</v>
      </c>
      <c r="U321" s="2" t="s">
        <v>2478</v>
      </c>
      <c r="V321" s="2" t="s">
        <v>522</v>
      </c>
      <c r="W321" s="2"/>
    </row>
    <row r="322">
      <c r="A322" s="2" t="n">
        <v>205</v>
      </c>
      <c r="B322" s="2" t="s">
        <v>11922</v>
      </c>
      <c r="C322" s="2" t="s">
        <v>2477</v>
      </c>
      <c r="D322" s="2" t="n">
        <v>235.169498789</v>
      </c>
      <c r="E322" s="2" t="n">
        <v>9.464350457656</v>
      </c>
      <c r="F322" s="2" t="s">
        <v>11923</v>
      </c>
      <c r="G322" s="2" t="n">
        <v>202569</v>
      </c>
      <c r="H322" s="3" t="str">
        <f>HYPERLINK("http://funmeta.oebiotech.com/network/202569", "http://funmeta.oebiotech.com/network/202569")</f>
      </c>
      <c r="I322" s="2" t="s">
        <v>11924</v>
      </c>
      <c r="J322" s="2"/>
      <c r="K322" s="2"/>
      <c r="L322" s="2"/>
      <c r="M322" s="2"/>
      <c r="N322" s="2" t="s">
        <v>11925</v>
      </c>
      <c r="O322" s="2"/>
      <c r="P322" s="2" t="s">
        <v>11926</v>
      </c>
      <c r="Q322" s="2" t="s">
        <v>11927</v>
      </c>
      <c r="R322" s="2" t="s">
        <v>355</v>
      </c>
      <c r="S322" s="2" t="s">
        <v>5131</v>
      </c>
      <c r="T322" s="2" t="s">
        <v>5132</v>
      </c>
      <c r="U322" s="2" t="s">
        <v>2478</v>
      </c>
      <c r="V322" s="2" t="s">
        <v>522</v>
      </c>
      <c r="W322" s="2"/>
    </row>
    <row r="323">
      <c r="A323" s="2" t="n">
        <v>206</v>
      </c>
      <c r="B323" s="2" t="s">
        <v>11928</v>
      </c>
      <c r="C323" s="2" t="s">
        <v>2489</v>
      </c>
      <c r="D323" s="2" t="n">
        <v>236.099370798</v>
      </c>
      <c r="E323" s="2" t="n">
        <v>2.0071473776126</v>
      </c>
      <c r="F323" s="2" t="s">
        <v>2491</v>
      </c>
      <c r="G323" s="2" t="n">
        <v>209331</v>
      </c>
      <c r="H323" s="3" t="str">
        <f>HYPERLINK("http://funmeta.oebiotech.com/network/209331", "http://funmeta.oebiotech.com/network/209331")</f>
      </c>
      <c r="I323" s="2" t="s">
        <v>2493</v>
      </c>
      <c r="J323" s="2"/>
      <c r="K323" s="2"/>
      <c r="L323" s="2"/>
      <c r="M323" s="2"/>
      <c r="N323" s="2" t="s">
        <v>2494</v>
      </c>
      <c r="O323" s="2"/>
      <c r="P323" s="2" t="s">
        <v>2495</v>
      </c>
      <c r="Q323" s="2" t="s">
        <v>2496</v>
      </c>
      <c r="R323" s="2" t="s">
        <v>2497</v>
      </c>
      <c r="S323" s="2" t="s">
        <v>2498</v>
      </c>
      <c r="T323" s="2" t="s">
        <v>205</v>
      </c>
      <c r="U323" s="2" t="s">
        <v>2490</v>
      </c>
      <c r="V323" s="2" t="s">
        <v>522</v>
      </c>
      <c r="W323" s="2"/>
    </row>
    <row r="324">
      <c r="A324" s="2" t="n">
        <v>207</v>
      </c>
      <c r="B324" s="2" t="s">
        <v>11929</v>
      </c>
      <c r="C324" s="2" t="s">
        <v>2499</v>
      </c>
      <c r="D324" s="2" t="n">
        <v>237.059084696</v>
      </c>
      <c r="E324" s="2" t="n">
        <v>2.38604759119421</v>
      </c>
      <c r="F324" s="2" t="s">
        <v>2501</v>
      </c>
      <c r="G324" s="2" t="n">
        <v>60800</v>
      </c>
      <c r="H324" s="3" t="str">
        <f>HYPERLINK("http://funmeta.oebiotech.com/network/60800", "http://funmeta.oebiotech.com/network/60800")</f>
      </c>
      <c r="I324" s="2" t="s">
        <v>2503</v>
      </c>
      <c r="J324" s="2" t="s">
        <v>2504</v>
      </c>
      <c r="K324" s="2"/>
      <c r="L324" s="2"/>
      <c r="M324" s="2"/>
      <c r="N324" s="2" t="s">
        <v>2505</v>
      </c>
      <c r="O324" s="2" t="s">
        <v>2506</v>
      </c>
      <c r="P324" s="2" t="s">
        <v>2507</v>
      </c>
      <c r="Q324" s="2" t="s">
        <v>2508</v>
      </c>
      <c r="R324" s="2" t="s">
        <v>2509</v>
      </c>
      <c r="S324" s="2" t="s">
        <v>2510</v>
      </c>
      <c r="T324" s="2" t="s">
        <v>205</v>
      </c>
      <c r="U324" s="2" t="s">
        <v>2500</v>
      </c>
      <c r="V324" s="2" t="s">
        <v>24</v>
      </c>
      <c r="W324" s="2"/>
    </row>
    <row r="325">
      <c r="A325" s="2" t="n">
        <v>208</v>
      </c>
      <c r="B325" s="2" t="s">
        <v>11930</v>
      </c>
      <c r="C325" s="2" t="s">
        <v>2511</v>
      </c>
      <c r="D325" s="2" t="n">
        <v>237.087530632</v>
      </c>
      <c r="E325" s="2" t="n">
        <v>6.05282624866154</v>
      </c>
      <c r="F325" s="2" t="s">
        <v>2513</v>
      </c>
      <c r="G325" s="2" t="n">
        <v>51436</v>
      </c>
      <c r="H325" s="3" t="str">
        <f>HYPERLINK("http://funmeta.oebiotech.com/network/51436", "http://funmeta.oebiotech.com/network/51436")</f>
      </c>
      <c r="I325" s="2" t="s">
        <v>2515</v>
      </c>
      <c r="J325" s="2" t="s">
        <v>2516</v>
      </c>
      <c r="K325" s="2"/>
      <c r="L325" s="2" t="s">
        <v>2517</v>
      </c>
      <c r="M325" s="2" t="s">
        <v>2518</v>
      </c>
      <c r="N325" s="2" t="s">
        <v>2519</v>
      </c>
      <c r="O325" s="2"/>
      <c r="P325" s="2" t="s">
        <v>2520</v>
      </c>
      <c r="Q325" s="2" t="s">
        <v>2521</v>
      </c>
      <c r="R325" s="2" t="s">
        <v>64</v>
      </c>
      <c r="S325" s="2" t="s">
        <v>65</v>
      </c>
      <c r="T325" s="2" t="s">
        <v>66</v>
      </c>
      <c r="U325" s="2" t="s">
        <v>2512</v>
      </c>
      <c r="V325" s="2" t="s">
        <v>42</v>
      </c>
      <c r="W325" s="2" t="s">
        <v>39</v>
      </c>
    </row>
    <row r="326">
      <c r="A326" s="2" t="n">
        <v>209</v>
      </c>
      <c r="B326" s="2" t="s">
        <v>11931</v>
      </c>
      <c r="C326" s="2" t="s">
        <v>2522</v>
      </c>
      <c r="D326" s="2" t="n">
        <v>238.991421102</v>
      </c>
      <c r="E326" s="2" t="n">
        <v>4.27328440914633</v>
      </c>
      <c r="F326" s="2" t="s">
        <v>2524</v>
      </c>
      <c r="G326" s="2" t="n">
        <v>212353</v>
      </c>
      <c r="H326" s="3" t="str">
        <f>HYPERLINK("http://funmeta.oebiotech.com/network/212353", "http://funmeta.oebiotech.com/network/212353")</f>
      </c>
      <c r="I326" s="2" t="s">
        <v>2526</v>
      </c>
      <c r="J326" s="2"/>
      <c r="K326" s="2"/>
      <c r="L326" s="2"/>
      <c r="M326" s="2"/>
      <c r="N326" s="2"/>
      <c r="O326" s="2"/>
      <c r="P326" s="2" t="s">
        <v>2527</v>
      </c>
      <c r="Q326" s="2" t="s">
        <v>2528</v>
      </c>
      <c r="R326" s="2" t="s">
        <v>49</v>
      </c>
      <c r="S326" s="2" t="s">
        <v>1567</v>
      </c>
      <c r="T326" s="2" t="s">
        <v>2529</v>
      </c>
      <c r="U326" s="2" t="s">
        <v>2523</v>
      </c>
      <c r="V326" s="2" t="s">
        <v>110</v>
      </c>
      <c r="W326" s="2"/>
    </row>
    <row r="327">
      <c r="A327" s="2" t="n">
        <v>210</v>
      </c>
      <c r="B327" s="2" t="s">
        <v>11932</v>
      </c>
      <c r="C327" s="2" t="s">
        <v>2530</v>
      </c>
      <c r="D327" s="2" t="n">
        <v>240.051361089</v>
      </c>
      <c r="E327" s="2" t="n">
        <v>11.0341008508833</v>
      </c>
      <c r="F327" s="2" t="s">
        <v>11933</v>
      </c>
      <c r="G327" s="2" t="n">
        <v>61086</v>
      </c>
      <c r="H327" s="3" t="str">
        <f>HYPERLINK("http://funmeta.oebiotech.com/network/61086", "http://funmeta.oebiotech.com/network/61086")</f>
      </c>
      <c r="I327" s="2" t="s">
        <v>11934</v>
      </c>
      <c r="J327" s="2" t="s">
        <v>11935</v>
      </c>
      <c r="K327" s="2"/>
      <c r="L327" s="2"/>
      <c r="M327" s="2"/>
      <c r="N327" s="2" t="s">
        <v>11936</v>
      </c>
      <c r="O327" s="2" t="s">
        <v>11937</v>
      </c>
      <c r="P327" s="2" t="s">
        <v>11938</v>
      </c>
      <c r="Q327" s="2" t="s">
        <v>11939</v>
      </c>
      <c r="R327" s="2" t="s">
        <v>355</v>
      </c>
      <c r="S327" s="2" t="s">
        <v>11112</v>
      </c>
      <c r="T327" s="2" t="s">
        <v>11113</v>
      </c>
      <c r="U327" s="2" t="s">
        <v>2531</v>
      </c>
      <c r="V327" s="2" t="s">
        <v>110</v>
      </c>
      <c r="W327" s="2"/>
    </row>
    <row r="328">
      <c r="A328" s="2" t="n">
        <v>210</v>
      </c>
      <c r="B328" s="2" t="s">
        <v>11940</v>
      </c>
      <c r="C328" s="2" t="s">
        <v>2530</v>
      </c>
      <c r="D328" s="2" t="n">
        <v>240.051361089</v>
      </c>
      <c r="E328" s="2" t="n">
        <v>11.0341008508833</v>
      </c>
      <c r="F328" s="2" t="s">
        <v>11941</v>
      </c>
      <c r="G328" s="2" t="n">
        <v>61087</v>
      </c>
      <c r="H328" s="3" t="str">
        <f>HYPERLINK("http://funmeta.oebiotech.com/network/61087", "http://funmeta.oebiotech.com/network/61087")</f>
      </c>
      <c r="I328" s="2" t="s">
        <v>11942</v>
      </c>
      <c r="J328" s="2" t="s">
        <v>11943</v>
      </c>
      <c r="K328" s="2"/>
      <c r="L328" s="2"/>
      <c r="M328" s="2"/>
      <c r="N328" s="2" t="s">
        <v>11944</v>
      </c>
      <c r="O328" s="2" t="s">
        <v>11945</v>
      </c>
      <c r="P328" s="2" t="s">
        <v>11946</v>
      </c>
      <c r="Q328" s="2" t="s">
        <v>11947</v>
      </c>
      <c r="R328" s="2" t="s">
        <v>355</v>
      </c>
      <c r="S328" s="2" t="s">
        <v>11112</v>
      </c>
      <c r="T328" s="2" t="s">
        <v>11113</v>
      </c>
      <c r="U328" s="2" t="s">
        <v>2531</v>
      </c>
      <c r="V328" s="2" t="s">
        <v>110</v>
      </c>
      <c r="W328" s="2"/>
    </row>
    <row r="329">
      <c r="A329" s="2" t="n">
        <v>211</v>
      </c>
      <c r="B329" s="2" t="s">
        <v>11948</v>
      </c>
      <c r="C329" s="2" t="s">
        <v>2542</v>
      </c>
      <c r="D329" s="2" t="n">
        <v>241.01187784</v>
      </c>
      <c r="E329" s="2" t="n">
        <v>1.64488894724865</v>
      </c>
      <c r="F329" s="2" t="s">
        <v>2544</v>
      </c>
      <c r="G329" s="2" t="n">
        <v>47407</v>
      </c>
      <c r="H329" s="3" t="str">
        <f>HYPERLINK("http://funmeta.oebiotech.com/network/47407", "http://funmeta.oebiotech.com/network/47407")</f>
      </c>
      <c r="I329" s="2" t="s">
        <v>2546</v>
      </c>
      <c r="J329" s="2" t="s">
        <v>2547</v>
      </c>
      <c r="K329" s="2"/>
      <c r="L329" s="2" t="s">
        <v>2548</v>
      </c>
      <c r="M329" s="2" t="s">
        <v>2549</v>
      </c>
      <c r="N329" s="2" t="s">
        <v>2550</v>
      </c>
      <c r="O329" s="2" t="s">
        <v>2551</v>
      </c>
      <c r="P329" s="2" t="s">
        <v>2552</v>
      </c>
      <c r="Q329" s="2" t="s">
        <v>2553</v>
      </c>
      <c r="R329" s="2" t="s">
        <v>49</v>
      </c>
      <c r="S329" s="2" t="s">
        <v>771</v>
      </c>
      <c r="T329" s="2" t="s">
        <v>205</v>
      </c>
      <c r="U329" s="2" t="s">
        <v>2543</v>
      </c>
      <c r="V329" s="2" t="s">
        <v>110</v>
      </c>
      <c r="W329" s="2" t="s">
        <v>39</v>
      </c>
    </row>
    <row r="330">
      <c r="A330" s="2" t="n">
        <v>212</v>
      </c>
      <c r="B330" s="2" t="s">
        <v>11949</v>
      </c>
      <c r="C330" s="2" t="s">
        <v>2554</v>
      </c>
      <c r="D330" s="2" t="n">
        <v>241.035372366</v>
      </c>
      <c r="E330" s="2" t="n">
        <v>2.50532673319837</v>
      </c>
      <c r="F330" s="2" t="s">
        <v>11950</v>
      </c>
      <c r="G330" s="2" t="n">
        <v>81847</v>
      </c>
      <c r="H330" s="3" t="str">
        <f>HYPERLINK("http://funmeta.oebiotech.com/network/81847", "http://funmeta.oebiotech.com/network/81847")</f>
      </c>
      <c r="I330" s="2" t="s">
        <v>11951</v>
      </c>
      <c r="J330" s="2"/>
      <c r="K330" s="2"/>
      <c r="L330" s="2"/>
      <c r="M330" s="2" t="s">
        <v>11952</v>
      </c>
      <c r="N330" s="2" t="s">
        <v>11953</v>
      </c>
      <c r="O330" s="2"/>
      <c r="P330" s="2" t="s">
        <v>11954</v>
      </c>
      <c r="Q330" s="2" t="s">
        <v>11955</v>
      </c>
      <c r="R330" s="2" t="s">
        <v>502</v>
      </c>
      <c r="S330" s="2" t="s">
        <v>11956</v>
      </c>
      <c r="T330" s="2" t="s">
        <v>205</v>
      </c>
      <c r="U330" s="2" t="s">
        <v>2555</v>
      </c>
      <c r="V330" s="2" t="s">
        <v>24</v>
      </c>
      <c r="W330" s="2"/>
    </row>
    <row r="331">
      <c r="A331" s="2" t="n">
        <v>212</v>
      </c>
      <c r="B331" s="2" t="s">
        <v>11957</v>
      </c>
      <c r="C331" s="2" t="s">
        <v>2554</v>
      </c>
      <c r="D331" s="2" t="n">
        <v>241.035372366</v>
      </c>
      <c r="E331" s="2" t="n">
        <v>2.50532673319837</v>
      </c>
      <c r="F331" s="2" t="s">
        <v>11958</v>
      </c>
      <c r="G331" s="2" t="n">
        <v>55539</v>
      </c>
      <c r="H331" s="3" t="str">
        <f>HYPERLINK("http://funmeta.oebiotech.com/network/55539", "http://funmeta.oebiotech.com/network/55539")</f>
      </c>
      <c r="I331" s="2" t="s">
        <v>11959</v>
      </c>
      <c r="J331" s="2" t="s">
        <v>11960</v>
      </c>
      <c r="K331" s="2"/>
      <c r="L331" s="2"/>
      <c r="M331" s="2"/>
      <c r="N331" s="2" t="s">
        <v>11961</v>
      </c>
      <c r="O331" s="2" t="s">
        <v>11962</v>
      </c>
      <c r="P331" s="2" t="s">
        <v>11963</v>
      </c>
      <c r="Q331" s="2" t="s">
        <v>11964</v>
      </c>
      <c r="R331" s="2" t="s">
        <v>502</v>
      </c>
      <c r="S331" s="2" t="s">
        <v>503</v>
      </c>
      <c r="T331" s="2" t="s">
        <v>2174</v>
      </c>
      <c r="U331" s="2" t="s">
        <v>2555</v>
      </c>
      <c r="V331" s="2" t="s">
        <v>24</v>
      </c>
      <c r="W331" s="2"/>
    </row>
    <row r="332">
      <c r="A332" s="2" t="n">
        <v>213</v>
      </c>
      <c r="B332" s="2" t="s">
        <v>11965</v>
      </c>
      <c r="C332" s="2" t="s">
        <v>2567</v>
      </c>
      <c r="D332" s="2" t="n">
        <v>241.059496734</v>
      </c>
      <c r="E332" s="2" t="n">
        <v>3.01053375751695</v>
      </c>
      <c r="F332" s="2" t="s">
        <v>2569</v>
      </c>
      <c r="G332" s="2" t="n">
        <v>81706</v>
      </c>
      <c r="H332" s="3" t="str">
        <f>HYPERLINK("http://funmeta.oebiotech.com/network/81706", "http://funmeta.oebiotech.com/network/81706")</f>
      </c>
      <c r="I332" s="2" t="s">
        <v>2571</v>
      </c>
      <c r="J332" s="2" t="s">
        <v>2572</v>
      </c>
      <c r="K332" s="2"/>
      <c r="L332" s="2" t="s">
        <v>2573</v>
      </c>
      <c r="M332" s="2" t="s">
        <v>2574</v>
      </c>
      <c r="N332" s="2" t="s">
        <v>2575</v>
      </c>
      <c r="O332" s="2"/>
      <c r="P332" s="2" t="s">
        <v>2576</v>
      </c>
      <c r="Q332" s="2" t="s">
        <v>2577</v>
      </c>
      <c r="R332" s="2" t="s">
        <v>49</v>
      </c>
      <c r="S332" s="2" t="s">
        <v>165</v>
      </c>
      <c r="T332" s="2" t="s">
        <v>166</v>
      </c>
      <c r="U332" s="2" t="s">
        <v>2568</v>
      </c>
      <c r="V332" s="2" t="s">
        <v>110</v>
      </c>
      <c r="W332" s="2" t="s">
        <v>39</v>
      </c>
    </row>
    <row r="333">
      <c r="A333" s="2" t="n">
        <v>214</v>
      </c>
      <c r="B333" s="2" t="s">
        <v>11966</v>
      </c>
      <c r="C333" s="2" t="s">
        <v>2578</v>
      </c>
      <c r="D333" s="2" t="n">
        <v>241.082995568</v>
      </c>
      <c r="E333" s="2" t="n">
        <v>1.92233998915151</v>
      </c>
      <c r="F333" s="2" t="s">
        <v>2580</v>
      </c>
      <c r="G333" s="2" t="n">
        <v>46969</v>
      </c>
      <c r="H333" s="3" t="str">
        <f>HYPERLINK("http://funmeta.oebiotech.com/network/46969", "http://funmeta.oebiotech.com/network/46969")</f>
      </c>
      <c r="I333" s="2" t="s">
        <v>2582</v>
      </c>
      <c r="J333" s="2" t="s">
        <v>2583</v>
      </c>
      <c r="K333" s="2"/>
      <c r="L333" s="2" t="s">
        <v>2584</v>
      </c>
      <c r="M333" s="2" t="s">
        <v>2585</v>
      </c>
      <c r="N333" s="2" t="s">
        <v>2586</v>
      </c>
      <c r="O333" s="2" t="s">
        <v>2587</v>
      </c>
      <c r="P333" s="2" t="s">
        <v>2588</v>
      </c>
      <c r="Q333" s="2" t="s">
        <v>2589</v>
      </c>
      <c r="R333" s="2" t="s">
        <v>2590</v>
      </c>
      <c r="S333" s="2" t="s">
        <v>2591</v>
      </c>
      <c r="T333" s="2" t="s">
        <v>2592</v>
      </c>
      <c r="U333" s="2" t="s">
        <v>2579</v>
      </c>
      <c r="V333" s="2" t="s">
        <v>110</v>
      </c>
      <c r="W333" s="2" t="s">
        <v>39</v>
      </c>
    </row>
    <row r="334">
      <c r="A334" s="2" t="n">
        <v>215</v>
      </c>
      <c r="B334" s="2" t="s">
        <v>11967</v>
      </c>
      <c r="C334" s="2" t="s">
        <v>2593</v>
      </c>
      <c r="D334" s="2" t="n">
        <v>242.018355893</v>
      </c>
      <c r="E334" s="2" t="n">
        <v>2.2989402467059</v>
      </c>
      <c r="F334" s="2" t="s">
        <v>2595</v>
      </c>
      <c r="G334" s="2" t="n">
        <v>48160</v>
      </c>
      <c r="H334" s="3" t="str">
        <f>HYPERLINK("http://funmeta.oebiotech.com/network/48160", "http://funmeta.oebiotech.com/network/48160")</f>
      </c>
      <c r="I334" s="2" t="s">
        <v>2597</v>
      </c>
      <c r="J334" s="2" t="s">
        <v>2598</v>
      </c>
      <c r="K334" s="2"/>
      <c r="L334" s="2" t="s">
        <v>2599</v>
      </c>
      <c r="M334" s="2" t="s">
        <v>2600</v>
      </c>
      <c r="N334" s="2" t="s">
        <v>2601</v>
      </c>
      <c r="O334" s="2" t="s">
        <v>2602</v>
      </c>
      <c r="P334" s="2" t="s">
        <v>2603</v>
      </c>
      <c r="Q334" s="2" t="s">
        <v>2604</v>
      </c>
      <c r="R334" s="2" t="s">
        <v>49</v>
      </c>
      <c r="S334" s="2" t="s">
        <v>165</v>
      </c>
      <c r="T334" s="2" t="s">
        <v>166</v>
      </c>
      <c r="U334" s="2" t="s">
        <v>2594</v>
      </c>
      <c r="V334" s="2" t="s">
        <v>24</v>
      </c>
      <c r="W334" s="2" t="s">
        <v>39</v>
      </c>
    </row>
    <row r="335">
      <c r="A335" s="2" t="n">
        <v>216</v>
      </c>
      <c r="B335" s="2" t="s">
        <v>11968</v>
      </c>
      <c r="C335" s="2" t="s">
        <v>2605</v>
      </c>
      <c r="D335" s="2" t="n">
        <v>242.048702761</v>
      </c>
      <c r="E335" s="2" t="n">
        <v>10.8847274366703</v>
      </c>
      <c r="F335" s="2" t="s">
        <v>2607</v>
      </c>
      <c r="G335" s="2" t="n">
        <v>211515</v>
      </c>
      <c r="H335" s="3" t="str">
        <f>HYPERLINK("http://funmeta.oebiotech.com/network/211515", "http://funmeta.oebiotech.com/network/211515")</f>
      </c>
      <c r="I335" s="2" t="s">
        <v>2609</v>
      </c>
      <c r="J335" s="2"/>
      <c r="K335" s="2"/>
      <c r="L335" s="2"/>
      <c r="M335" s="2"/>
      <c r="N335" s="2" t="s">
        <v>2610</v>
      </c>
      <c r="O335" s="2"/>
      <c r="P335" s="2" t="s">
        <v>2611</v>
      </c>
      <c r="Q335" s="2" t="s">
        <v>2612</v>
      </c>
      <c r="R335" s="2" t="s">
        <v>502</v>
      </c>
      <c r="S335" s="2" t="s">
        <v>503</v>
      </c>
      <c r="T335" s="2" t="s">
        <v>2613</v>
      </c>
      <c r="U335" s="2" t="s">
        <v>2606</v>
      </c>
      <c r="V335" s="2" t="s">
        <v>42</v>
      </c>
      <c r="W335" s="2"/>
    </row>
    <row r="336">
      <c r="A336" s="2" t="n">
        <v>217</v>
      </c>
      <c r="B336" s="2" t="s">
        <v>11969</v>
      </c>
      <c r="C336" s="2" t="s">
        <v>2614</v>
      </c>
      <c r="D336" s="2" t="n">
        <v>242.077694215</v>
      </c>
      <c r="E336" s="2" t="n">
        <v>0.0994160691068345</v>
      </c>
      <c r="F336" s="2" t="s">
        <v>11970</v>
      </c>
      <c r="G336" s="2" t="n">
        <v>53769</v>
      </c>
      <c r="H336" s="3" t="str">
        <f>HYPERLINK("http://funmeta.oebiotech.com/network/53769", "http://funmeta.oebiotech.com/network/53769")</f>
      </c>
      <c r="I336" s="2" t="s">
        <v>11971</v>
      </c>
      <c r="J336" s="2" t="s">
        <v>11972</v>
      </c>
      <c r="K336" s="2"/>
      <c r="L336" s="2"/>
      <c r="M336" s="2" t="s">
        <v>11973</v>
      </c>
      <c r="N336" s="2" t="s">
        <v>11974</v>
      </c>
      <c r="O336" s="2" t="s">
        <v>11975</v>
      </c>
      <c r="P336" s="2" t="s">
        <v>11976</v>
      </c>
      <c r="Q336" s="2" t="s">
        <v>11977</v>
      </c>
      <c r="R336" s="2" t="s">
        <v>49</v>
      </c>
      <c r="S336" s="2" t="s">
        <v>165</v>
      </c>
      <c r="T336" s="2" t="s">
        <v>166</v>
      </c>
      <c r="U336" s="2" t="s">
        <v>2615</v>
      </c>
      <c r="V336" s="2" t="s">
        <v>42</v>
      </c>
      <c r="W336" s="2"/>
    </row>
    <row r="337">
      <c r="A337" s="2" t="n">
        <v>217</v>
      </c>
      <c r="B337" s="2" t="s">
        <v>11978</v>
      </c>
      <c r="C337" s="2" t="s">
        <v>2614</v>
      </c>
      <c r="D337" s="2" t="n">
        <v>242.077694227</v>
      </c>
      <c r="E337" s="2" t="n">
        <v>0.0994160691068345</v>
      </c>
      <c r="F337" s="2" t="s">
        <v>11979</v>
      </c>
      <c r="G337" s="2" t="n">
        <v>53790</v>
      </c>
      <c r="H337" s="3" t="str">
        <f>HYPERLINK("http://funmeta.oebiotech.com/network/53790", "http://funmeta.oebiotech.com/network/53790")</f>
      </c>
      <c r="I337" s="2" t="s">
        <v>11980</v>
      </c>
      <c r="J337" s="2"/>
      <c r="K337" s="2"/>
      <c r="L337" s="2"/>
      <c r="M337" s="2"/>
      <c r="N337" s="2" t="s">
        <v>11981</v>
      </c>
      <c r="O337" s="2"/>
      <c r="P337" s="2" t="s">
        <v>11982</v>
      </c>
      <c r="Q337" s="2" t="s">
        <v>11983</v>
      </c>
      <c r="R337" s="2" t="s">
        <v>49</v>
      </c>
      <c r="S337" s="2" t="s">
        <v>165</v>
      </c>
      <c r="T337" s="2" t="s">
        <v>166</v>
      </c>
      <c r="U337" s="2" t="s">
        <v>2615</v>
      </c>
      <c r="V337" s="2" t="s">
        <v>42</v>
      </c>
      <c r="W337" s="2"/>
    </row>
    <row r="338">
      <c r="A338" s="2" t="n">
        <v>217</v>
      </c>
      <c r="B338" s="2" t="s">
        <v>11984</v>
      </c>
      <c r="C338" s="2" t="s">
        <v>2614</v>
      </c>
      <c r="D338" s="2" t="n">
        <v>242.077694227</v>
      </c>
      <c r="E338" s="2" t="n">
        <v>0.0994160691068345</v>
      </c>
      <c r="F338" s="2" t="s">
        <v>11985</v>
      </c>
      <c r="G338" s="2" t="n">
        <v>53804</v>
      </c>
      <c r="H338" s="3" t="str">
        <f>HYPERLINK("http://funmeta.oebiotech.com/network/53804", "http://funmeta.oebiotech.com/network/53804")</f>
      </c>
      <c r="I338" s="2" t="s">
        <v>11986</v>
      </c>
      <c r="J338" s="2" t="s">
        <v>11987</v>
      </c>
      <c r="K338" s="2"/>
      <c r="L338" s="2"/>
      <c r="M338" s="2"/>
      <c r="N338" s="2" t="s">
        <v>11988</v>
      </c>
      <c r="O338" s="2"/>
      <c r="P338" s="2" t="s">
        <v>11989</v>
      </c>
      <c r="Q338" s="2" t="s">
        <v>11990</v>
      </c>
      <c r="R338" s="2" t="s">
        <v>49</v>
      </c>
      <c r="S338" s="2" t="s">
        <v>165</v>
      </c>
      <c r="T338" s="2" t="s">
        <v>166</v>
      </c>
      <c r="U338" s="2" t="s">
        <v>2615</v>
      </c>
      <c r="V338" s="2" t="s">
        <v>42</v>
      </c>
      <c r="W338" s="2"/>
    </row>
    <row r="339">
      <c r="A339" s="2" t="n">
        <v>218</v>
      </c>
      <c r="B339" s="2" t="s">
        <v>11991</v>
      </c>
      <c r="C339" s="2" t="s">
        <v>2625</v>
      </c>
      <c r="D339" s="2" t="n">
        <v>243.033268184</v>
      </c>
      <c r="E339" s="2" t="n">
        <v>3.45460667716372</v>
      </c>
      <c r="F339" s="2" t="s">
        <v>2627</v>
      </c>
      <c r="G339" s="2" t="n">
        <v>82000</v>
      </c>
      <c r="H339" s="3" t="str">
        <f>HYPERLINK("http://funmeta.oebiotech.com/network/82000", "http://funmeta.oebiotech.com/network/82000")</f>
      </c>
      <c r="I339" s="2" t="s">
        <v>2629</v>
      </c>
      <c r="J339" s="2"/>
      <c r="K339" s="2"/>
      <c r="L339" s="2"/>
      <c r="M339" s="2" t="s">
        <v>2630</v>
      </c>
      <c r="N339" s="2" t="s">
        <v>2631</v>
      </c>
      <c r="O339" s="2"/>
      <c r="P339" s="2" t="s">
        <v>2632</v>
      </c>
      <c r="Q339" s="2" t="s">
        <v>2633</v>
      </c>
      <c r="R339" s="2" t="s">
        <v>502</v>
      </c>
      <c r="S339" s="2" t="s">
        <v>503</v>
      </c>
      <c r="T339" s="2" t="s">
        <v>205</v>
      </c>
      <c r="U339" s="2" t="s">
        <v>2626</v>
      </c>
      <c r="V339" s="2" t="s">
        <v>110</v>
      </c>
      <c r="W339" s="2"/>
    </row>
    <row r="340">
      <c r="A340" s="2" t="n">
        <v>219</v>
      </c>
      <c r="B340" s="2" t="s">
        <v>11992</v>
      </c>
      <c r="C340" s="2" t="s">
        <v>2634</v>
      </c>
      <c r="D340" s="2" t="n">
        <v>243.064090235</v>
      </c>
      <c r="E340" s="2" t="n">
        <v>5.41899626818851</v>
      </c>
      <c r="F340" s="2" t="s">
        <v>2636</v>
      </c>
      <c r="G340" s="2" t="n">
        <v>54832</v>
      </c>
      <c r="H340" s="3" t="str">
        <f>HYPERLINK("http://funmeta.oebiotech.com/network/54832", "http://funmeta.oebiotech.com/network/54832")</f>
      </c>
      <c r="I340" s="2" t="s">
        <v>2638</v>
      </c>
      <c r="J340" s="2"/>
      <c r="K340" s="2"/>
      <c r="L340" s="2"/>
      <c r="M340" s="2"/>
      <c r="N340" s="2" t="s">
        <v>2639</v>
      </c>
      <c r="O340" s="2" t="s">
        <v>2640</v>
      </c>
      <c r="P340" s="2" t="s">
        <v>2641</v>
      </c>
      <c r="Q340" s="2" t="s">
        <v>2642</v>
      </c>
      <c r="R340" s="2" t="s">
        <v>64</v>
      </c>
      <c r="S340" s="2" t="s">
        <v>65</v>
      </c>
      <c r="T340" s="2" t="s">
        <v>66</v>
      </c>
      <c r="U340" s="2" t="s">
        <v>2635</v>
      </c>
      <c r="V340" s="2" t="s">
        <v>522</v>
      </c>
      <c r="W340" s="2"/>
    </row>
    <row r="341">
      <c r="A341" s="2" t="n">
        <v>220</v>
      </c>
      <c r="B341" s="2" t="s">
        <v>11993</v>
      </c>
      <c r="C341" s="2" t="s">
        <v>2643</v>
      </c>
      <c r="D341" s="2" t="n">
        <v>244.033934934</v>
      </c>
      <c r="E341" s="2" t="n">
        <v>6.67449896568427</v>
      </c>
      <c r="F341" s="2" t="s">
        <v>2645</v>
      </c>
      <c r="G341" s="2" t="n">
        <v>211648</v>
      </c>
      <c r="H341" s="3" t="str">
        <f>HYPERLINK("http://funmeta.oebiotech.com/network/211648", "http://funmeta.oebiotech.com/network/211648")</f>
      </c>
      <c r="I341" s="2" t="s">
        <v>2647</v>
      </c>
      <c r="J341" s="2"/>
      <c r="K341" s="2"/>
      <c r="L341" s="2"/>
      <c r="M341" s="2"/>
      <c r="N341" s="2" t="s">
        <v>2648</v>
      </c>
      <c r="O341" s="2"/>
      <c r="P341" s="2" t="s">
        <v>2649</v>
      </c>
      <c r="Q341" s="2" t="s">
        <v>2650</v>
      </c>
      <c r="R341" s="2" t="s">
        <v>502</v>
      </c>
      <c r="S341" s="2" t="s">
        <v>503</v>
      </c>
      <c r="T341" s="2" t="s">
        <v>2651</v>
      </c>
      <c r="U341" s="2" t="s">
        <v>2644</v>
      </c>
      <c r="V341" s="2" t="s">
        <v>110</v>
      </c>
      <c r="W341" s="2"/>
    </row>
    <row r="342">
      <c r="A342" s="2" t="n">
        <v>221</v>
      </c>
      <c r="B342" s="2" t="s">
        <v>11994</v>
      </c>
      <c r="C342" s="2" t="s">
        <v>2652</v>
      </c>
      <c r="D342" s="2" t="n">
        <v>244.062670349</v>
      </c>
      <c r="E342" s="2" t="n">
        <v>2.44695481134644</v>
      </c>
      <c r="F342" s="2" t="s">
        <v>2654</v>
      </c>
      <c r="G342" s="2" t="n">
        <v>200137</v>
      </c>
      <c r="H342" s="3" t="str">
        <f>HYPERLINK("http://funmeta.oebiotech.com/network/200137", "http://funmeta.oebiotech.com/network/200137")</f>
      </c>
      <c r="I342" s="2" t="s">
        <v>2656</v>
      </c>
      <c r="J342" s="2"/>
      <c r="K342" s="2"/>
      <c r="L342" s="2"/>
      <c r="M342" s="2"/>
      <c r="N342" s="2" t="s">
        <v>2657</v>
      </c>
      <c r="O342" s="2"/>
      <c r="P342" s="2" t="s">
        <v>2658</v>
      </c>
      <c r="Q342" s="2" t="s">
        <v>2659</v>
      </c>
      <c r="R342" s="2" t="s">
        <v>49</v>
      </c>
      <c r="S342" s="2" t="s">
        <v>165</v>
      </c>
      <c r="T342" s="2" t="s">
        <v>166</v>
      </c>
      <c r="U342" s="2" t="s">
        <v>2653</v>
      </c>
      <c r="V342" s="2" t="s">
        <v>24</v>
      </c>
      <c r="W342" s="2"/>
    </row>
    <row r="343">
      <c r="A343" s="2" t="n">
        <v>222</v>
      </c>
      <c r="B343" s="2" t="s">
        <v>11995</v>
      </c>
      <c r="C343" s="2" t="s">
        <v>2660</v>
      </c>
      <c r="D343" s="2" t="n">
        <v>244.902396149</v>
      </c>
      <c r="E343" s="2" t="n">
        <v>9.5190227131972</v>
      </c>
      <c r="F343" s="2" t="s">
        <v>2662</v>
      </c>
      <c r="G343" s="2" t="n">
        <v>208722</v>
      </c>
      <c r="H343" s="3" t="str">
        <f>HYPERLINK("http://funmeta.oebiotech.com/network/208722", "http://funmeta.oebiotech.com/network/208722")</f>
      </c>
      <c r="I343" s="2" t="s">
        <v>2664</v>
      </c>
      <c r="J343" s="2"/>
      <c r="K343" s="2"/>
      <c r="L343" s="2"/>
      <c r="M343" s="2"/>
      <c r="N343" s="2" t="s">
        <v>2665</v>
      </c>
      <c r="O343" s="2"/>
      <c r="P343" s="2" t="s">
        <v>2666</v>
      </c>
      <c r="Q343" s="2" t="s">
        <v>2667</v>
      </c>
      <c r="R343" s="2" t="s">
        <v>49</v>
      </c>
      <c r="S343" s="2" t="s">
        <v>771</v>
      </c>
      <c r="T343" s="2" t="s">
        <v>772</v>
      </c>
      <c r="U343" s="2" t="s">
        <v>2661</v>
      </c>
      <c r="V343" s="2" t="s">
        <v>250</v>
      </c>
      <c r="W343" s="2"/>
    </row>
    <row r="344">
      <c r="A344" s="2" t="n">
        <v>223</v>
      </c>
      <c r="B344" s="2" t="s">
        <v>11996</v>
      </c>
      <c r="C344" s="2" t="s">
        <v>2668</v>
      </c>
      <c r="D344" s="2" t="n">
        <v>247.048932048</v>
      </c>
      <c r="E344" s="2" t="n">
        <v>1.63599396535688</v>
      </c>
      <c r="F344" s="2" t="s">
        <v>2670</v>
      </c>
      <c r="G344" s="2" t="n">
        <v>47651</v>
      </c>
      <c r="H344" s="3" t="str">
        <f>HYPERLINK("http://funmeta.oebiotech.com/network/47651", "http://funmeta.oebiotech.com/network/47651")</f>
      </c>
      <c r="I344" s="2" t="s">
        <v>2672</v>
      </c>
      <c r="J344" s="2" t="s">
        <v>2673</v>
      </c>
      <c r="K344" s="2"/>
      <c r="L344" s="2" t="s">
        <v>2674</v>
      </c>
      <c r="M344" s="2" t="s">
        <v>2675</v>
      </c>
      <c r="N344" s="2" t="s">
        <v>2676</v>
      </c>
      <c r="O344" s="2" t="s">
        <v>2677</v>
      </c>
      <c r="P344" s="2" t="s">
        <v>2678</v>
      </c>
      <c r="Q344" s="2" t="s">
        <v>2679</v>
      </c>
      <c r="R344" s="2" t="s">
        <v>355</v>
      </c>
      <c r="S344" s="2" t="s">
        <v>1316</v>
      </c>
      <c r="T344" s="2" t="s">
        <v>2680</v>
      </c>
      <c r="U344" s="2" t="s">
        <v>2669</v>
      </c>
      <c r="V344" s="2" t="s">
        <v>110</v>
      </c>
      <c r="W344" s="2" t="s">
        <v>39</v>
      </c>
    </row>
    <row r="345">
      <c r="A345" s="2" t="n">
        <v>224</v>
      </c>
      <c r="B345" s="2" t="s">
        <v>11997</v>
      </c>
      <c r="C345" s="2" t="s">
        <v>2681</v>
      </c>
      <c r="D345" s="2" t="n">
        <v>247.987770074</v>
      </c>
      <c r="E345" s="2" t="n">
        <v>9.48935039002585</v>
      </c>
      <c r="F345" s="2" t="s">
        <v>2683</v>
      </c>
      <c r="G345" s="2" t="n">
        <v>210424</v>
      </c>
      <c r="H345" s="3" t="str">
        <f>HYPERLINK("http://funmeta.oebiotech.com/network/210424", "http://funmeta.oebiotech.com/network/210424")</f>
      </c>
      <c r="I345" s="2" t="s">
        <v>2685</v>
      </c>
      <c r="J345" s="2"/>
      <c r="K345" s="2"/>
      <c r="L345" s="2"/>
      <c r="M345" s="2"/>
      <c r="N345" s="2"/>
      <c r="O345" s="2"/>
      <c r="P345" s="2" t="s">
        <v>2686</v>
      </c>
      <c r="Q345" s="2" t="s">
        <v>2687</v>
      </c>
      <c r="R345" s="2" t="s">
        <v>49</v>
      </c>
      <c r="S345" s="2" t="s">
        <v>782</v>
      </c>
      <c r="T345" s="2" t="s">
        <v>2688</v>
      </c>
      <c r="U345" s="2" t="s">
        <v>2682</v>
      </c>
      <c r="V345" s="2" t="s">
        <v>42</v>
      </c>
      <c r="W345" s="2"/>
    </row>
    <row r="346">
      <c r="A346" s="2" t="n">
        <v>225</v>
      </c>
      <c r="B346" s="2" t="s">
        <v>11998</v>
      </c>
      <c r="C346" s="2" t="s">
        <v>2689</v>
      </c>
      <c r="D346" s="2" t="n">
        <v>248.917783825</v>
      </c>
      <c r="E346" s="2" t="n">
        <v>0.2407668506094</v>
      </c>
      <c r="F346" s="2" t="s">
        <v>2691</v>
      </c>
      <c r="G346" s="2" t="n">
        <v>212365</v>
      </c>
      <c r="H346" s="3" t="str">
        <f>HYPERLINK("http://funmeta.oebiotech.com/network/212365", "http://funmeta.oebiotech.com/network/212365")</f>
      </c>
      <c r="I346" s="2" t="s">
        <v>2693</v>
      </c>
      <c r="J346" s="2"/>
      <c r="K346" s="2"/>
      <c r="L346" s="2"/>
      <c r="M346" s="2" t="s">
        <v>2694</v>
      </c>
      <c r="N346" s="2"/>
      <c r="O346" s="2"/>
      <c r="P346" s="2" t="s">
        <v>2695</v>
      </c>
      <c r="Q346" s="2" t="s">
        <v>2696</v>
      </c>
      <c r="R346" s="2" t="s">
        <v>355</v>
      </c>
      <c r="S346" s="2" t="s">
        <v>2697</v>
      </c>
      <c r="T346" s="2" t="s">
        <v>2698</v>
      </c>
      <c r="U346" s="2" t="s">
        <v>2690</v>
      </c>
      <c r="V346" s="2" t="s">
        <v>24</v>
      </c>
      <c r="W346" s="2"/>
    </row>
    <row r="347">
      <c r="A347" s="2" t="n">
        <v>226</v>
      </c>
      <c r="B347" s="2" t="s">
        <v>11999</v>
      </c>
      <c r="C347" s="2" t="s">
        <v>2699</v>
      </c>
      <c r="D347" s="2" t="n">
        <v>248.978938565</v>
      </c>
      <c r="E347" s="2" t="n">
        <v>4.29940230697988</v>
      </c>
      <c r="F347" s="2" t="s">
        <v>2701</v>
      </c>
      <c r="G347" s="2" t="n">
        <v>204216</v>
      </c>
      <c r="H347" s="3" t="str">
        <f>HYPERLINK("http://funmeta.oebiotech.com/network/204216", "http://funmeta.oebiotech.com/network/204216")</f>
      </c>
      <c r="I347" s="2" t="s">
        <v>2703</v>
      </c>
      <c r="J347" s="2"/>
      <c r="K347" s="2"/>
      <c r="L347" s="2"/>
      <c r="M347" s="2"/>
      <c r="N347" s="2" t="s">
        <v>2704</v>
      </c>
      <c r="O347" s="2"/>
      <c r="P347" s="2" t="s">
        <v>2705</v>
      </c>
      <c r="Q347" s="2" t="s">
        <v>2706</v>
      </c>
      <c r="R347" s="2" t="s">
        <v>36</v>
      </c>
      <c r="S347" s="2" t="s">
        <v>37</v>
      </c>
      <c r="T347" s="2" t="s">
        <v>679</v>
      </c>
      <c r="U347" s="2" t="s">
        <v>2700</v>
      </c>
      <c r="V347" s="2" t="s">
        <v>522</v>
      </c>
      <c r="W347" s="2"/>
    </row>
    <row r="348">
      <c r="A348" s="2" t="n">
        <v>227</v>
      </c>
      <c r="B348" s="2" t="s">
        <v>12000</v>
      </c>
      <c r="C348" s="2" t="s">
        <v>2707</v>
      </c>
      <c r="D348" s="2" t="n">
        <v>249.149618568</v>
      </c>
      <c r="E348" s="2" t="n">
        <v>0.122381813250285</v>
      </c>
      <c r="F348" s="2" t="s">
        <v>12001</v>
      </c>
      <c r="G348" s="2" t="n">
        <v>256892</v>
      </c>
      <c r="H348" s="3" t="str">
        <f>HYPERLINK("http://funmeta.oebiotech.com/network/256892", "http://funmeta.oebiotech.com/network/256892")</f>
      </c>
      <c r="I348" s="2" t="s">
        <v>12002</v>
      </c>
      <c r="J348" s="2" t="s">
        <v>12003</v>
      </c>
      <c r="K348" s="2"/>
      <c r="L348" s="2" t="s">
        <v>12004</v>
      </c>
      <c r="M348" s="2" t="s">
        <v>12005</v>
      </c>
      <c r="N348" s="2" t="s">
        <v>12006</v>
      </c>
      <c r="O348" s="2" t="s">
        <v>12007</v>
      </c>
      <c r="P348" s="2" t="s">
        <v>12008</v>
      </c>
      <c r="Q348" s="2" t="s">
        <v>12009</v>
      </c>
      <c r="R348" s="2" t="s">
        <v>1490</v>
      </c>
      <c r="S348" s="2" t="s">
        <v>4971</v>
      </c>
      <c r="T348" s="2" t="s">
        <v>5966</v>
      </c>
      <c r="U348" s="2" t="s">
        <v>2708</v>
      </c>
      <c r="V348" s="2" t="s">
        <v>110</v>
      </c>
      <c r="W348" s="2" t="s">
        <v>39</v>
      </c>
    </row>
    <row r="349">
      <c r="A349" s="2" t="n">
        <v>227</v>
      </c>
      <c r="B349" s="2" t="s">
        <v>12010</v>
      </c>
      <c r="C349" s="2" t="s">
        <v>2707</v>
      </c>
      <c r="D349" s="2" t="n">
        <v>249.14961857</v>
      </c>
      <c r="E349" s="2" t="n">
        <v>0.122381813250285</v>
      </c>
      <c r="F349" s="2" t="s">
        <v>12011</v>
      </c>
      <c r="G349" s="2" t="n">
        <v>59635</v>
      </c>
      <c r="H349" s="3" t="str">
        <f>HYPERLINK("http://funmeta.oebiotech.com/network/59635", "http://funmeta.oebiotech.com/network/59635")</f>
      </c>
      <c r="I349" s="2" t="s">
        <v>12012</v>
      </c>
      <c r="J349" s="2"/>
      <c r="K349" s="2"/>
      <c r="L349" s="2" t="s">
        <v>12013</v>
      </c>
      <c r="M349" s="2"/>
      <c r="N349" s="2" t="s">
        <v>12014</v>
      </c>
      <c r="O349" s="2" t="s">
        <v>12015</v>
      </c>
      <c r="P349" s="2" t="s">
        <v>12016</v>
      </c>
      <c r="Q349" s="2" t="s">
        <v>12017</v>
      </c>
      <c r="R349" s="2" t="s">
        <v>64</v>
      </c>
      <c r="S349" s="2" t="s">
        <v>65</v>
      </c>
      <c r="T349" s="2" t="s">
        <v>2921</v>
      </c>
      <c r="U349" s="2" t="s">
        <v>2708</v>
      </c>
      <c r="V349" s="2" t="s">
        <v>110</v>
      </c>
      <c r="W349" s="2" t="s">
        <v>39</v>
      </c>
    </row>
    <row r="350">
      <c r="A350" s="2" t="n">
        <v>227</v>
      </c>
      <c r="B350" s="2" t="s">
        <v>12018</v>
      </c>
      <c r="C350" s="2" t="s">
        <v>2707</v>
      </c>
      <c r="D350" s="2" t="n">
        <v>249.14961857</v>
      </c>
      <c r="E350" s="2" t="n">
        <v>0.122381813250285</v>
      </c>
      <c r="F350" s="2" t="s">
        <v>12019</v>
      </c>
      <c r="G350" s="2" t="n">
        <v>53446</v>
      </c>
      <c r="H350" s="3" t="str">
        <f>HYPERLINK("http://funmeta.oebiotech.com/network/53446", "http://funmeta.oebiotech.com/network/53446")</f>
      </c>
      <c r="I350" s="2" t="s">
        <v>12020</v>
      </c>
      <c r="J350" s="2" t="s">
        <v>12021</v>
      </c>
      <c r="K350" s="2"/>
      <c r="L350" s="2" t="s">
        <v>12022</v>
      </c>
      <c r="M350" s="2" t="s">
        <v>12023</v>
      </c>
      <c r="N350" s="2" t="s">
        <v>12024</v>
      </c>
      <c r="O350" s="2" t="s">
        <v>12025</v>
      </c>
      <c r="P350" s="2" t="s">
        <v>12026</v>
      </c>
      <c r="Q350" s="2" t="s">
        <v>12027</v>
      </c>
      <c r="R350" s="2" t="s">
        <v>502</v>
      </c>
      <c r="S350" s="2" t="s">
        <v>1467</v>
      </c>
      <c r="T350" s="2" t="s">
        <v>205</v>
      </c>
      <c r="U350" s="2" t="s">
        <v>2708</v>
      </c>
      <c r="V350" s="2" t="s">
        <v>110</v>
      </c>
      <c r="W350" s="2" t="s">
        <v>39</v>
      </c>
    </row>
    <row r="351">
      <c r="A351" s="2" t="n">
        <v>228</v>
      </c>
      <c r="B351" s="2" t="s">
        <v>12028</v>
      </c>
      <c r="C351" s="2" t="s">
        <v>2722</v>
      </c>
      <c r="D351" s="2" t="n">
        <v>249.18359714</v>
      </c>
      <c r="E351" s="2" t="n">
        <v>6.72299962091314</v>
      </c>
      <c r="F351" s="2" t="s">
        <v>12029</v>
      </c>
      <c r="G351" s="2" t="n">
        <v>61</v>
      </c>
      <c r="H351" s="3" t="str">
        <f>HYPERLINK("http://funmeta.oebiotech.com/network/61", "http://funmeta.oebiotech.com/network/61")</f>
      </c>
      <c r="I351" s="2" t="s">
        <v>12030</v>
      </c>
      <c r="J351" s="2" t="s">
        <v>11404</v>
      </c>
      <c r="K351" s="2" t="s">
        <v>12031</v>
      </c>
      <c r="L351" s="2" t="s">
        <v>12032</v>
      </c>
      <c r="M351" s="2" t="s">
        <v>12033</v>
      </c>
      <c r="N351" s="2" t="s">
        <v>12034</v>
      </c>
      <c r="O351" s="2" t="s">
        <v>12035</v>
      </c>
      <c r="P351" s="2" t="s">
        <v>12036</v>
      </c>
      <c r="Q351" s="2" t="s">
        <v>12037</v>
      </c>
      <c r="R351" s="2" t="s">
        <v>1490</v>
      </c>
      <c r="S351" s="2" t="s">
        <v>1491</v>
      </c>
      <c r="T351" s="2" t="s">
        <v>1492</v>
      </c>
      <c r="U351" s="2" t="s">
        <v>2723</v>
      </c>
      <c r="V351" s="2" t="s">
        <v>360</v>
      </c>
      <c r="W351" s="2" t="s">
        <v>39</v>
      </c>
    </row>
    <row r="352">
      <c r="A352" s="2" t="n">
        <v>228</v>
      </c>
      <c r="B352" s="2" t="s">
        <v>12038</v>
      </c>
      <c r="C352" s="2" t="s">
        <v>2722</v>
      </c>
      <c r="D352" s="2" t="n">
        <v>249.18359714</v>
      </c>
      <c r="E352" s="2" t="n">
        <v>6.72299962091314</v>
      </c>
      <c r="F352" s="2" t="s">
        <v>12039</v>
      </c>
      <c r="G352" s="2" t="n">
        <v>7187</v>
      </c>
      <c r="H352" s="3" t="str">
        <f>HYPERLINK("http://funmeta.oebiotech.com/network/7187", "http://funmeta.oebiotech.com/network/7187")</f>
      </c>
      <c r="I352" s="2" t="s">
        <v>12040</v>
      </c>
      <c r="J352" s="2" t="s">
        <v>12041</v>
      </c>
      <c r="K352" s="2" t="s">
        <v>12042</v>
      </c>
      <c r="L352" s="2" t="s">
        <v>12043</v>
      </c>
      <c r="M352" s="2" t="s">
        <v>12044</v>
      </c>
      <c r="N352" s="2" t="s">
        <v>12045</v>
      </c>
      <c r="O352" s="2" t="s">
        <v>12046</v>
      </c>
      <c r="P352" s="2" t="s">
        <v>12047</v>
      </c>
      <c r="Q352" s="2" t="s">
        <v>12048</v>
      </c>
      <c r="R352" s="2" t="s">
        <v>1490</v>
      </c>
      <c r="S352" s="2" t="s">
        <v>1491</v>
      </c>
      <c r="T352" s="2" t="s">
        <v>3884</v>
      </c>
      <c r="U352" s="2" t="s">
        <v>2723</v>
      </c>
      <c r="V352" s="2" t="s">
        <v>360</v>
      </c>
      <c r="W352" s="2" t="s">
        <v>39</v>
      </c>
    </row>
    <row r="353">
      <c r="A353" s="2" t="n">
        <v>229</v>
      </c>
      <c r="B353" s="2" t="s">
        <v>12049</v>
      </c>
      <c r="C353" s="2" t="s">
        <v>2736</v>
      </c>
      <c r="D353" s="2" t="n">
        <v>250.06317518</v>
      </c>
      <c r="E353" s="2" t="n">
        <v>5.38139394056355</v>
      </c>
      <c r="F353" s="2" t="s">
        <v>2738</v>
      </c>
      <c r="G353" s="2" t="n">
        <v>64874</v>
      </c>
      <c r="H353" s="3" t="str">
        <f>HYPERLINK("http://funmeta.oebiotech.com/network/64874", "http://funmeta.oebiotech.com/network/64874")</f>
      </c>
      <c r="I353" s="2" t="s">
        <v>2740</v>
      </c>
      <c r="J353" s="2" t="s">
        <v>2741</v>
      </c>
      <c r="K353" s="2"/>
      <c r="L353" s="2" t="s">
        <v>2742</v>
      </c>
      <c r="M353" s="2" t="s">
        <v>2743</v>
      </c>
      <c r="N353" s="2" t="s">
        <v>2744</v>
      </c>
      <c r="O353" s="2" t="s">
        <v>2745</v>
      </c>
      <c r="P353" s="2" t="s">
        <v>2746</v>
      </c>
      <c r="Q353" s="2" t="s">
        <v>2747</v>
      </c>
      <c r="R353" s="2" t="s">
        <v>355</v>
      </c>
      <c r="S353" s="2" t="s">
        <v>2748</v>
      </c>
      <c r="T353" s="2" t="s">
        <v>2749</v>
      </c>
      <c r="U353" s="2" t="s">
        <v>2737</v>
      </c>
      <c r="V353" s="2" t="s">
        <v>522</v>
      </c>
      <c r="W353" s="2" t="s">
        <v>39</v>
      </c>
    </row>
    <row r="354">
      <c r="A354" s="2" t="n">
        <v>230</v>
      </c>
      <c r="B354" s="2" t="s">
        <v>12050</v>
      </c>
      <c r="C354" s="2" t="s">
        <v>2750</v>
      </c>
      <c r="D354" s="2" t="n">
        <v>250.986707614</v>
      </c>
      <c r="E354" s="2" t="n">
        <v>11.4521481991622</v>
      </c>
      <c r="F354" s="2" t="s">
        <v>12051</v>
      </c>
      <c r="G354" s="2" t="n">
        <v>82032</v>
      </c>
      <c r="H354" s="3" t="str">
        <f>HYPERLINK("http://funmeta.oebiotech.com/network/82032", "http://funmeta.oebiotech.com/network/82032")</f>
      </c>
      <c r="I354" s="2" t="s">
        <v>12052</v>
      </c>
      <c r="J354" s="2"/>
      <c r="K354" s="2"/>
      <c r="L354" s="2"/>
      <c r="M354" s="2" t="s">
        <v>12053</v>
      </c>
      <c r="N354" s="2" t="s">
        <v>12054</v>
      </c>
      <c r="O354" s="2"/>
      <c r="P354" s="2" t="s">
        <v>12055</v>
      </c>
      <c r="Q354" s="2" t="s">
        <v>12056</v>
      </c>
      <c r="R354" s="2" t="s">
        <v>49</v>
      </c>
      <c r="S354" s="2" t="s">
        <v>1567</v>
      </c>
      <c r="T354" s="2" t="s">
        <v>1568</v>
      </c>
      <c r="U354" s="2" t="s">
        <v>2751</v>
      </c>
      <c r="V354" s="2" t="s">
        <v>24</v>
      </c>
      <c r="W354" s="2"/>
    </row>
    <row r="355">
      <c r="A355" s="2" t="n">
        <v>230</v>
      </c>
      <c r="B355" s="2" t="s">
        <v>12057</v>
      </c>
      <c r="C355" s="2" t="s">
        <v>2750</v>
      </c>
      <c r="D355" s="2" t="n">
        <v>250.986707614</v>
      </c>
      <c r="E355" s="2" t="n">
        <v>11.4521481991622</v>
      </c>
      <c r="F355" s="2" t="s">
        <v>12058</v>
      </c>
      <c r="G355" s="2" t="n">
        <v>82034</v>
      </c>
      <c r="H355" s="3" t="str">
        <f>HYPERLINK("http://funmeta.oebiotech.com/network/82034", "http://funmeta.oebiotech.com/network/82034")</f>
      </c>
      <c r="I355" s="2" t="s">
        <v>12059</v>
      </c>
      <c r="J355" s="2"/>
      <c r="K355" s="2"/>
      <c r="L355" s="2"/>
      <c r="M355" s="2" t="s">
        <v>12060</v>
      </c>
      <c r="N355" s="2" t="s">
        <v>12061</v>
      </c>
      <c r="O355" s="2"/>
      <c r="P355" s="2" t="s">
        <v>12062</v>
      </c>
      <c r="Q355" s="2" t="s">
        <v>12063</v>
      </c>
      <c r="R355" s="2" t="s">
        <v>49</v>
      </c>
      <c r="S355" s="2" t="s">
        <v>1567</v>
      </c>
      <c r="T355" s="2" t="s">
        <v>1568</v>
      </c>
      <c r="U355" s="2" t="s">
        <v>2751</v>
      </c>
      <c r="V355" s="2" t="s">
        <v>24</v>
      </c>
      <c r="W355" s="2"/>
    </row>
    <row r="356">
      <c r="A356" s="2" t="n">
        <v>230</v>
      </c>
      <c r="B356" s="2" t="s">
        <v>12064</v>
      </c>
      <c r="C356" s="2" t="s">
        <v>2750</v>
      </c>
      <c r="D356" s="2" t="n">
        <v>250.986707614</v>
      </c>
      <c r="E356" s="2" t="n">
        <v>11.4521481991622</v>
      </c>
      <c r="F356" s="2" t="s">
        <v>12065</v>
      </c>
      <c r="G356" s="2" t="n">
        <v>81798</v>
      </c>
      <c r="H356" s="3" t="str">
        <f>HYPERLINK("http://funmeta.oebiotech.com/network/81798", "http://funmeta.oebiotech.com/network/81798")</f>
      </c>
      <c r="I356" s="2" t="s">
        <v>12066</v>
      </c>
      <c r="J356" s="2" t="s">
        <v>12067</v>
      </c>
      <c r="K356" s="2"/>
      <c r="L356" s="2"/>
      <c r="M356" s="2"/>
      <c r="N356" s="2" t="s">
        <v>12068</v>
      </c>
      <c r="O356" s="2"/>
      <c r="P356" s="2" t="s">
        <v>12069</v>
      </c>
      <c r="Q356" s="2" t="s">
        <v>12070</v>
      </c>
      <c r="R356" s="2" t="s">
        <v>64</v>
      </c>
      <c r="S356" s="2" t="s">
        <v>65</v>
      </c>
      <c r="T356" s="2" t="s">
        <v>91</v>
      </c>
      <c r="U356" s="2" t="s">
        <v>2751</v>
      </c>
      <c r="V356" s="2" t="s">
        <v>24</v>
      </c>
      <c r="W356" s="2"/>
    </row>
    <row r="357">
      <c r="A357" s="2" t="n">
        <v>231</v>
      </c>
      <c r="B357" s="2" t="s">
        <v>12071</v>
      </c>
      <c r="C357" s="2" t="s">
        <v>2762</v>
      </c>
      <c r="D357" s="2" t="n">
        <v>251.151349904</v>
      </c>
      <c r="E357" s="2" t="n">
        <v>15.5135495435087</v>
      </c>
      <c r="F357" s="2" t="s">
        <v>2764</v>
      </c>
      <c r="G357" s="2" t="n">
        <v>207530</v>
      </c>
      <c r="H357" s="3" t="str">
        <f>HYPERLINK("http://funmeta.oebiotech.com/network/207530", "http://funmeta.oebiotech.com/network/207530")</f>
      </c>
      <c r="I357" s="2" t="s">
        <v>2766</v>
      </c>
      <c r="J357" s="2" t="s">
        <v>2767</v>
      </c>
      <c r="K357" s="2"/>
      <c r="L357" s="2" t="s">
        <v>2768</v>
      </c>
      <c r="M357" s="2"/>
      <c r="N357" s="2" t="s">
        <v>2769</v>
      </c>
      <c r="O357" s="2" t="s">
        <v>2770</v>
      </c>
      <c r="P357" s="2" t="s">
        <v>2771</v>
      </c>
      <c r="Q357" s="2" t="s">
        <v>2772</v>
      </c>
      <c r="R357" s="2" t="s">
        <v>36</v>
      </c>
      <c r="S357" s="2" t="s">
        <v>37</v>
      </c>
      <c r="T357" s="2" t="s">
        <v>679</v>
      </c>
      <c r="U357" s="2" t="s">
        <v>2763</v>
      </c>
      <c r="V357" s="2" t="s">
        <v>110</v>
      </c>
      <c r="W357" s="2" t="s">
        <v>39</v>
      </c>
    </row>
    <row r="358">
      <c r="A358" s="2" t="n">
        <v>232</v>
      </c>
      <c r="B358" s="2" t="s">
        <v>12072</v>
      </c>
      <c r="C358" s="2" t="s">
        <v>2773</v>
      </c>
      <c r="D358" s="2" t="n">
        <v>251.20165414</v>
      </c>
      <c r="E358" s="2" t="n">
        <v>3.22367821092059</v>
      </c>
      <c r="F358" s="2" t="s">
        <v>12073</v>
      </c>
      <c r="G358" s="2" t="n">
        <v>1218</v>
      </c>
      <c r="H358" s="3" t="str">
        <f>HYPERLINK("http://funmeta.oebiotech.com/network/1218", "http://funmeta.oebiotech.com/network/1218")</f>
      </c>
      <c r="I358" s="2" t="s">
        <v>12074</v>
      </c>
      <c r="J358" s="2" t="s">
        <v>12075</v>
      </c>
      <c r="K358" s="2" t="s">
        <v>12076</v>
      </c>
      <c r="L358" s="2"/>
      <c r="M358" s="2" t="s">
        <v>12077</v>
      </c>
      <c r="N358" s="2" t="s">
        <v>12078</v>
      </c>
      <c r="O358" s="2" t="s">
        <v>12079</v>
      </c>
      <c r="P358" s="2" t="s">
        <v>12080</v>
      </c>
      <c r="Q358" s="2" t="s">
        <v>12081</v>
      </c>
      <c r="R358" s="2" t="s">
        <v>1490</v>
      </c>
      <c r="S358" s="2" t="s">
        <v>1491</v>
      </c>
      <c r="T358" s="2" t="s">
        <v>1492</v>
      </c>
      <c r="U358" s="2" t="s">
        <v>2774</v>
      </c>
      <c r="V358" s="2" t="s">
        <v>110</v>
      </c>
      <c r="W358" s="2"/>
    </row>
    <row r="359">
      <c r="A359" s="2" t="n">
        <v>232</v>
      </c>
      <c r="B359" s="2" t="s">
        <v>12082</v>
      </c>
      <c r="C359" s="2" t="s">
        <v>2773</v>
      </c>
      <c r="D359" s="2" t="n">
        <v>251.20165414</v>
      </c>
      <c r="E359" s="2" t="n">
        <v>3.22367821092059</v>
      </c>
      <c r="F359" s="2" t="s">
        <v>12083</v>
      </c>
      <c r="G359" s="2" t="n">
        <v>7366</v>
      </c>
      <c r="H359" s="3" t="str">
        <f>HYPERLINK("http://funmeta.oebiotech.com/network/7366", "http://funmeta.oebiotech.com/network/7366")</f>
      </c>
      <c r="I359" s="2" t="s">
        <v>12084</v>
      </c>
      <c r="J359" s="2" t="s">
        <v>12085</v>
      </c>
      <c r="K359" s="2" t="s">
        <v>12086</v>
      </c>
      <c r="L359" s="2"/>
      <c r="M359" s="2"/>
      <c r="N359" s="2" t="s">
        <v>12087</v>
      </c>
      <c r="O359" s="2" t="s">
        <v>12088</v>
      </c>
      <c r="P359" s="2" t="s">
        <v>12089</v>
      </c>
      <c r="Q359" s="2" t="s">
        <v>12090</v>
      </c>
      <c r="R359" s="2" t="s">
        <v>1490</v>
      </c>
      <c r="S359" s="2" t="s">
        <v>1491</v>
      </c>
      <c r="T359" s="2" t="s">
        <v>12091</v>
      </c>
      <c r="U359" s="2" t="s">
        <v>2774</v>
      </c>
      <c r="V359" s="2" t="s">
        <v>110</v>
      </c>
      <c r="W359" s="2"/>
    </row>
    <row r="360">
      <c r="A360" s="2" t="n">
        <v>232</v>
      </c>
      <c r="B360" s="2" t="s">
        <v>12092</v>
      </c>
      <c r="C360" s="2" t="s">
        <v>2773</v>
      </c>
      <c r="D360" s="2" t="n">
        <v>251.201654142</v>
      </c>
      <c r="E360" s="2" t="n">
        <v>3.22367821092059</v>
      </c>
      <c r="F360" s="2" t="s">
        <v>12093</v>
      </c>
      <c r="G360" s="2" t="n">
        <v>981</v>
      </c>
      <c r="H360" s="3" t="str">
        <f>HYPERLINK("http://funmeta.oebiotech.com/network/981", "http://funmeta.oebiotech.com/network/981")</f>
      </c>
      <c r="I360" s="2" t="s">
        <v>12094</v>
      </c>
      <c r="J360" s="2" t="s">
        <v>12095</v>
      </c>
      <c r="K360" s="2" t="s">
        <v>12096</v>
      </c>
      <c r="L360" s="2"/>
      <c r="M360" s="2"/>
      <c r="N360" s="2" t="s">
        <v>12097</v>
      </c>
      <c r="O360" s="2"/>
      <c r="P360" s="2" t="s">
        <v>12098</v>
      </c>
      <c r="Q360" s="2" t="s">
        <v>12099</v>
      </c>
      <c r="R360" s="2" t="s">
        <v>1490</v>
      </c>
      <c r="S360" s="2" t="s">
        <v>1491</v>
      </c>
      <c r="T360" s="2" t="s">
        <v>1492</v>
      </c>
      <c r="U360" s="2" t="s">
        <v>2774</v>
      </c>
      <c r="V360" s="2" t="s">
        <v>110</v>
      </c>
      <c r="W360" s="2"/>
    </row>
    <row r="361">
      <c r="A361" s="2" t="n">
        <v>233</v>
      </c>
      <c r="B361" s="2" t="s">
        <v>12100</v>
      </c>
      <c r="C361" s="2" t="s">
        <v>2786</v>
      </c>
      <c r="D361" s="2" t="n">
        <v>251.965142338</v>
      </c>
      <c r="E361" s="2" t="n">
        <v>8.15537869933172</v>
      </c>
      <c r="F361" s="2" t="s">
        <v>2788</v>
      </c>
      <c r="G361" s="2" t="n">
        <v>202847</v>
      </c>
      <c r="H361" s="3" t="str">
        <f>HYPERLINK("http://funmeta.oebiotech.com/network/202847", "http://funmeta.oebiotech.com/network/202847")</f>
      </c>
      <c r="I361" s="2" t="s">
        <v>2790</v>
      </c>
      <c r="J361" s="2"/>
      <c r="K361" s="2"/>
      <c r="L361" s="2"/>
      <c r="M361" s="2"/>
      <c r="N361" s="2" t="s">
        <v>2791</v>
      </c>
      <c r="O361" s="2"/>
      <c r="P361" s="2" t="s">
        <v>2792</v>
      </c>
      <c r="Q361" s="2" t="s">
        <v>2793</v>
      </c>
      <c r="R361" s="2" t="s">
        <v>355</v>
      </c>
      <c r="S361" s="2" t="s">
        <v>2193</v>
      </c>
      <c r="T361" s="2" t="s">
        <v>205</v>
      </c>
      <c r="U361" s="2" t="s">
        <v>2787</v>
      </c>
      <c r="V361" s="2" t="s">
        <v>522</v>
      </c>
      <c r="W361" s="2"/>
    </row>
    <row r="362">
      <c r="A362" s="2" t="n">
        <v>234</v>
      </c>
      <c r="B362" s="2" t="s">
        <v>12101</v>
      </c>
      <c r="C362" s="2" t="s">
        <v>2794</v>
      </c>
      <c r="D362" s="2" t="n">
        <v>252.96128239</v>
      </c>
      <c r="E362" s="2" t="n">
        <v>6.29630484469929</v>
      </c>
      <c r="F362" s="2" t="s">
        <v>12102</v>
      </c>
      <c r="G362" s="2" t="n">
        <v>204401</v>
      </c>
      <c r="H362" s="3" t="str">
        <f>HYPERLINK("http://funmeta.oebiotech.com/network/204401", "http://funmeta.oebiotech.com/network/204401")</f>
      </c>
      <c r="I362" s="2" t="s">
        <v>12103</v>
      </c>
      <c r="J362" s="2"/>
      <c r="K362" s="2"/>
      <c r="L362" s="2"/>
      <c r="M362" s="2"/>
      <c r="N362" s="2" t="s">
        <v>12104</v>
      </c>
      <c r="O362" s="2"/>
      <c r="P362" s="2" t="s">
        <v>12105</v>
      </c>
      <c r="Q362" s="2" t="s">
        <v>12106</v>
      </c>
      <c r="R362" s="2" t="s">
        <v>49</v>
      </c>
      <c r="S362" s="2" t="s">
        <v>218</v>
      </c>
      <c r="T362" s="2" t="s">
        <v>219</v>
      </c>
      <c r="U362" s="2" t="s">
        <v>2795</v>
      </c>
      <c r="V362" s="2" t="s">
        <v>522</v>
      </c>
      <c r="W362" s="2"/>
    </row>
    <row r="363">
      <c r="A363" s="2" t="n">
        <v>234</v>
      </c>
      <c r="B363" s="2" t="s">
        <v>12107</v>
      </c>
      <c r="C363" s="2" t="s">
        <v>2794</v>
      </c>
      <c r="D363" s="2" t="n">
        <v>252.96128239</v>
      </c>
      <c r="E363" s="2" t="n">
        <v>6.29630484469929</v>
      </c>
      <c r="F363" s="2" t="s">
        <v>12108</v>
      </c>
      <c r="G363" s="2" t="n">
        <v>206593</v>
      </c>
      <c r="H363" s="3" t="str">
        <f>HYPERLINK("http://funmeta.oebiotech.com/network/206593", "http://funmeta.oebiotech.com/network/206593")</f>
      </c>
      <c r="I363" s="2" t="s">
        <v>12109</v>
      </c>
      <c r="J363" s="2"/>
      <c r="K363" s="2"/>
      <c r="L363" s="2"/>
      <c r="M363" s="2"/>
      <c r="N363" s="2" t="s">
        <v>12110</v>
      </c>
      <c r="O363" s="2"/>
      <c r="P363" s="2" t="s">
        <v>12111</v>
      </c>
      <c r="Q363" s="2" t="s">
        <v>12112</v>
      </c>
      <c r="R363" s="2" t="s">
        <v>49</v>
      </c>
      <c r="S363" s="2" t="s">
        <v>218</v>
      </c>
      <c r="T363" s="2" t="s">
        <v>219</v>
      </c>
      <c r="U363" s="2" t="s">
        <v>2795</v>
      </c>
      <c r="V363" s="2" t="s">
        <v>522</v>
      </c>
      <c r="W363" s="2"/>
    </row>
    <row r="364">
      <c r="A364" s="2" t="n">
        <v>235</v>
      </c>
      <c r="B364" s="2" t="s">
        <v>12113</v>
      </c>
      <c r="C364" s="2" t="s">
        <v>2804</v>
      </c>
      <c r="D364" s="2" t="n">
        <v>254.014493393</v>
      </c>
      <c r="E364" s="2" t="n">
        <v>1.05084577173386</v>
      </c>
      <c r="F364" s="2" t="s">
        <v>2806</v>
      </c>
      <c r="G364" s="2" t="n">
        <v>210644</v>
      </c>
      <c r="H364" s="3" t="str">
        <f>HYPERLINK("http://funmeta.oebiotech.com/network/210644", "http://funmeta.oebiotech.com/network/210644")</f>
      </c>
      <c r="I364" s="2" t="s">
        <v>2808</v>
      </c>
      <c r="J364" s="2" t="s">
        <v>2809</v>
      </c>
      <c r="K364" s="2"/>
      <c r="L364" s="2" t="s">
        <v>2810</v>
      </c>
      <c r="M364" s="2" t="s">
        <v>2811</v>
      </c>
      <c r="N364" s="2" t="s">
        <v>2812</v>
      </c>
      <c r="O364" s="2" t="s">
        <v>2813</v>
      </c>
      <c r="P364" s="2" t="s">
        <v>2814</v>
      </c>
      <c r="Q364" s="2" t="s">
        <v>2815</v>
      </c>
      <c r="R364" s="2" t="s">
        <v>502</v>
      </c>
      <c r="S364" s="2" t="s">
        <v>503</v>
      </c>
      <c r="T364" s="2" t="s">
        <v>2174</v>
      </c>
      <c r="U364" s="2" t="s">
        <v>2805</v>
      </c>
      <c r="V364" s="2" t="s">
        <v>110</v>
      </c>
      <c r="W364" s="2" t="s">
        <v>39</v>
      </c>
    </row>
    <row r="365">
      <c r="A365" s="2" t="n">
        <v>236</v>
      </c>
      <c r="B365" s="2" t="s">
        <v>12114</v>
      </c>
      <c r="C365" s="2" t="s">
        <v>2816</v>
      </c>
      <c r="D365" s="2" t="n">
        <v>254.854041332</v>
      </c>
      <c r="E365" s="2" t="n">
        <v>3.66295069140638</v>
      </c>
      <c r="F365" s="2" t="s">
        <v>12115</v>
      </c>
      <c r="G365" s="2" t="n">
        <v>62907</v>
      </c>
      <c r="H365" s="3" t="str">
        <f>HYPERLINK("http://funmeta.oebiotech.com/network/62907", "http://funmeta.oebiotech.com/network/62907")</f>
      </c>
      <c r="I365" s="2" t="s">
        <v>12116</v>
      </c>
      <c r="J365" s="2" t="s">
        <v>12117</v>
      </c>
      <c r="K365" s="2"/>
      <c r="L365" s="2"/>
      <c r="M365" s="2" t="s">
        <v>12118</v>
      </c>
      <c r="N365" s="2" t="s">
        <v>12119</v>
      </c>
      <c r="O365" s="2" t="s">
        <v>12120</v>
      </c>
      <c r="P365" s="2" t="s">
        <v>12121</v>
      </c>
      <c r="Q365" s="2" t="s">
        <v>12122</v>
      </c>
      <c r="R365" s="2" t="s">
        <v>638</v>
      </c>
      <c r="S365" s="2" t="s">
        <v>2438</v>
      </c>
      <c r="T365" s="2" t="s">
        <v>205</v>
      </c>
      <c r="U365" s="2" t="s">
        <v>2817</v>
      </c>
      <c r="V365" s="2" t="s">
        <v>360</v>
      </c>
      <c r="W365" s="2"/>
    </row>
    <row r="366">
      <c r="A366" s="2" t="n">
        <v>236</v>
      </c>
      <c r="B366" s="2" t="s">
        <v>12123</v>
      </c>
      <c r="C366" s="2" t="s">
        <v>2816</v>
      </c>
      <c r="D366" s="2" t="n">
        <v>254.854041332</v>
      </c>
      <c r="E366" s="2" t="n">
        <v>3.66295069140638</v>
      </c>
      <c r="F366" s="2" t="s">
        <v>12124</v>
      </c>
      <c r="G366" s="2" t="n">
        <v>62709</v>
      </c>
      <c r="H366" s="3" t="str">
        <f>HYPERLINK("http://funmeta.oebiotech.com/network/62709", "http://funmeta.oebiotech.com/network/62709")</f>
      </c>
      <c r="I366" s="2" t="s">
        <v>12125</v>
      </c>
      <c r="J366" s="2" t="s">
        <v>12126</v>
      </c>
      <c r="K366" s="2"/>
      <c r="L366" s="2"/>
      <c r="M366" s="2" t="s">
        <v>12127</v>
      </c>
      <c r="N366" s="2" t="s">
        <v>12128</v>
      </c>
      <c r="O366" s="2" t="s">
        <v>12129</v>
      </c>
      <c r="P366" s="2" t="s">
        <v>12130</v>
      </c>
      <c r="Q366" s="2" t="s">
        <v>12131</v>
      </c>
      <c r="R366" s="2" t="s">
        <v>638</v>
      </c>
      <c r="S366" s="2" t="s">
        <v>639</v>
      </c>
      <c r="T366" s="2" t="s">
        <v>205</v>
      </c>
      <c r="U366" s="2" t="s">
        <v>2817</v>
      </c>
      <c r="V366" s="2" t="s">
        <v>360</v>
      </c>
      <c r="W366" s="2"/>
    </row>
    <row r="367">
      <c r="A367" s="2" t="n">
        <v>237</v>
      </c>
      <c r="B367" s="2" t="s">
        <v>12132</v>
      </c>
      <c r="C367" s="2" t="s">
        <v>2828</v>
      </c>
      <c r="D367" s="2" t="n">
        <v>254.996883152</v>
      </c>
      <c r="E367" s="2" t="n">
        <v>0.325295271403789</v>
      </c>
      <c r="F367" s="2" t="s">
        <v>2830</v>
      </c>
      <c r="G367" s="2" t="n">
        <v>197124</v>
      </c>
      <c r="H367" s="3" t="str">
        <f>HYPERLINK("http://funmeta.oebiotech.com/network/197124", "http://funmeta.oebiotech.com/network/197124")</f>
      </c>
      <c r="I367" s="2" t="s">
        <v>2832</v>
      </c>
      <c r="J367" s="2" t="s">
        <v>2833</v>
      </c>
      <c r="K367" s="2"/>
      <c r="L367" s="2" t="s">
        <v>2834</v>
      </c>
      <c r="M367" s="2" t="s">
        <v>2835</v>
      </c>
      <c r="N367" s="2" t="s">
        <v>2836</v>
      </c>
      <c r="O367" s="2" t="s">
        <v>2837</v>
      </c>
      <c r="P367" s="2" t="s">
        <v>2838</v>
      </c>
      <c r="Q367" s="2" t="s">
        <v>2839</v>
      </c>
      <c r="R367" s="2" t="s">
        <v>2509</v>
      </c>
      <c r="S367" s="2" t="s">
        <v>2840</v>
      </c>
      <c r="T367" s="2" t="s">
        <v>205</v>
      </c>
      <c r="U367" s="2" t="s">
        <v>2829</v>
      </c>
      <c r="V367" s="2" t="s">
        <v>110</v>
      </c>
      <c r="W367" s="2" t="s">
        <v>39</v>
      </c>
    </row>
    <row r="368">
      <c r="A368" s="2" t="n">
        <v>238</v>
      </c>
      <c r="B368" s="2" t="s">
        <v>12133</v>
      </c>
      <c r="C368" s="2" t="s">
        <v>2841</v>
      </c>
      <c r="D368" s="2" t="n">
        <v>255.103594535</v>
      </c>
      <c r="E368" s="2" t="n">
        <v>0.206957710651735</v>
      </c>
      <c r="F368" s="2" t="s">
        <v>2843</v>
      </c>
      <c r="G368" s="2" t="n">
        <v>202781</v>
      </c>
      <c r="H368" s="3" t="str">
        <f>HYPERLINK("http://funmeta.oebiotech.com/network/202781", "http://funmeta.oebiotech.com/network/202781")</f>
      </c>
      <c r="I368" s="2" t="s">
        <v>2845</v>
      </c>
      <c r="J368" s="2"/>
      <c r="K368" s="2"/>
      <c r="L368" s="2"/>
      <c r="M368" s="2"/>
      <c r="N368" s="2" t="s">
        <v>2846</v>
      </c>
      <c r="O368" s="2"/>
      <c r="P368" s="2" t="s">
        <v>2847</v>
      </c>
      <c r="Q368" s="2" t="s">
        <v>2848</v>
      </c>
      <c r="R368" s="2" t="s">
        <v>64</v>
      </c>
      <c r="S368" s="2" t="s">
        <v>65</v>
      </c>
      <c r="T368" s="2" t="s">
        <v>91</v>
      </c>
      <c r="U368" s="2" t="s">
        <v>2842</v>
      </c>
      <c r="V368" s="2" t="s">
        <v>110</v>
      </c>
      <c r="W368" s="2"/>
    </row>
    <row r="369">
      <c r="A369" s="2" t="n">
        <v>239</v>
      </c>
      <c r="B369" s="2" t="s">
        <v>12134</v>
      </c>
      <c r="C369" s="2" t="s">
        <v>2849</v>
      </c>
      <c r="D369" s="2" t="n">
        <v>256.9592704</v>
      </c>
      <c r="E369" s="2" t="n">
        <v>3.57402833838905</v>
      </c>
      <c r="F369" s="2" t="s">
        <v>2851</v>
      </c>
      <c r="G369" s="2" t="n">
        <v>201420</v>
      </c>
      <c r="H369" s="3" t="str">
        <f>HYPERLINK("http://funmeta.oebiotech.com/network/201420", "http://funmeta.oebiotech.com/network/201420")</f>
      </c>
      <c r="I369" s="2" t="s">
        <v>2853</v>
      </c>
      <c r="J369" s="2"/>
      <c r="K369" s="2"/>
      <c r="L369" s="2"/>
      <c r="M369" s="2"/>
      <c r="N369" s="2" t="s">
        <v>2854</v>
      </c>
      <c r="O369" s="2"/>
      <c r="P369" s="2" t="s">
        <v>2855</v>
      </c>
      <c r="Q369" s="2" t="s">
        <v>2856</v>
      </c>
      <c r="R369" s="2" t="s">
        <v>502</v>
      </c>
      <c r="S369" s="2" t="s">
        <v>503</v>
      </c>
      <c r="T369" s="2" t="s">
        <v>1421</v>
      </c>
      <c r="U369" s="2" t="s">
        <v>2850</v>
      </c>
      <c r="V369" s="2" t="s">
        <v>42</v>
      </c>
      <c r="W369" s="2"/>
    </row>
    <row r="370">
      <c r="A370" s="2" t="n">
        <v>240</v>
      </c>
      <c r="B370" s="2" t="s">
        <v>12135</v>
      </c>
      <c r="C370" s="2" t="s">
        <v>2857</v>
      </c>
      <c r="D370" s="2" t="n">
        <v>256.999794085</v>
      </c>
      <c r="E370" s="2" t="n">
        <v>0.290074141712105</v>
      </c>
      <c r="F370" s="2" t="s">
        <v>2859</v>
      </c>
      <c r="G370" s="2" t="n">
        <v>200305</v>
      </c>
      <c r="H370" s="3" t="str">
        <f>HYPERLINK("http://funmeta.oebiotech.com/network/200305", "http://funmeta.oebiotech.com/network/200305")</f>
      </c>
      <c r="I370" s="2" t="s">
        <v>2861</v>
      </c>
      <c r="J370" s="2" t="s">
        <v>2862</v>
      </c>
      <c r="K370" s="2"/>
      <c r="L370" s="2"/>
      <c r="M370" s="2"/>
      <c r="N370" s="2" t="s">
        <v>2863</v>
      </c>
      <c r="O370" s="2"/>
      <c r="P370" s="2" t="s">
        <v>2864</v>
      </c>
      <c r="Q370" s="2" t="s">
        <v>2865</v>
      </c>
      <c r="R370" s="2" t="s">
        <v>502</v>
      </c>
      <c r="S370" s="2" t="s">
        <v>503</v>
      </c>
      <c r="T370" s="2" t="s">
        <v>1421</v>
      </c>
      <c r="U370" s="2" t="s">
        <v>2858</v>
      </c>
      <c r="V370" s="2" t="s">
        <v>522</v>
      </c>
      <c r="W370" s="2"/>
    </row>
    <row r="371">
      <c r="A371" s="2" t="n">
        <v>241</v>
      </c>
      <c r="B371" s="2" t="s">
        <v>12136</v>
      </c>
      <c r="C371" s="2" t="s">
        <v>2866</v>
      </c>
      <c r="D371" s="2" t="n">
        <v>257.030291282</v>
      </c>
      <c r="E371" s="2" t="n">
        <v>0.805594120171652</v>
      </c>
      <c r="F371" s="2" t="s">
        <v>2868</v>
      </c>
      <c r="G371" s="2" t="n">
        <v>203077</v>
      </c>
      <c r="H371" s="3" t="str">
        <f>HYPERLINK("http://funmeta.oebiotech.com/network/203077", "http://funmeta.oebiotech.com/network/203077")</f>
      </c>
      <c r="I371" s="2" t="s">
        <v>2870</v>
      </c>
      <c r="J371" s="2"/>
      <c r="K371" s="2"/>
      <c r="L371" s="2"/>
      <c r="M371" s="2"/>
      <c r="N371" s="2" t="s">
        <v>2871</v>
      </c>
      <c r="O371" s="2"/>
      <c r="P371" s="2" t="s">
        <v>2872</v>
      </c>
      <c r="Q371" s="2" t="s">
        <v>2873</v>
      </c>
      <c r="R371" s="2" t="s">
        <v>49</v>
      </c>
      <c r="S371" s="2" t="s">
        <v>165</v>
      </c>
      <c r="T371" s="2" t="s">
        <v>2874</v>
      </c>
      <c r="U371" s="2" t="s">
        <v>2867</v>
      </c>
      <c r="V371" s="2" t="s">
        <v>110</v>
      </c>
      <c r="W371" s="2"/>
    </row>
    <row r="372">
      <c r="A372" s="2" t="n">
        <v>242</v>
      </c>
      <c r="B372" s="2" t="s">
        <v>12137</v>
      </c>
      <c r="C372" s="2" t="s">
        <v>2875</v>
      </c>
      <c r="D372" s="2" t="n">
        <v>257.07791019</v>
      </c>
      <c r="E372" s="2" t="n">
        <v>3.23551291795063</v>
      </c>
      <c r="F372" s="2" t="s">
        <v>2877</v>
      </c>
      <c r="G372" s="2" t="n">
        <v>47910</v>
      </c>
      <c r="H372" s="3" t="str">
        <f>HYPERLINK("http://funmeta.oebiotech.com/network/47910", "http://funmeta.oebiotech.com/network/47910")</f>
      </c>
      <c r="I372" s="2" t="s">
        <v>2879</v>
      </c>
      <c r="J372" s="2" t="s">
        <v>2880</v>
      </c>
      <c r="K372" s="2"/>
      <c r="L372" s="2" t="s">
        <v>2881</v>
      </c>
      <c r="M372" s="2"/>
      <c r="N372" s="2" t="s">
        <v>2882</v>
      </c>
      <c r="O372" s="2" t="s">
        <v>2883</v>
      </c>
      <c r="P372" s="2" t="s">
        <v>2884</v>
      </c>
      <c r="Q372" s="2" t="s">
        <v>2885</v>
      </c>
      <c r="R372" s="2" t="s">
        <v>2590</v>
      </c>
      <c r="S372" s="2" t="s">
        <v>2886</v>
      </c>
      <c r="T372" s="2" t="s">
        <v>205</v>
      </c>
      <c r="U372" s="2" t="s">
        <v>2876</v>
      </c>
      <c r="V372" s="2" t="s">
        <v>110</v>
      </c>
      <c r="W372" s="2" t="s">
        <v>39</v>
      </c>
    </row>
    <row r="373">
      <c r="A373" s="2" t="n">
        <v>243</v>
      </c>
      <c r="B373" s="2" t="s">
        <v>12138</v>
      </c>
      <c r="C373" s="2" t="s">
        <v>2887</v>
      </c>
      <c r="D373" s="2" t="n">
        <v>259.022557802</v>
      </c>
      <c r="E373" s="2" t="n">
        <v>0.466486521187966</v>
      </c>
      <c r="F373" s="2" t="s">
        <v>2889</v>
      </c>
      <c r="G373" s="2" t="n">
        <v>50893</v>
      </c>
      <c r="H373" s="3" t="str">
        <f>HYPERLINK("http://funmeta.oebiotech.com/network/50893", "http://funmeta.oebiotech.com/network/50893")</f>
      </c>
      <c r="I373" s="2" t="s">
        <v>2891</v>
      </c>
      <c r="J373" s="2" t="s">
        <v>2892</v>
      </c>
      <c r="K373" s="2"/>
      <c r="L373" s="2"/>
      <c r="M373" s="2" t="s">
        <v>2893</v>
      </c>
      <c r="N373" s="2" t="s">
        <v>2894</v>
      </c>
      <c r="O373" s="2" t="s">
        <v>2895</v>
      </c>
      <c r="P373" s="2" t="s">
        <v>2896</v>
      </c>
      <c r="Q373" s="2" t="s">
        <v>2897</v>
      </c>
      <c r="R373" s="2" t="s">
        <v>64</v>
      </c>
      <c r="S373" s="2" t="s">
        <v>65</v>
      </c>
      <c r="T373" s="2" t="s">
        <v>66</v>
      </c>
      <c r="U373" s="2" t="s">
        <v>2888</v>
      </c>
      <c r="V373" s="2" t="s">
        <v>250</v>
      </c>
      <c r="W373" s="2"/>
    </row>
    <row r="374">
      <c r="A374" s="2" t="n">
        <v>244</v>
      </c>
      <c r="B374" s="2" t="s">
        <v>12139</v>
      </c>
      <c r="C374" s="2" t="s">
        <v>2898</v>
      </c>
      <c r="D374" s="2" t="n">
        <v>260.993641692</v>
      </c>
      <c r="E374" s="2" t="n">
        <v>1.86598297505334</v>
      </c>
      <c r="F374" s="2" t="s">
        <v>2900</v>
      </c>
      <c r="G374" s="2" t="n">
        <v>200406</v>
      </c>
      <c r="H374" s="3" t="str">
        <f>HYPERLINK("http://funmeta.oebiotech.com/network/200406", "http://funmeta.oebiotech.com/network/200406")</f>
      </c>
      <c r="I374" s="2" t="s">
        <v>2902</v>
      </c>
      <c r="J374" s="2"/>
      <c r="K374" s="2"/>
      <c r="L374" s="2"/>
      <c r="M374" s="2"/>
      <c r="N374" s="2" t="s">
        <v>2903</v>
      </c>
      <c r="O374" s="2"/>
      <c r="P374" s="2" t="s">
        <v>2904</v>
      </c>
      <c r="Q374" s="2" t="s">
        <v>2905</v>
      </c>
      <c r="R374" s="2" t="s">
        <v>49</v>
      </c>
      <c r="S374" s="2" t="s">
        <v>165</v>
      </c>
      <c r="T374" s="2" t="s">
        <v>179</v>
      </c>
      <c r="U374" s="2" t="s">
        <v>2899</v>
      </c>
      <c r="V374" s="2" t="s">
        <v>522</v>
      </c>
      <c r="W374" s="2"/>
    </row>
    <row r="375">
      <c r="A375" s="2" t="n">
        <v>245</v>
      </c>
      <c r="B375" s="2" t="s">
        <v>12140</v>
      </c>
      <c r="C375" s="2" t="s">
        <v>2906</v>
      </c>
      <c r="D375" s="2" t="n">
        <v>261.032219832</v>
      </c>
      <c r="E375" s="2" t="n">
        <v>2.80226314440162</v>
      </c>
      <c r="F375" s="2" t="s">
        <v>2908</v>
      </c>
      <c r="G375" s="2" t="n">
        <v>210305</v>
      </c>
      <c r="H375" s="3" t="str">
        <f>HYPERLINK("http://funmeta.oebiotech.com/network/210305", "http://funmeta.oebiotech.com/network/210305")</f>
      </c>
      <c r="I375" s="2" t="s">
        <v>2910</v>
      </c>
      <c r="J375" s="2"/>
      <c r="K375" s="2"/>
      <c r="L375" s="2"/>
      <c r="M375" s="2"/>
      <c r="N375" s="2"/>
      <c r="O375" s="2"/>
      <c r="P375" s="2" t="s">
        <v>2911</v>
      </c>
      <c r="Q375" s="2" t="s">
        <v>2912</v>
      </c>
      <c r="R375" s="2" t="s">
        <v>49</v>
      </c>
      <c r="S375" s="2" t="s">
        <v>771</v>
      </c>
      <c r="T375" s="2" t="s">
        <v>772</v>
      </c>
      <c r="U375" s="2" t="s">
        <v>2907</v>
      </c>
      <c r="V375" s="2" t="s">
        <v>110</v>
      </c>
      <c r="W375" s="2"/>
    </row>
    <row r="376">
      <c r="A376" s="2" t="n">
        <v>246</v>
      </c>
      <c r="B376" s="2" t="s">
        <v>12141</v>
      </c>
      <c r="C376" s="2" t="s">
        <v>2913</v>
      </c>
      <c r="D376" s="2" t="n">
        <v>261.131677084</v>
      </c>
      <c r="E376" s="2" t="n">
        <v>4.04675944468496</v>
      </c>
      <c r="F376" s="2" t="s">
        <v>2915</v>
      </c>
      <c r="G376" s="2" t="n">
        <v>212003</v>
      </c>
      <c r="H376" s="3" t="str">
        <f>HYPERLINK("http://funmeta.oebiotech.com/network/212003", "http://funmeta.oebiotech.com/network/212003")</f>
      </c>
      <c r="I376" s="2" t="s">
        <v>2917</v>
      </c>
      <c r="J376" s="2"/>
      <c r="K376" s="2"/>
      <c r="L376" s="2"/>
      <c r="M376" s="2"/>
      <c r="N376" s="2" t="s">
        <v>2918</v>
      </c>
      <c r="O376" s="2"/>
      <c r="P376" s="2" t="s">
        <v>2919</v>
      </c>
      <c r="Q376" s="2" t="s">
        <v>2920</v>
      </c>
      <c r="R376" s="2" t="s">
        <v>64</v>
      </c>
      <c r="S376" s="2" t="s">
        <v>65</v>
      </c>
      <c r="T376" s="2" t="s">
        <v>2921</v>
      </c>
      <c r="U376" s="2" t="s">
        <v>2914</v>
      </c>
      <c r="V376" s="2" t="s">
        <v>110</v>
      </c>
      <c r="W376" s="2"/>
    </row>
    <row r="377">
      <c r="A377" s="2" t="n">
        <v>247</v>
      </c>
      <c r="B377" s="2" t="s">
        <v>12142</v>
      </c>
      <c r="C377" s="2" t="s">
        <v>2922</v>
      </c>
      <c r="D377" s="2" t="n">
        <v>263.006207272</v>
      </c>
      <c r="E377" s="2" t="n">
        <v>1.74101872268303</v>
      </c>
      <c r="F377" s="2" t="s">
        <v>2924</v>
      </c>
      <c r="G377" s="2" t="n">
        <v>61577</v>
      </c>
      <c r="H377" s="3" t="str">
        <f>HYPERLINK("http://funmeta.oebiotech.com/network/61577", "http://funmeta.oebiotech.com/network/61577")</f>
      </c>
      <c r="I377" s="2" t="s">
        <v>2926</v>
      </c>
      <c r="J377" s="2" t="s">
        <v>2927</v>
      </c>
      <c r="K377" s="2"/>
      <c r="L377" s="2"/>
      <c r="M377" s="2" t="s">
        <v>2928</v>
      </c>
      <c r="N377" s="2" t="s">
        <v>2929</v>
      </c>
      <c r="O377" s="2" t="s">
        <v>2930</v>
      </c>
      <c r="P377" s="2" t="s">
        <v>2931</v>
      </c>
      <c r="Q377" s="2" t="s">
        <v>2932</v>
      </c>
      <c r="R377" s="2" t="s">
        <v>355</v>
      </c>
      <c r="S377" s="2" t="s">
        <v>205</v>
      </c>
      <c r="T377" s="2" t="s">
        <v>205</v>
      </c>
      <c r="U377" s="2" t="s">
        <v>2923</v>
      </c>
      <c r="V377" s="2" t="s">
        <v>110</v>
      </c>
      <c r="W377" s="2"/>
    </row>
    <row r="378">
      <c r="A378" s="2" t="n">
        <v>248</v>
      </c>
      <c r="B378" s="2" t="s">
        <v>12143</v>
      </c>
      <c r="C378" s="2" t="s">
        <v>2933</v>
      </c>
      <c r="D378" s="2" t="n">
        <v>265.002358152</v>
      </c>
      <c r="E378" s="2" t="n">
        <v>0.113126685068712</v>
      </c>
      <c r="F378" s="2" t="s">
        <v>12144</v>
      </c>
      <c r="G378" s="2" t="n">
        <v>197296</v>
      </c>
      <c r="H378" s="3" t="str">
        <f>HYPERLINK("http://funmeta.oebiotech.com/network/197296", "http://funmeta.oebiotech.com/network/197296")</f>
      </c>
      <c r="I378" s="2" t="s">
        <v>12145</v>
      </c>
      <c r="J378" s="2"/>
      <c r="K378" s="2"/>
      <c r="L378" s="2"/>
      <c r="M378" s="2" t="s">
        <v>12146</v>
      </c>
      <c r="N378" s="2" t="s">
        <v>12147</v>
      </c>
      <c r="O378" s="2"/>
      <c r="P378" s="2" t="s">
        <v>12148</v>
      </c>
      <c r="Q378" s="2" t="s">
        <v>12149</v>
      </c>
      <c r="R378" s="2" t="s">
        <v>49</v>
      </c>
      <c r="S378" s="2" t="s">
        <v>1567</v>
      </c>
      <c r="T378" s="2" t="s">
        <v>1568</v>
      </c>
      <c r="U378" s="2" t="s">
        <v>2934</v>
      </c>
      <c r="V378" s="2" t="s">
        <v>24</v>
      </c>
      <c r="W378" s="2"/>
    </row>
    <row r="379">
      <c r="A379" s="2" t="n">
        <v>248</v>
      </c>
      <c r="B379" s="2" t="s">
        <v>12150</v>
      </c>
      <c r="C379" s="2" t="s">
        <v>2933</v>
      </c>
      <c r="D379" s="2" t="n">
        <v>265.002358152</v>
      </c>
      <c r="E379" s="2" t="n">
        <v>0.113126685068712</v>
      </c>
      <c r="F379" s="2" t="s">
        <v>12151</v>
      </c>
      <c r="G379" s="2" t="n">
        <v>197299</v>
      </c>
      <c r="H379" s="3" t="str">
        <f>HYPERLINK("http://funmeta.oebiotech.com/network/197299", "http://funmeta.oebiotech.com/network/197299")</f>
      </c>
      <c r="I379" s="2" t="s">
        <v>12152</v>
      </c>
      <c r="J379" s="2"/>
      <c r="K379" s="2"/>
      <c r="L379" s="2"/>
      <c r="M379" s="2"/>
      <c r="N379" s="2" t="s">
        <v>12153</v>
      </c>
      <c r="O379" s="2"/>
      <c r="P379" s="2" t="s">
        <v>12154</v>
      </c>
      <c r="Q379" s="2" t="s">
        <v>12155</v>
      </c>
      <c r="R379" s="2" t="s">
        <v>49</v>
      </c>
      <c r="S379" s="2" t="s">
        <v>1567</v>
      </c>
      <c r="T379" s="2" t="s">
        <v>1568</v>
      </c>
      <c r="U379" s="2" t="s">
        <v>2934</v>
      </c>
      <c r="V379" s="2" t="s">
        <v>24</v>
      </c>
      <c r="W379" s="2"/>
    </row>
    <row r="380">
      <c r="A380" s="2" t="n">
        <v>248</v>
      </c>
      <c r="B380" s="2" t="s">
        <v>12156</v>
      </c>
      <c r="C380" s="2" t="s">
        <v>2933</v>
      </c>
      <c r="D380" s="2" t="n">
        <v>265.002358152</v>
      </c>
      <c r="E380" s="2" t="n">
        <v>0.113126685068712</v>
      </c>
      <c r="F380" s="2" t="s">
        <v>12157</v>
      </c>
      <c r="G380" s="2" t="n">
        <v>197307</v>
      </c>
      <c r="H380" s="3" t="str">
        <f>HYPERLINK("http://funmeta.oebiotech.com/network/197307", "http://funmeta.oebiotech.com/network/197307")</f>
      </c>
      <c r="I380" s="2" t="s">
        <v>12158</v>
      </c>
      <c r="J380" s="2"/>
      <c r="K380" s="2"/>
      <c r="L380" s="2"/>
      <c r="M380" s="2" t="s">
        <v>12159</v>
      </c>
      <c r="N380" s="2" t="s">
        <v>12160</v>
      </c>
      <c r="O380" s="2"/>
      <c r="P380" s="2" t="s">
        <v>12161</v>
      </c>
      <c r="Q380" s="2" t="s">
        <v>12162</v>
      </c>
      <c r="R380" s="2" t="s">
        <v>49</v>
      </c>
      <c r="S380" s="2" t="s">
        <v>1567</v>
      </c>
      <c r="T380" s="2" t="s">
        <v>1568</v>
      </c>
      <c r="U380" s="2" t="s">
        <v>2934</v>
      </c>
      <c r="V380" s="2" t="s">
        <v>24</v>
      </c>
      <c r="W380" s="2"/>
    </row>
    <row r="381">
      <c r="A381" s="2" t="n">
        <v>249</v>
      </c>
      <c r="B381" s="2" t="s">
        <v>12163</v>
      </c>
      <c r="C381" s="2" t="s">
        <v>2944</v>
      </c>
      <c r="D381" s="2" t="n">
        <v>265.059497209</v>
      </c>
      <c r="E381" s="2" t="n">
        <v>3.78515218058288</v>
      </c>
      <c r="F381" s="2" t="s">
        <v>2946</v>
      </c>
      <c r="G381" s="2" t="n">
        <v>209297</v>
      </c>
      <c r="H381" s="3" t="str">
        <f>HYPERLINK("http://funmeta.oebiotech.com/network/209297", "http://funmeta.oebiotech.com/network/209297")</f>
      </c>
      <c r="I381" s="2" t="s">
        <v>2948</v>
      </c>
      <c r="J381" s="2"/>
      <c r="K381" s="2"/>
      <c r="L381" s="2"/>
      <c r="M381" s="2"/>
      <c r="N381" s="2" t="s">
        <v>2949</v>
      </c>
      <c r="O381" s="2"/>
      <c r="P381" s="2" t="s">
        <v>2950</v>
      </c>
      <c r="Q381" s="2" t="s">
        <v>2951</v>
      </c>
      <c r="R381" s="2" t="s">
        <v>49</v>
      </c>
      <c r="S381" s="2" t="s">
        <v>165</v>
      </c>
      <c r="T381" s="2" t="s">
        <v>166</v>
      </c>
      <c r="U381" s="2" t="s">
        <v>2945</v>
      </c>
      <c r="V381" s="2" t="s">
        <v>110</v>
      </c>
      <c r="W381" s="2"/>
    </row>
    <row r="382">
      <c r="A382" s="2" t="n">
        <v>250</v>
      </c>
      <c r="B382" s="2" t="s">
        <v>12164</v>
      </c>
      <c r="C382" s="2" t="s">
        <v>2952</v>
      </c>
      <c r="D382" s="2" t="n">
        <v>265.217304204</v>
      </c>
      <c r="E382" s="2" t="n">
        <v>1.85465271780815</v>
      </c>
      <c r="F382" s="2" t="s">
        <v>12165</v>
      </c>
      <c r="G382" s="2" t="n">
        <v>55700</v>
      </c>
      <c r="H382" s="3" t="str">
        <f>HYPERLINK("http://funmeta.oebiotech.com/network/55700", "http://funmeta.oebiotech.com/network/55700")</f>
      </c>
      <c r="I382" s="2" t="s">
        <v>12166</v>
      </c>
      <c r="J382" s="2" t="s">
        <v>12167</v>
      </c>
      <c r="K382" s="2"/>
      <c r="L382" s="2"/>
      <c r="M382" s="2" t="s">
        <v>12168</v>
      </c>
      <c r="N382" s="2" t="s">
        <v>12169</v>
      </c>
      <c r="O382" s="2" t="s">
        <v>12170</v>
      </c>
      <c r="P382" s="2" t="s">
        <v>12171</v>
      </c>
      <c r="Q382" s="2" t="s">
        <v>12172</v>
      </c>
      <c r="R382" s="2" t="s">
        <v>1490</v>
      </c>
      <c r="S382" s="2" t="s">
        <v>1491</v>
      </c>
      <c r="T382" s="2" t="s">
        <v>3884</v>
      </c>
      <c r="U382" s="2" t="s">
        <v>2953</v>
      </c>
      <c r="V382" s="2" t="s">
        <v>110</v>
      </c>
      <c r="W382" s="2"/>
    </row>
    <row r="383">
      <c r="A383" s="2" t="n">
        <v>250</v>
      </c>
      <c r="B383" s="2" t="s">
        <v>12173</v>
      </c>
      <c r="C383" s="2" t="s">
        <v>2952</v>
      </c>
      <c r="D383" s="2" t="n">
        <v>265.217304206</v>
      </c>
      <c r="E383" s="2" t="n">
        <v>1.85465271780815</v>
      </c>
      <c r="F383" s="2" t="s">
        <v>12174</v>
      </c>
      <c r="G383" s="2" t="n">
        <v>1429</v>
      </c>
      <c r="H383" s="3" t="str">
        <f>HYPERLINK("http://funmeta.oebiotech.com/network/1429", "http://funmeta.oebiotech.com/network/1429")</f>
      </c>
      <c r="I383" s="2" t="s">
        <v>12175</v>
      </c>
      <c r="J383" s="2" t="s">
        <v>12176</v>
      </c>
      <c r="K383" s="2" t="s">
        <v>12177</v>
      </c>
      <c r="L383" s="2"/>
      <c r="M383" s="2"/>
      <c r="N383" s="2" t="s">
        <v>12178</v>
      </c>
      <c r="O383" s="2"/>
      <c r="P383" s="2" t="s">
        <v>12179</v>
      </c>
      <c r="Q383" s="2" t="s">
        <v>12180</v>
      </c>
      <c r="R383" s="2" t="s">
        <v>1490</v>
      </c>
      <c r="S383" s="2" t="s">
        <v>1491</v>
      </c>
      <c r="T383" s="2" t="s">
        <v>1492</v>
      </c>
      <c r="U383" s="2" t="s">
        <v>2953</v>
      </c>
      <c r="V383" s="2" t="s">
        <v>110</v>
      </c>
      <c r="W383" s="2"/>
    </row>
    <row r="384">
      <c r="A384" s="2" t="n">
        <v>250</v>
      </c>
      <c r="B384" s="2" t="s">
        <v>12181</v>
      </c>
      <c r="C384" s="2" t="s">
        <v>2952</v>
      </c>
      <c r="D384" s="2" t="n">
        <v>265.217304206</v>
      </c>
      <c r="E384" s="2" t="n">
        <v>1.85465271780815</v>
      </c>
      <c r="F384" s="2" t="s">
        <v>12182</v>
      </c>
      <c r="G384" s="2" t="n">
        <v>206561</v>
      </c>
      <c r="H384" s="3" t="str">
        <f>HYPERLINK("http://funmeta.oebiotech.com/network/206561", "http://funmeta.oebiotech.com/network/206561")</f>
      </c>
      <c r="I384" s="2" t="s">
        <v>12183</v>
      </c>
      <c r="J384" s="2"/>
      <c r="K384" s="2"/>
      <c r="L384" s="2"/>
      <c r="M384" s="2"/>
      <c r="N384" s="2" t="s">
        <v>12184</v>
      </c>
      <c r="O384" s="2"/>
      <c r="P384" s="2" t="s">
        <v>12185</v>
      </c>
      <c r="Q384" s="2" t="s">
        <v>12186</v>
      </c>
      <c r="R384" s="2" t="s">
        <v>1490</v>
      </c>
      <c r="S384" s="2" t="s">
        <v>4971</v>
      </c>
      <c r="T384" s="2" t="s">
        <v>5966</v>
      </c>
      <c r="U384" s="2" t="s">
        <v>2953</v>
      </c>
      <c r="V384" s="2" t="s">
        <v>110</v>
      </c>
      <c r="W384" s="2"/>
    </row>
    <row r="385">
      <c r="A385" s="2" t="n">
        <v>251</v>
      </c>
      <c r="B385" s="2" t="s">
        <v>12187</v>
      </c>
      <c r="C385" s="2" t="s">
        <v>2966</v>
      </c>
      <c r="D385" s="2" t="n">
        <v>265.9908827</v>
      </c>
      <c r="E385" s="2" t="n">
        <v>2.61331912046122</v>
      </c>
      <c r="F385" s="2" t="s">
        <v>2968</v>
      </c>
      <c r="G385" s="2" t="n">
        <v>82811</v>
      </c>
      <c r="H385" s="3" t="str">
        <f>HYPERLINK("http://funmeta.oebiotech.com/network/82811", "http://funmeta.oebiotech.com/network/82811")</f>
      </c>
      <c r="I385" s="2" t="s">
        <v>2970</v>
      </c>
      <c r="J385" s="2"/>
      <c r="K385" s="2"/>
      <c r="L385" s="2"/>
      <c r="M385" s="2"/>
      <c r="N385" s="2" t="s">
        <v>2971</v>
      </c>
      <c r="O385" s="2" t="s">
        <v>2972</v>
      </c>
      <c r="P385" s="2" t="s">
        <v>2973</v>
      </c>
      <c r="Q385" s="2" t="s">
        <v>2974</v>
      </c>
      <c r="R385" s="2" t="s">
        <v>355</v>
      </c>
      <c r="S385" s="2" t="s">
        <v>2975</v>
      </c>
      <c r="T385" s="2" t="s">
        <v>205</v>
      </c>
      <c r="U385" s="2" t="s">
        <v>2967</v>
      </c>
      <c r="V385" s="2" t="s">
        <v>110</v>
      </c>
      <c r="W385" s="2"/>
    </row>
    <row r="386">
      <c r="A386" s="2" t="n">
        <v>252</v>
      </c>
      <c r="B386" s="2" t="s">
        <v>12188</v>
      </c>
      <c r="C386" s="2" t="s">
        <v>2976</v>
      </c>
      <c r="D386" s="2" t="n">
        <v>266.089477929</v>
      </c>
      <c r="E386" s="2" t="n">
        <v>1.03381914968905</v>
      </c>
      <c r="F386" s="2" t="s">
        <v>12189</v>
      </c>
      <c r="G386" s="2" t="n">
        <v>46843</v>
      </c>
      <c r="H386" s="3" t="str">
        <f>HYPERLINK("http://funmeta.oebiotech.com/network/46843", "http://funmeta.oebiotech.com/network/46843")</f>
      </c>
      <c r="I386" s="2" t="s">
        <v>12190</v>
      </c>
      <c r="J386" s="2" t="s">
        <v>12191</v>
      </c>
      <c r="K386" s="2"/>
      <c r="L386" s="2" t="s">
        <v>12192</v>
      </c>
      <c r="M386" s="2" t="s">
        <v>12193</v>
      </c>
      <c r="N386" s="2" t="s">
        <v>12194</v>
      </c>
      <c r="O386" s="2" t="s">
        <v>12195</v>
      </c>
      <c r="P386" s="2" t="s">
        <v>12196</v>
      </c>
      <c r="Q386" s="2" t="s">
        <v>12197</v>
      </c>
      <c r="R386" s="2" t="s">
        <v>2590</v>
      </c>
      <c r="S386" s="2" t="s">
        <v>3279</v>
      </c>
      <c r="T386" s="2" t="s">
        <v>205</v>
      </c>
      <c r="U386" s="2" t="s">
        <v>2977</v>
      </c>
      <c r="V386" s="2" t="s">
        <v>110</v>
      </c>
      <c r="W386" s="2" t="s">
        <v>39</v>
      </c>
    </row>
    <row r="387">
      <c r="A387" s="2" t="n">
        <v>252</v>
      </c>
      <c r="B387" s="2" t="s">
        <v>12198</v>
      </c>
      <c r="C387" s="2" t="s">
        <v>2976</v>
      </c>
      <c r="D387" s="2" t="n">
        <v>266.089477929</v>
      </c>
      <c r="E387" s="2" t="n">
        <v>1.03381914968905</v>
      </c>
      <c r="F387" s="2" t="s">
        <v>12199</v>
      </c>
      <c r="G387" s="2" t="n">
        <v>46862</v>
      </c>
      <c r="H387" s="3" t="str">
        <f>HYPERLINK("http://funmeta.oebiotech.com/network/46862", "http://funmeta.oebiotech.com/network/46862")</f>
      </c>
      <c r="I387" s="2" t="s">
        <v>12200</v>
      </c>
      <c r="J387" s="2" t="s">
        <v>12201</v>
      </c>
      <c r="K387" s="2"/>
      <c r="L387" s="2" t="s">
        <v>12202</v>
      </c>
      <c r="M387" s="2" t="s">
        <v>12203</v>
      </c>
      <c r="N387" s="2" t="s">
        <v>12204</v>
      </c>
      <c r="O387" s="2" t="s">
        <v>12205</v>
      </c>
      <c r="P387" s="2" t="s">
        <v>12206</v>
      </c>
      <c r="Q387" s="2" t="s">
        <v>12207</v>
      </c>
      <c r="R387" s="2" t="s">
        <v>2590</v>
      </c>
      <c r="S387" s="2" t="s">
        <v>3279</v>
      </c>
      <c r="T387" s="2" t="s">
        <v>12208</v>
      </c>
      <c r="U387" s="2" t="s">
        <v>2977</v>
      </c>
      <c r="V387" s="2" t="s">
        <v>110</v>
      </c>
      <c r="W387" s="2" t="s">
        <v>39</v>
      </c>
    </row>
    <row r="388">
      <c r="A388" s="2" t="n">
        <v>252</v>
      </c>
      <c r="B388" s="2" t="s">
        <v>12209</v>
      </c>
      <c r="C388" s="2" t="s">
        <v>2976</v>
      </c>
      <c r="D388" s="2" t="n">
        <v>266.089477929</v>
      </c>
      <c r="E388" s="2" t="n">
        <v>1.03381914968905</v>
      </c>
      <c r="F388" s="2" t="s">
        <v>12210</v>
      </c>
      <c r="G388" s="2" t="n">
        <v>52599</v>
      </c>
      <c r="H388" s="3" t="str">
        <f>HYPERLINK("http://funmeta.oebiotech.com/network/52599", "http://funmeta.oebiotech.com/network/52599")</f>
      </c>
      <c r="I388" s="2" t="s">
        <v>12211</v>
      </c>
      <c r="J388" s="2" t="s">
        <v>12212</v>
      </c>
      <c r="K388" s="2"/>
      <c r="L388" s="2" t="s">
        <v>12213</v>
      </c>
      <c r="M388" s="2" t="s">
        <v>12214</v>
      </c>
      <c r="N388" s="2" t="s">
        <v>12215</v>
      </c>
      <c r="O388" s="2" t="s">
        <v>12216</v>
      </c>
      <c r="P388" s="2" t="s">
        <v>12217</v>
      </c>
      <c r="Q388" s="2" t="s">
        <v>12218</v>
      </c>
      <c r="R388" s="2" t="s">
        <v>2590</v>
      </c>
      <c r="S388" s="2" t="s">
        <v>3279</v>
      </c>
      <c r="T388" s="2" t="s">
        <v>205</v>
      </c>
      <c r="U388" s="2" t="s">
        <v>2977</v>
      </c>
      <c r="V388" s="2" t="s">
        <v>110</v>
      </c>
      <c r="W388" s="2" t="s">
        <v>39</v>
      </c>
    </row>
    <row r="389">
      <c r="A389" s="2" t="n">
        <v>253</v>
      </c>
      <c r="B389" s="2" t="s">
        <v>12219</v>
      </c>
      <c r="C389" s="2" t="s">
        <v>2991</v>
      </c>
      <c r="D389" s="2" t="n">
        <v>266.148608613</v>
      </c>
      <c r="E389" s="2" t="n">
        <v>7.37598833172831</v>
      </c>
      <c r="F389" s="2" t="s">
        <v>12220</v>
      </c>
      <c r="G389" s="2" t="n">
        <v>53985</v>
      </c>
      <c r="H389" s="3" t="str">
        <f>HYPERLINK("http://funmeta.oebiotech.com/network/53985", "http://funmeta.oebiotech.com/network/53985")</f>
      </c>
      <c r="I389" s="2" t="s">
        <v>12221</v>
      </c>
      <c r="J389" s="2" t="s">
        <v>12222</v>
      </c>
      <c r="K389" s="2"/>
      <c r="L389" s="2"/>
      <c r="M389" s="2" t="s">
        <v>12223</v>
      </c>
      <c r="N389" s="2" t="s">
        <v>12224</v>
      </c>
      <c r="O389" s="2" t="s">
        <v>12225</v>
      </c>
      <c r="P389" s="2" t="s">
        <v>12226</v>
      </c>
      <c r="Q389" s="2" t="s">
        <v>12227</v>
      </c>
      <c r="R389" s="2" t="s">
        <v>49</v>
      </c>
      <c r="S389" s="2" t="s">
        <v>165</v>
      </c>
      <c r="T389" s="2" t="s">
        <v>166</v>
      </c>
      <c r="U389" s="2" t="s">
        <v>2992</v>
      </c>
      <c r="V389" s="2" t="s">
        <v>360</v>
      </c>
      <c r="W389" s="2"/>
    </row>
    <row r="390">
      <c r="A390" s="2" t="n">
        <v>253</v>
      </c>
      <c r="B390" s="2" t="s">
        <v>12228</v>
      </c>
      <c r="C390" s="2" t="s">
        <v>2991</v>
      </c>
      <c r="D390" s="2" t="n">
        <v>266.148608613</v>
      </c>
      <c r="E390" s="2" t="n">
        <v>7.37598833172831</v>
      </c>
      <c r="F390" s="2" t="s">
        <v>12229</v>
      </c>
      <c r="G390" s="2" t="n">
        <v>54143</v>
      </c>
      <c r="H390" s="3" t="str">
        <f>HYPERLINK("http://funmeta.oebiotech.com/network/54143", "http://funmeta.oebiotech.com/network/54143")</f>
      </c>
      <c r="I390" s="2" t="s">
        <v>12230</v>
      </c>
      <c r="J390" s="2" t="s">
        <v>12231</v>
      </c>
      <c r="K390" s="2"/>
      <c r="L390" s="2"/>
      <c r="M390" s="2" t="s">
        <v>12232</v>
      </c>
      <c r="N390" s="2" t="s">
        <v>12233</v>
      </c>
      <c r="O390" s="2" t="s">
        <v>12234</v>
      </c>
      <c r="P390" s="2" t="s">
        <v>12235</v>
      </c>
      <c r="Q390" s="2" t="s">
        <v>12236</v>
      </c>
      <c r="R390" s="2" t="s">
        <v>49</v>
      </c>
      <c r="S390" s="2" t="s">
        <v>165</v>
      </c>
      <c r="T390" s="2" t="s">
        <v>166</v>
      </c>
      <c r="U390" s="2" t="s">
        <v>2992</v>
      </c>
      <c r="V390" s="2" t="s">
        <v>360</v>
      </c>
      <c r="W390" s="2"/>
    </row>
    <row r="391">
      <c r="A391" s="2" t="n">
        <v>254</v>
      </c>
      <c r="B391" s="2" t="s">
        <v>12237</v>
      </c>
      <c r="C391" s="2" t="s">
        <v>3002</v>
      </c>
      <c r="D391" s="2" t="n">
        <v>266.973499596</v>
      </c>
      <c r="E391" s="2" t="n">
        <v>3.15284106749254</v>
      </c>
      <c r="F391" s="2" t="s">
        <v>12238</v>
      </c>
      <c r="G391" s="2" t="n">
        <v>197074</v>
      </c>
      <c r="H391" s="3" t="str">
        <f>HYPERLINK("http://funmeta.oebiotech.com/network/197074", "http://funmeta.oebiotech.com/network/197074")</f>
      </c>
      <c r="I391" s="2" t="s">
        <v>12239</v>
      </c>
      <c r="J391" s="2"/>
      <c r="K391" s="2"/>
      <c r="L391" s="2"/>
      <c r="M391" s="2"/>
      <c r="N391" s="2" t="s">
        <v>12240</v>
      </c>
      <c r="O391" s="2" t="s">
        <v>12241</v>
      </c>
      <c r="P391" s="2" t="s">
        <v>12242</v>
      </c>
      <c r="Q391" s="2" t="s">
        <v>12243</v>
      </c>
      <c r="R391" s="2" t="s">
        <v>502</v>
      </c>
      <c r="S391" s="2" t="s">
        <v>503</v>
      </c>
      <c r="T391" s="2" t="s">
        <v>205</v>
      </c>
      <c r="U391" s="2" t="s">
        <v>3003</v>
      </c>
      <c r="V391" s="2" t="s">
        <v>250</v>
      </c>
      <c r="W391" s="2"/>
    </row>
    <row r="392">
      <c r="A392" s="2" t="n">
        <v>254</v>
      </c>
      <c r="B392" s="2" t="s">
        <v>12244</v>
      </c>
      <c r="C392" s="2" t="s">
        <v>3002</v>
      </c>
      <c r="D392" s="2" t="n">
        <v>266.973499596</v>
      </c>
      <c r="E392" s="2" t="n">
        <v>3.15284106749254</v>
      </c>
      <c r="F392" s="2" t="s">
        <v>12245</v>
      </c>
      <c r="G392" s="2" t="n">
        <v>257674</v>
      </c>
      <c r="H392" s="3" t="str">
        <f>HYPERLINK("http://funmeta.oebiotech.com/network/257674", "http://funmeta.oebiotech.com/network/257674")</f>
      </c>
      <c r="I392" s="2" t="s">
        <v>12246</v>
      </c>
      <c r="J392" s="2"/>
      <c r="K392" s="2"/>
      <c r="L392" s="2"/>
      <c r="M392" s="2"/>
      <c r="N392" s="2" t="s">
        <v>12247</v>
      </c>
      <c r="O392" s="2"/>
      <c r="P392" s="2" t="s">
        <v>12248</v>
      </c>
      <c r="Q392" s="2" t="s">
        <v>12249</v>
      </c>
      <c r="R392" s="2" t="s">
        <v>49</v>
      </c>
      <c r="S392" s="2" t="s">
        <v>1567</v>
      </c>
      <c r="T392" s="2" t="s">
        <v>1568</v>
      </c>
      <c r="U392" s="2" t="s">
        <v>3003</v>
      </c>
      <c r="V392" s="2" t="s">
        <v>250</v>
      </c>
      <c r="W392" s="2"/>
    </row>
    <row r="393">
      <c r="A393" s="2" t="n">
        <v>255</v>
      </c>
      <c r="B393" s="2" t="s">
        <v>12250</v>
      </c>
      <c r="C393" s="2" t="s">
        <v>3013</v>
      </c>
      <c r="D393" s="2" t="n">
        <v>267.196018448</v>
      </c>
      <c r="E393" s="2" t="n">
        <v>2.45568027457192</v>
      </c>
      <c r="F393" s="2" t="s">
        <v>3015</v>
      </c>
      <c r="G393" s="2" t="n">
        <v>2837</v>
      </c>
      <c r="H393" s="3" t="str">
        <f>HYPERLINK("http://funmeta.oebiotech.com/network/2837", "http://funmeta.oebiotech.com/network/2837")</f>
      </c>
      <c r="I393" s="2" t="s">
        <v>3017</v>
      </c>
      <c r="J393" s="2" t="s">
        <v>3018</v>
      </c>
      <c r="K393" s="2" t="s">
        <v>3019</v>
      </c>
      <c r="L393" s="2" t="s">
        <v>3020</v>
      </c>
      <c r="M393" s="2" t="s">
        <v>3021</v>
      </c>
      <c r="N393" s="2" t="s">
        <v>3022</v>
      </c>
      <c r="O393" s="2" t="s">
        <v>3023</v>
      </c>
      <c r="P393" s="2" t="s">
        <v>3024</v>
      </c>
      <c r="Q393" s="2" t="s">
        <v>3025</v>
      </c>
      <c r="R393" s="2" t="s">
        <v>1490</v>
      </c>
      <c r="S393" s="2" t="s">
        <v>1491</v>
      </c>
      <c r="T393" s="2" t="s">
        <v>1492</v>
      </c>
      <c r="U393" s="2" t="s">
        <v>3014</v>
      </c>
      <c r="V393" s="2" t="s">
        <v>42</v>
      </c>
      <c r="W393" s="2" t="s">
        <v>39</v>
      </c>
    </row>
    <row r="394">
      <c r="A394" s="2" t="n">
        <v>256</v>
      </c>
      <c r="B394" s="2" t="s">
        <v>12251</v>
      </c>
      <c r="C394" s="2" t="s">
        <v>3026</v>
      </c>
      <c r="D394" s="2" t="n">
        <v>267.979981956</v>
      </c>
      <c r="E394" s="2" t="n">
        <v>14.7619112758689</v>
      </c>
      <c r="F394" s="2" t="s">
        <v>3028</v>
      </c>
      <c r="G394" s="2" t="n">
        <v>208629</v>
      </c>
      <c r="H394" s="3" t="str">
        <f>HYPERLINK("http://funmeta.oebiotech.com/network/208629", "http://funmeta.oebiotech.com/network/208629")</f>
      </c>
      <c r="I394" s="2" t="s">
        <v>3030</v>
      </c>
      <c r="J394" s="2" t="s">
        <v>3031</v>
      </c>
      <c r="K394" s="2"/>
      <c r="L394" s="2"/>
      <c r="M394" s="2"/>
      <c r="N394" s="2" t="s">
        <v>3032</v>
      </c>
      <c r="O394" s="2"/>
      <c r="P394" s="2" t="s">
        <v>3033</v>
      </c>
      <c r="Q394" s="2" t="s">
        <v>3034</v>
      </c>
      <c r="R394" s="2" t="s">
        <v>355</v>
      </c>
      <c r="S394" s="2" t="s">
        <v>1316</v>
      </c>
      <c r="T394" s="2" t="s">
        <v>1317</v>
      </c>
      <c r="U394" s="2" t="s">
        <v>3027</v>
      </c>
      <c r="V394" s="2" t="s">
        <v>250</v>
      </c>
      <c r="W394" s="2"/>
    </row>
    <row r="395">
      <c r="A395" s="2" t="n">
        <v>257</v>
      </c>
      <c r="B395" s="2" t="s">
        <v>12252</v>
      </c>
      <c r="C395" s="2" t="s">
        <v>3035</v>
      </c>
      <c r="D395" s="2" t="n">
        <v>268.950261258</v>
      </c>
      <c r="E395" s="2" t="n">
        <v>1.32428341825204</v>
      </c>
      <c r="F395" s="2" t="s">
        <v>3037</v>
      </c>
      <c r="G395" s="2" t="n">
        <v>255270</v>
      </c>
      <c r="H395" s="3" t="str">
        <f>HYPERLINK("http://funmeta.oebiotech.com/network/255270", "http://funmeta.oebiotech.com/network/255270")</f>
      </c>
      <c r="I395" s="2" t="s">
        <v>3039</v>
      </c>
      <c r="J395" s="2"/>
      <c r="K395" s="2"/>
      <c r="L395" s="2"/>
      <c r="M395" s="2"/>
      <c r="N395" s="2"/>
      <c r="O395" s="2"/>
      <c r="P395" s="2" t="s">
        <v>3040</v>
      </c>
      <c r="Q395" s="2" t="s">
        <v>3041</v>
      </c>
      <c r="R395" s="2" t="s">
        <v>355</v>
      </c>
      <c r="S395" s="2" t="s">
        <v>3042</v>
      </c>
      <c r="T395" s="2" t="s">
        <v>205</v>
      </c>
      <c r="U395" s="2" t="s">
        <v>3036</v>
      </c>
      <c r="V395" s="2" t="s">
        <v>250</v>
      </c>
      <c r="W395" s="2"/>
    </row>
    <row r="396">
      <c r="A396" s="2" t="n">
        <v>258</v>
      </c>
      <c r="B396" s="2" t="s">
        <v>12253</v>
      </c>
      <c r="C396" s="2" t="s">
        <v>3043</v>
      </c>
      <c r="D396" s="2" t="n">
        <v>269.012528912</v>
      </c>
      <c r="E396" s="2" t="n">
        <v>1.59170391084672</v>
      </c>
      <c r="F396" s="2" t="s">
        <v>12254</v>
      </c>
      <c r="G396" s="2" t="n">
        <v>198647</v>
      </c>
      <c r="H396" s="3" t="str">
        <f>HYPERLINK("http://funmeta.oebiotech.com/network/198647", "http://funmeta.oebiotech.com/network/198647")</f>
      </c>
      <c r="I396" s="2" t="s">
        <v>12255</v>
      </c>
      <c r="J396" s="2"/>
      <c r="K396" s="2"/>
      <c r="L396" s="2"/>
      <c r="M396" s="2" t="s">
        <v>12256</v>
      </c>
      <c r="N396" s="2" t="s">
        <v>12257</v>
      </c>
      <c r="O396" s="2"/>
      <c r="P396" s="2" t="s">
        <v>12258</v>
      </c>
      <c r="Q396" s="2" t="s">
        <v>12259</v>
      </c>
      <c r="R396" s="2" t="s">
        <v>502</v>
      </c>
      <c r="S396" s="2" t="s">
        <v>2413</v>
      </c>
      <c r="T396" s="2" t="s">
        <v>205</v>
      </c>
      <c r="U396" s="2" t="s">
        <v>3044</v>
      </c>
      <c r="V396" s="2" t="s">
        <v>24</v>
      </c>
      <c r="W396" s="2"/>
    </row>
    <row r="397">
      <c r="A397" s="2" t="n">
        <v>258</v>
      </c>
      <c r="B397" s="2" t="s">
        <v>12260</v>
      </c>
      <c r="C397" s="2" t="s">
        <v>3043</v>
      </c>
      <c r="D397" s="2" t="n">
        <v>269.012528912</v>
      </c>
      <c r="E397" s="2" t="n">
        <v>1.59170391084672</v>
      </c>
      <c r="F397" s="2" t="s">
        <v>12261</v>
      </c>
      <c r="G397" s="2" t="n">
        <v>199496</v>
      </c>
      <c r="H397" s="3" t="str">
        <f>HYPERLINK("http://funmeta.oebiotech.com/network/199496", "http://funmeta.oebiotech.com/network/199496")</f>
      </c>
      <c r="I397" s="2" t="s">
        <v>12262</v>
      </c>
      <c r="J397" s="2"/>
      <c r="K397" s="2"/>
      <c r="L397" s="2"/>
      <c r="M397" s="2"/>
      <c r="N397" s="2" t="s">
        <v>12263</v>
      </c>
      <c r="O397" s="2"/>
      <c r="P397" s="2" t="s">
        <v>12264</v>
      </c>
      <c r="Q397" s="2" t="s">
        <v>12265</v>
      </c>
      <c r="R397" s="2" t="s">
        <v>502</v>
      </c>
      <c r="S397" s="2" t="s">
        <v>2413</v>
      </c>
      <c r="T397" s="2" t="s">
        <v>205</v>
      </c>
      <c r="U397" s="2" t="s">
        <v>3044</v>
      </c>
      <c r="V397" s="2" t="s">
        <v>24</v>
      </c>
      <c r="W397" s="2"/>
    </row>
    <row r="398">
      <c r="A398" s="2" t="n">
        <v>259</v>
      </c>
      <c r="B398" s="2" t="s">
        <v>12266</v>
      </c>
      <c r="C398" s="2" t="s">
        <v>3052</v>
      </c>
      <c r="D398" s="2" t="n">
        <v>269.084549883</v>
      </c>
      <c r="E398" s="2" t="n">
        <v>0.886527586982295</v>
      </c>
      <c r="F398" s="2" t="s">
        <v>3054</v>
      </c>
      <c r="G398" s="2" t="n">
        <v>65004</v>
      </c>
      <c r="H398" s="3" t="str">
        <f>HYPERLINK("http://funmeta.oebiotech.com/network/65004", "http://funmeta.oebiotech.com/network/65004")</f>
      </c>
      <c r="I398" s="2" t="s">
        <v>3056</v>
      </c>
      <c r="J398" s="2" t="s">
        <v>3057</v>
      </c>
      <c r="K398" s="2"/>
      <c r="L398" s="2"/>
      <c r="M398" s="2"/>
      <c r="N398" s="2" t="s">
        <v>3058</v>
      </c>
      <c r="O398" s="2" t="s">
        <v>3059</v>
      </c>
      <c r="P398" s="2" t="s">
        <v>3060</v>
      </c>
      <c r="Q398" s="2" t="s">
        <v>3061</v>
      </c>
      <c r="R398" s="2" t="s">
        <v>355</v>
      </c>
      <c r="S398" s="2" t="s">
        <v>3062</v>
      </c>
      <c r="T398" s="2" t="s">
        <v>3063</v>
      </c>
      <c r="U398" s="2" t="s">
        <v>3053</v>
      </c>
      <c r="V398" s="2" t="s">
        <v>42</v>
      </c>
      <c r="W398" s="2"/>
    </row>
    <row r="399">
      <c r="A399" s="2" t="n">
        <v>260</v>
      </c>
      <c r="B399" s="2" t="s">
        <v>12267</v>
      </c>
      <c r="C399" s="2" t="s">
        <v>3064</v>
      </c>
      <c r="D399" s="2" t="n">
        <v>270.9797046</v>
      </c>
      <c r="E399" s="2" t="n">
        <v>5.55696897874021</v>
      </c>
      <c r="F399" s="2" t="s">
        <v>3066</v>
      </c>
      <c r="G399" s="2" t="n">
        <v>201989</v>
      </c>
      <c r="H399" s="3" t="str">
        <f>HYPERLINK("http://funmeta.oebiotech.com/network/201989", "http://funmeta.oebiotech.com/network/201989")</f>
      </c>
      <c r="I399" s="2" t="s">
        <v>3068</v>
      </c>
      <c r="J399" s="2"/>
      <c r="K399" s="2"/>
      <c r="L399" s="2"/>
      <c r="M399" s="2"/>
      <c r="N399" s="2"/>
      <c r="O399" s="2"/>
      <c r="P399" s="2" t="s">
        <v>3069</v>
      </c>
      <c r="Q399" s="2" t="s">
        <v>3070</v>
      </c>
      <c r="R399" s="2" t="s">
        <v>36</v>
      </c>
      <c r="S399" s="2" t="s">
        <v>37</v>
      </c>
      <c r="T399" s="2" t="s">
        <v>3071</v>
      </c>
      <c r="U399" s="2" t="s">
        <v>3065</v>
      </c>
      <c r="V399" s="2" t="s">
        <v>24</v>
      </c>
      <c r="W399" s="2"/>
    </row>
    <row r="400">
      <c r="A400" s="2" t="n">
        <v>261</v>
      </c>
      <c r="B400" s="2" t="s">
        <v>12268</v>
      </c>
      <c r="C400" s="2" t="s">
        <v>3072</v>
      </c>
      <c r="D400" s="2" t="n">
        <v>271.079820625</v>
      </c>
      <c r="E400" s="2" t="n">
        <v>1.25272277291013</v>
      </c>
      <c r="F400" s="2" t="s">
        <v>3074</v>
      </c>
      <c r="G400" s="2" t="n">
        <v>200726</v>
      </c>
      <c r="H400" s="3" t="str">
        <f>HYPERLINK("http://funmeta.oebiotech.com/network/200726", "http://funmeta.oebiotech.com/network/200726")</f>
      </c>
      <c r="I400" s="2" t="s">
        <v>3076</v>
      </c>
      <c r="J400" s="2"/>
      <c r="K400" s="2"/>
      <c r="L400" s="2"/>
      <c r="M400" s="2"/>
      <c r="N400" s="2" t="s">
        <v>3077</v>
      </c>
      <c r="O400" s="2"/>
      <c r="P400" s="2" t="s">
        <v>3078</v>
      </c>
      <c r="Q400" s="2" t="s">
        <v>3079</v>
      </c>
      <c r="R400" s="2" t="s">
        <v>355</v>
      </c>
      <c r="S400" s="2" t="s">
        <v>3080</v>
      </c>
      <c r="T400" s="2" t="s">
        <v>3081</v>
      </c>
      <c r="U400" s="2" t="s">
        <v>3073</v>
      </c>
      <c r="V400" s="2" t="s">
        <v>24</v>
      </c>
      <c r="W400" s="2"/>
    </row>
    <row r="401">
      <c r="A401" s="2" t="n">
        <v>262</v>
      </c>
      <c r="B401" s="2" t="s">
        <v>12269</v>
      </c>
      <c r="C401" s="2" t="s">
        <v>3082</v>
      </c>
      <c r="D401" s="2" t="n">
        <v>271.10094951</v>
      </c>
      <c r="E401" s="2" t="n">
        <v>4.93097405141876</v>
      </c>
      <c r="F401" s="2" t="s">
        <v>3084</v>
      </c>
      <c r="G401" s="2" t="n">
        <v>60793</v>
      </c>
      <c r="H401" s="3" t="str">
        <f>HYPERLINK("http://funmeta.oebiotech.com/network/60793", "http://funmeta.oebiotech.com/network/60793")</f>
      </c>
      <c r="I401" s="2" t="s">
        <v>3086</v>
      </c>
      <c r="J401" s="2" t="s">
        <v>3087</v>
      </c>
      <c r="K401" s="2"/>
      <c r="L401" s="2"/>
      <c r="M401" s="2"/>
      <c r="N401" s="2" t="s">
        <v>3088</v>
      </c>
      <c r="O401" s="2" t="s">
        <v>3089</v>
      </c>
      <c r="P401" s="2" t="s">
        <v>3090</v>
      </c>
      <c r="Q401" s="2" t="s">
        <v>3091</v>
      </c>
      <c r="R401" s="2" t="s">
        <v>638</v>
      </c>
      <c r="S401" s="2" t="s">
        <v>3092</v>
      </c>
      <c r="T401" s="2" t="s">
        <v>3093</v>
      </c>
      <c r="U401" s="2" t="s">
        <v>3083</v>
      </c>
      <c r="V401" s="2" t="s">
        <v>24</v>
      </c>
      <c r="W401" s="2"/>
    </row>
    <row r="402">
      <c r="A402" s="2" t="n">
        <v>263</v>
      </c>
      <c r="B402" s="2" t="s">
        <v>12270</v>
      </c>
      <c r="C402" s="2" t="s">
        <v>3094</v>
      </c>
      <c r="D402" s="2" t="n">
        <v>272.091976743</v>
      </c>
      <c r="E402" s="2" t="n">
        <v>1.62096722248596</v>
      </c>
      <c r="F402" s="2" t="s">
        <v>3096</v>
      </c>
      <c r="G402" s="2" t="n">
        <v>202332</v>
      </c>
      <c r="H402" s="3" t="str">
        <f>HYPERLINK("http://funmeta.oebiotech.com/network/202332", "http://funmeta.oebiotech.com/network/202332")</f>
      </c>
      <c r="I402" s="2" t="s">
        <v>3098</v>
      </c>
      <c r="J402" s="2"/>
      <c r="K402" s="2"/>
      <c r="L402" s="2"/>
      <c r="M402" s="2"/>
      <c r="N402" s="2" t="s">
        <v>3099</v>
      </c>
      <c r="O402" s="2"/>
      <c r="P402" s="2" t="s">
        <v>3100</v>
      </c>
      <c r="Q402" s="2" t="s">
        <v>3101</v>
      </c>
      <c r="R402" s="2" t="s">
        <v>355</v>
      </c>
      <c r="S402" s="2" t="s">
        <v>466</v>
      </c>
      <c r="T402" s="2" t="s">
        <v>467</v>
      </c>
      <c r="U402" s="2" t="s">
        <v>3095</v>
      </c>
      <c r="V402" s="2" t="s">
        <v>522</v>
      </c>
      <c r="W402" s="2"/>
    </row>
    <row r="403">
      <c r="A403" s="2" t="n">
        <v>264</v>
      </c>
      <c r="B403" s="2" t="s">
        <v>12271</v>
      </c>
      <c r="C403" s="2" t="s">
        <v>3102</v>
      </c>
      <c r="D403" s="2" t="n">
        <v>273.008325321</v>
      </c>
      <c r="E403" s="2" t="n">
        <v>3.37731735781385</v>
      </c>
      <c r="F403" s="2" t="s">
        <v>3104</v>
      </c>
      <c r="G403" s="2" t="n">
        <v>211918</v>
      </c>
      <c r="H403" s="3" t="str">
        <f>HYPERLINK("http://funmeta.oebiotech.com/network/211918", "http://funmeta.oebiotech.com/network/211918")</f>
      </c>
      <c r="I403" s="2" t="s">
        <v>3106</v>
      </c>
      <c r="J403" s="2"/>
      <c r="K403" s="2"/>
      <c r="L403" s="2"/>
      <c r="M403" s="2"/>
      <c r="N403" s="2" t="s">
        <v>3107</v>
      </c>
      <c r="O403" s="2"/>
      <c r="P403" s="2" t="s">
        <v>3108</v>
      </c>
      <c r="Q403" s="2" t="s">
        <v>3109</v>
      </c>
      <c r="R403" s="2" t="s">
        <v>355</v>
      </c>
      <c r="S403" s="2" t="s">
        <v>3110</v>
      </c>
      <c r="T403" s="2" t="s">
        <v>3111</v>
      </c>
      <c r="U403" s="2" t="s">
        <v>3103</v>
      </c>
      <c r="V403" s="2" t="s">
        <v>250</v>
      </c>
      <c r="W403" s="2"/>
    </row>
    <row r="404">
      <c r="A404" s="2" t="n">
        <v>265</v>
      </c>
      <c r="B404" s="2" t="s">
        <v>12272</v>
      </c>
      <c r="C404" s="2" t="s">
        <v>3112</v>
      </c>
      <c r="D404" s="2" t="n">
        <v>273.047204648</v>
      </c>
      <c r="E404" s="2" t="n">
        <v>3.08551785703146</v>
      </c>
      <c r="F404" s="2" t="s">
        <v>12273</v>
      </c>
      <c r="G404" s="2" t="n">
        <v>206027</v>
      </c>
      <c r="H404" s="3" t="str">
        <f>HYPERLINK("http://funmeta.oebiotech.com/network/206027", "http://funmeta.oebiotech.com/network/206027")</f>
      </c>
      <c r="I404" s="2" t="s">
        <v>12274</v>
      </c>
      <c r="J404" s="2"/>
      <c r="K404" s="2"/>
      <c r="L404" s="2"/>
      <c r="M404" s="2" t="s">
        <v>12275</v>
      </c>
      <c r="N404" s="2" t="s">
        <v>12276</v>
      </c>
      <c r="O404" s="2"/>
      <c r="P404" s="2" t="s">
        <v>12277</v>
      </c>
      <c r="Q404" s="2" t="s">
        <v>12278</v>
      </c>
      <c r="R404" s="2" t="s">
        <v>49</v>
      </c>
      <c r="S404" s="2" t="s">
        <v>218</v>
      </c>
      <c r="T404" s="2" t="s">
        <v>219</v>
      </c>
      <c r="U404" s="2" t="s">
        <v>3113</v>
      </c>
      <c r="V404" s="2" t="s">
        <v>110</v>
      </c>
      <c r="W404" s="2"/>
    </row>
    <row r="405">
      <c r="A405" s="2" t="n">
        <v>265</v>
      </c>
      <c r="B405" s="2" t="s">
        <v>12279</v>
      </c>
      <c r="C405" s="2" t="s">
        <v>3112</v>
      </c>
      <c r="D405" s="2" t="n">
        <v>273.047204648</v>
      </c>
      <c r="E405" s="2" t="n">
        <v>3.08551785703146</v>
      </c>
      <c r="F405" s="2" t="s">
        <v>12280</v>
      </c>
      <c r="G405" s="2" t="n">
        <v>207529</v>
      </c>
      <c r="H405" s="3" t="str">
        <f>HYPERLINK("http://funmeta.oebiotech.com/network/207529", "http://funmeta.oebiotech.com/network/207529")</f>
      </c>
      <c r="I405" s="2" t="s">
        <v>12281</v>
      </c>
      <c r="J405" s="2"/>
      <c r="K405" s="2"/>
      <c r="L405" s="2"/>
      <c r="M405" s="2"/>
      <c r="N405" s="2" t="s">
        <v>12282</v>
      </c>
      <c r="O405" s="2"/>
      <c r="P405" s="2" t="s">
        <v>12283</v>
      </c>
      <c r="Q405" s="2" t="s">
        <v>12284</v>
      </c>
      <c r="R405" s="2" t="s">
        <v>49</v>
      </c>
      <c r="S405" s="2" t="s">
        <v>218</v>
      </c>
      <c r="T405" s="2" t="s">
        <v>219</v>
      </c>
      <c r="U405" s="2" t="s">
        <v>3113</v>
      </c>
      <c r="V405" s="2" t="s">
        <v>110</v>
      </c>
      <c r="W405" s="2"/>
    </row>
    <row r="406">
      <c r="A406" s="2" t="n">
        <v>266</v>
      </c>
      <c r="B406" s="2" t="s">
        <v>12285</v>
      </c>
      <c r="C406" s="2" t="s">
        <v>3121</v>
      </c>
      <c r="D406" s="2" t="n">
        <v>274.104459291</v>
      </c>
      <c r="E406" s="2" t="n">
        <v>1.84833980859844</v>
      </c>
      <c r="F406" s="2" t="s">
        <v>3123</v>
      </c>
      <c r="G406" s="2" t="n">
        <v>51507</v>
      </c>
      <c r="H406" s="3" t="str">
        <f>HYPERLINK("http://funmeta.oebiotech.com/network/51507", "http://funmeta.oebiotech.com/network/51507")</f>
      </c>
      <c r="I406" s="2" t="s">
        <v>3125</v>
      </c>
      <c r="J406" s="2" t="s">
        <v>3126</v>
      </c>
      <c r="K406" s="2"/>
      <c r="L406" s="2" t="s">
        <v>3127</v>
      </c>
      <c r="M406" s="2" t="s">
        <v>3128</v>
      </c>
      <c r="N406" s="2" t="s">
        <v>3129</v>
      </c>
      <c r="O406" s="2" t="s">
        <v>3130</v>
      </c>
      <c r="P406" s="2" t="s">
        <v>3131</v>
      </c>
      <c r="Q406" s="2" t="s">
        <v>3132</v>
      </c>
      <c r="R406" s="2" t="s">
        <v>49</v>
      </c>
      <c r="S406" s="2" t="s">
        <v>165</v>
      </c>
      <c r="T406" s="2" t="s">
        <v>166</v>
      </c>
      <c r="U406" s="2" t="s">
        <v>3122</v>
      </c>
      <c r="V406" s="2" t="s">
        <v>110</v>
      </c>
      <c r="W406" s="2" t="s">
        <v>39</v>
      </c>
    </row>
    <row r="407">
      <c r="A407" s="2" t="n">
        <v>267</v>
      </c>
      <c r="B407" s="2" t="s">
        <v>12286</v>
      </c>
      <c r="C407" s="2" t="s">
        <v>3133</v>
      </c>
      <c r="D407" s="2" t="n">
        <v>274.945632326</v>
      </c>
      <c r="E407" s="2" t="n">
        <v>1.03439690272186</v>
      </c>
      <c r="F407" s="2" t="s">
        <v>3135</v>
      </c>
      <c r="G407" s="2" t="n">
        <v>212067</v>
      </c>
      <c r="H407" s="3" t="str">
        <f>HYPERLINK("http://funmeta.oebiotech.com/network/212067", "http://funmeta.oebiotech.com/network/212067")</f>
      </c>
      <c r="I407" s="2" t="s">
        <v>3137</v>
      </c>
      <c r="J407" s="2"/>
      <c r="K407" s="2"/>
      <c r="L407" s="2"/>
      <c r="M407" s="2" t="s">
        <v>3138</v>
      </c>
      <c r="N407" s="2" t="s">
        <v>3139</v>
      </c>
      <c r="O407" s="2"/>
      <c r="P407" s="2" t="s">
        <v>3140</v>
      </c>
      <c r="Q407" s="2" t="s">
        <v>3141</v>
      </c>
      <c r="R407" s="2" t="s">
        <v>355</v>
      </c>
      <c r="S407" s="2" t="s">
        <v>3142</v>
      </c>
      <c r="T407" s="2" t="s">
        <v>205</v>
      </c>
      <c r="U407" s="2" t="s">
        <v>3134</v>
      </c>
      <c r="V407" s="2" t="s">
        <v>522</v>
      </c>
      <c r="W407" s="2"/>
    </row>
    <row r="408">
      <c r="A408" s="2" t="n">
        <v>268</v>
      </c>
      <c r="B408" s="2" t="s">
        <v>12287</v>
      </c>
      <c r="C408" s="2" t="s">
        <v>3143</v>
      </c>
      <c r="D408" s="2" t="n">
        <v>275.044023504</v>
      </c>
      <c r="E408" s="2" t="n">
        <v>3.76220214042481</v>
      </c>
      <c r="F408" s="2" t="s">
        <v>3145</v>
      </c>
      <c r="G408" s="2" t="n">
        <v>56851</v>
      </c>
      <c r="H408" s="3" t="str">
        <f>HYPERLINK("http://funmeta.oebiotech.com/network/56851", "http://funmeta.oebiotech.com/network/56851")</f>
      </c>
      <c r="I408" s="2" t="s">
        <v>3147</v>
      </c>
      <c r="J408" s="2" t="s">
        <v>3148</v>
      </c>
      <c r="K408" s="2"/>
      <c r="L408" s="2" t="s">
        <v>3149</v>
      </c>
      <c r="M408" s="2" t="s">
        <v>3150</v>
      </c>
      <c r="N408" s="2" t="s">
        <v>3151</v>
      </c>
      <c r="O408" s="2" t="s">
        <v>3152</v>
      </c>
      <c r="P408" s="2" t="s">
        <v>3153</v>
      </c>
      <c r="Q408" s="2" t="s">
        <v>3154</v>
      </c>
      <c r="R408" s="2" t="s">
        <v>502</v>
      </c>
      <c r="S408" s="2" t="s">
        <v>2369</v>
      </c>
      <c r="T408" s="2" t="s">
        <v>3155</v>
      </c>
      <c r="U408" s="2" t="s">
        <v>3144</v>
      </c>
      <c r="V408" s="2" t="s">
        <v>522</v>
      </c>
      <c r="W408" s="2" t="s">
        <v>39</v>
      </c>
    </row>
    <row r="409">
      <c r="A409" s="2" t="n">
        <v>269</v>
      </c>
      <c r="B409" s="2" t="s">
        <v>12288</v>
      </c>
      <c r="C409" s="2" t="s">
        <v>3156</v>
      </c>
      <c r="D409" s="2" t="n">
        <v>277.035372366</v>
      </c>
      <c r="E409" s="2" t="n">
        <v>1.04539583532703</v>
      </c>
      <c r="F409" s="2" t="s">
        <v>12289</v>
      </c>
      <c r="G409" s="2" t="n">
        <v>56943</v>
      </c>
      <c r="H409" s="3" t="str">
        <f>HYPERLINK("http://funmeta.oebiotech.com/network/56943", "http://funmeta.oebiotech.com/network/56943")</f>
      </c>
      <c r="I409" s="2" t="s">
        <v>12290</v>
      </c>
      <c r="J409" s="2" t="s">
        <v>12291</v>
      </c>
      <c r="K409" s="2"/>
      <c r="L409" s="2"/>
      <c r="M409" s="2" t="s">
        <v>12292</v>
      </c>
      <c r="N409" s="2" t="s">
        <v>12293</v>
      </c>
      <c r="O409" s="2" t="s">
        <v>12294</v>
      </c>
      <c r="P409" s="2" t="s">
        <v>12295</v>
      </c>
      <c r="Q409" s="2" t="s">
        <v>12296</v>
      </c>
      <c r="R409" s="2" t="s">
        <v>2509</v>
      </c>
      <c r="S409" s="2" t="s">
        <v>2840</v>
      </c>
      <c r="T409" s="2" t="s">
        <v>8768</v>
      </c>
      <c r="U409" s="2" t="s">
        <v>3157</v>
      </c>
      <c r="V409" s="2" t="s">
        <v>24</v>
      </c>
      <c r="W409" s="2"/>
    </row>
    <row r="410">
      <c r="A410" s="2" t="n">
        <v>269</v>
      </c>
      <c r="B410" s="2" t="s">
        <v>12297</v>
      </c>
      <c r="C410" s="2" t="s">
        <v>3156</v>
      </c>
      <c r="D410" s="2" t="n">
        <v>277.035372366</v>
      </c>
      <c r="E410" s="2" t="n">
        <v>1.04539583532703</v>
      </c>
      <c r="F410" s="2" t="s">
        <v>12298</v>
      </c>
      <c r="G410" s="2" t="n">
        <v>60313</v>
      </c>
      <c r="H410" s="3" t="str">
        <f>HYPERLINK("http://funmeta.oebiotech.com/network/60313", "http://funmeta.oebiotech.com/network/60313")</f>
      </c>
      <c r="I410" s="2" t="s">
        <v>12299</v>
      </c>
      <c r="J410" s="2" t="s">
        <v>12300</v>
      </c>
      <c r="K410" s="2"/>
      <c r="L410" s="2"/>
      <c r="M410" s="2"/>
      <c r="N410" s="2" t="s">
        <v>12301</v>
      </c>
      <c r="O410" s="2" t="s">
        <v>12302</v>
      </c>
      <c r="P410" s="2" t="s">
        <v>12303</v>
      </c>
      <c r="Q410" s="2" t="s">
        <v>12304</v>
      </c>
      <c r="R410" s="2" t="s">
        <v>2509</v>
      </c>
      <c r="S410" s="2" t="s">
        <v>2840</v>
      </c>
      <c r="T410" s="2" t="s">
        <v>8768</v>
      </c>
      <c r="U410" s="2" t="s">
        <v>3157</v>
      </c>
      <c r="V410" s="2" t="s">
        <v>24</v>
      </c>
      <c r="W410" s="2"/>
    </row>
    <row r="411">
      <c r="A411" s="2" t="n">
        <v>270</v>
      </c>
      <c r="B411" s="2" t="s">
        <v>12305</v>
      </c>
      <c r="C411" s="2" t="s">
        <v>3170</v>
      </c>
      <c r="D411" s="2" t="n">
        <v>277.181406146</v>
      </c>
      <c r="E411" s="2" t="n">
        <v>1.80981754815224</v>
      </c>
      <c r="F411" s="2" t="s">
        <v>3172</v>
      </c>
      <c r="G411" s="2" t="n">
        <v>202103</v>
      </c>
      <c r="H411" s="3" t="str">
        <f>HYPERLINK("http://funmeta.oebiotech.com/network/202103", "http://funmeta.oebiotech.com/network/202103")</f>
      </c>
      <c r="I411" s="2" t="s">
        <v>3174</v>
      </c>
      <c r="J411" s="2"/>
      <c r="K411" s="2"/>
      <c r="L411" s="2"/>
      <c r="M411" s="2"/>
      <c r="N411" s="2" t="s">
        <v>3175</v>
      </c>
      <c r="O411" s="2"/>
      <c r="P411" s="2" t="s">
        <v>3176</v>
      </c>
      <c r="Q411" s="2" t="s">
        <v>3177</v>
      </c>
      <c r="R411" s="2" t="s">
        <v>355</v>
      </c>
      <c r="S411" s="2" t="s">
        <v>3110</v>
      </c>
      <c r="T411" s="2" t="s">
        <v>3178</v>
      </c>
      <c r="U411" s="2" t="s">
        <v>3171</v>
      </c>
      <c r="V411" s="2" t="s">
        <v>522</v>
      </c>
      <c r="W411" s="2"/>
    </row>
    <row r="412">
      <c r="A412" s="2" t="n">
        <v>271</v>
      </c>
      <c r="B412" s="2" t="s">
        <v>12306</v>
      </c>
      <c r="C412" s="2" t="s">
        <v>3179</v>
      </c>
      <c r="D412" s="2" t="n">
        <v>277.214897268</v>
      </c>
      <c r="E412" s="2" t="n">
        <v>7.59684013417339</v>
      </c>
      <c r="F412" s="2" t="s">
        <v>3181</v>
      </c>
      <c r="G412" s="2" t="n">
        <v>48</v>
      </c>
      <c r="H412" s="3" t="str">
        <f>HYPERLINK("http://funmeta.oebiotech.com/network/48", "http://funmeta.oebiotech.com/network/48")</f>
      </c>
      <c r="I412" s="2" t="s">
        <v>3183</v>
      </c>
      <c r="J412" s="2" t="s">
        <v>3184</v>
      </c>
      <c r="K412" s="2" t="s">
        <v>3185</v>
      </c>
      <c r="L412" s="2" t="s">
        <v>3186</v>
      </c>
      <c r="M412" s="2" t="s">
        <v>3187</v>
      </c>
      <c r="N412" s="2" t="s">
        <v>3188</v>
      </c>
      <c r="O412" s="2" t="s">
        <v>3189</v>
      </c>
      <c r="P412" s="2" t="s">
        <v>3190</v>
      </c>
      <c r="Q412" s="2" t="s">
        <v>3191</v>
      </c>
      <c r="R412" s="2" t="s">
        <v>1490</v>
      </c>
      <c r="S412" s="2" t="s">
        <v>1491</v>
      </c>
      <c r="T412" s="2" t="s">
        <v>1492</v>
      </c>
      <c r="U412" s="2" t="s">
        <v>3180</v>
      </c>
      <c r="V412" s="2" t="s">
        <v>360</v>
      </c>
      <c r="W412" s="2" t="s">
        <v>39</v>
      </c>
    </row>
    <row r="413">
      <c r="A413" s="2" t="n">
        <v>272</v>
      </c>
      <c r="B413" s="2" t="s">
        <v>12307</v>
      </c>
      <c r="C413" s="2" t="s">
        <v>3192</v>
      </c>
      <c r="D413" s="2" t="n">
        <v>279.042095113</v>
      </c>
      <c r="E413" s="2" t="n">
        <v>7.09708668496167</v>
      </c>
      <c r="F413" s="2" t="s">
        <v>3194</v>
      </c>
      <c r="G413" s="2" t="n">
        <v>201969</v>
      </c>
      <c r="H413" s="3" t="str">
        <f>HYPERLINK("http://funmeta.oebiotech.com/network/201969", "http://funmeta.oebiotech.com/network/201969")</f>
      </c>
      <c r="I413" s="2" t="s">
        <v>3196</v>
      </c>
      <c r="J413" s="2"/>
      <c r="K413" s="2"/>
      <c r="L413" s="2"/>
      <c r="M413" s="2"/>
      <c r="N413" s="2" t="s">
        <v>3197</v>
      </c>
      <c r="O413" s="2"/>
      <c r="P413" s="2" t="s">
        <v>3198</v>
      </c>
      <c r="Q413" s="2" t="s">
        <v>3199</v>
      </c>
      <c r="R413" s="2" t="s">
        <v>2590</v>
      </c>
      <c r="S413" s="2" t="s">
        <v>3200</v>
      </c>
      <c r="T413" s="2" t="s">
        <v>3201</v>
      </c>
      <c r="U413" s="2" t="s">
        <v>3193</v>
      </c>
      <c r="V413" s="2" t="s">
        <v>360</v>
      </c>
      <c r="W413" s="2"/>
    </row>
    <row r="414">
      <c r="A414" s="2" t="n">
        <v>273</v>
      </c>
      <c r="B414" s="2" t="s">
        <v>12308</v>
      </c>
      <c r="C414" s="2" t="s">
        <v>3202</v>
      </c>
      <c r="D414" s="2" t="n">
        <v>279.23294996</v>
      </c>
      <c r="E414" s="2" t="n">
        <v>1.48903581403288</v>
      </c>
      <c r="F414" s="2" t="s">
        <v>12309</v>
      </c>
      <c r="G414" s="2" t="n">
        <v>255433</v>
      </c>
      <c r="H414" s="3" t="str">
        <f>HYPERLINK("http://funmeta.oebiotech.com/network/255433", "http://funmeta.oebiotech.com/network/255433")</f>
      </c>
      <c r="I414" s="2" t="s">
        <v>12310</v>
      </c>
      <c r="J414" s="2"/>
      <c r="K414" s="2"/>
      <c r="L414" s="2"/>
      <c r="M414" s="2"/>
      <c r="N414" s="2" t="s">
        <v>12311</v>
      </c>
      <c r="O414" s="2"/>
      <c r="P414" s="2" t="s">
        <v>12312</v>
      </c>
      <c r="Q414" s="2" t="s">
        <v>12313</v>
      </c>
      <c r="R414" s="2" t="s">
        <v>491</v>
      </c>
      <c r="S414" s="2" t="s">
        <v>492</v>
      </c>
      <c r="T414" s="2" t="s">
        <v>10968</v>
      </c>
      <c r="U414" s="2" t="s">
        <v>3203</v>
      </c>
      <c r="V414" s="2" t="s">
        <v>24</v>
      </c>
      <c r="W414" s="2"/>
    </row>
    <row r="415">
      <c r="A415" s="2" t="n">
        <v>273</v>
      </c>
      <c r="B415" s="2" t="s">
        <v>12314</v>
      </c>
      <c r="C415" s="2" t="s">
        <v>3202</v>
      </c>
      <c r="D415" s="2" t="n">
        <v>279.23294996</v>
      </c>
      <c r="E415" s="2" t="n">
        <v>1.48903581403288</v>
      </c>
      <c r="F415" s="2" t="s">
        <v>12315</v>
      </c>
      <c r="G415" s="2" t="n">
        <v>64190</v>
      </c>
      <c r="H415" s="3" t="str">
        <f>HYPERLINK("http://funmeta.oebiotech.com/network/64190", "http://funmeta.oebiotech.com/network/64190")</f>
      </c>
      <c r="I415" s="2" t="s">
        <v>12316</v>
      </c>
      <c r="J415" s="2" t="s">
        <v>12317</v>
      </c>
      <c r="K415" s="2"/>
      <c r="L415" s="2"/>
      <c r="M415" s="2"/>
      <c r="N415" s="2" t="s">
        <v>12318</v>
      </c>
      <c r="O415" s="2" t="s">
        <v>12319</v>
      </c>
      <c r="P415" s="2" t="s">
        <v>12320</v>
      </c>
      <c r="Q415" s="2" t="s">
        <v>12321</v>
      </c>
      <c r="R415" s="2" t="s">
        <v>491</v>
      </c>
      <c r="S415" s="2" t="s">
        <v>492</v>
      </c>
      <c r="T415" s="2" t="s">
        <v>10968</v>
      </c>
      <c r="U415" s="2" t="s">
        <v>3203</v>
      </c>
      <c r="V415" s="2" t="s">
        <v>24</v>
      </c>
      <c r="W415" s="2"/>
    </row>
    <row r="416">
      <c r="A416" s="2" t="n">
        <v>274</v>
      </c>
      <c r="B416" s="2" t="s">
        <v>12322</v>
      </c>
      <c r="C416" s="2" t="s">
        <v>3215</v>
      </c>
      <c r="D416" s="2" t="n">
        <v>280.989211216</v>
      </c>
      <c r="E416" s="2" t="n">
        <v>1.35680177016074</v>
      </c>
      <c r="F416" s="2" t="s">
        <v>12323</v>
      </c>
      <c r="G416" s="2" t="n">
        <v>115462</v>
      </c>
      <c r="H416" s="3" t="str">
        <f>HYPERLINK("http://funmeta.oebiotech.com/network/115462", "http://funmeta.oebiotech.com/network/115462")</f>
      </c>
      <c r="I416" s="2" t="s">
        <v>12324</v>
      </c>
      <c r="J416" s="2"/>
      <c r="K416" s="2"/>
      <c r="L416" s="2"/>
      <c r="M416" s="2" t="s">
        <v>12325</v>
      </c>
      <c r="N416" s="2" t="s">
        <v>12326</v>
      </c>
      <c r="O416" s="2"/>
      <c r="P416" s="2" t="s">
        <v>12327</v>
      </c>
      <c r="Q416" s="2" t="s">
        <v>12328</v>
      </c>
      <c r="R416" s="2" t="s">
        <v>49</v>
      </c>
      <c r="S416" s="2" t="s">
        <v>1567</v>
      </c>
      <c r="T416" s="2" t="s">
        <v>1568</v>
      </c>
      <c r="U416" s="2" t="s">
        <v>3216</v>
      </c>
      <c r="V416" s="2" t="s">
        <v>522</v>
      </c>
      <c r="W416" s="2"/>
    </row>
    <row r="417">
      <c r="A417" s="2" t="n">
        <v>274</v>
      </c>
      <c r="B417" s="2" t="s">
        <v>12329</v>
      </c>
      <c r="C417" s="2" t="s">
        <v>3215</v>
      </c>
      <c r="D417" s="2" t="n">
        <v>280.989211216</v>
      </c>
      <c r="E417" s="2" t="n">
        <v>1.35680177016074</v>
      </c>
      <c r="F417" s="2" t="s">
        <v>12330</v>
      </c>
      <c r="G417" s="2" t="n">
        <v>197304</v>
      </c>
      <c r="H417" s="3" t="str">
        <f>HYPERLINK("http://funmeta.oebiotech.com/network/197304", "http://funmeta.oebiotech.com/network/197304")</f>
      </c>
      <c r="I417" s="2" t="s">
        <v>12331</v>
      </c>
      <c r="J417" s="2"/>
      <c r="K417" s="2"/>
      <c r="L417" s="2"/>
      <c r="M417" s="2" t="s">
        <v>12332</v>
      </c>
      <c r="N417" s="2" t="s">
        <v>12333</v>
      </c>
      <c r="O417" s="2"/>
      <c r="P417" s="2" t="s">
        <v>12334</v>
      </c>
      <c r="Q417" s="2" t="s">
        <v>12335</v>
      </c>
      <c r="R417" s="2" t="s">
        <v>49</v>
      </c>
      <c r="S417" s="2" t="s">
        <v>1567</v>
      </c>
      <c r="T417" s="2" t="s">
        <v>1568</v>
      </c>
      <c r="U417" s="2" t="s">
        <v>3216</v>
      </c>
      <c r="V417" s="2" t="s">
        <v>522</v>
      </c>
      <c r="W417" s="2"/>
    </row>
    <row r="418">
      <c r="A418" s="2" t="n">
        <v>274</v>
      </c>
      <c r="B418" s="2" t="s">
        <v>12336</v>
      </c>
      <c r="C418" s="2" t="s">
        <v>3215</v>
      </c>
      <c r="D418" s="2" t="n">
        <v>280.989211216</v>
      </c>
      <c r="E418" s="2" t="n">
        <v>1.35680177016074</v>
      </c>
      <c r="F418" s="2" t="s">
        <v>12337</v>
      </c>
      <c r="G418" s="2" t="n">
        <v>144383</v>
      </c>
      <c r="H418" s="3" t="str">
        <f>HYPERLINK("http://funmeta.oebiotech.com/network/144383", "http://funmeta.oebiotech.com/network/144383")</f>
      </c>
      <c r="I418" s="2" t="s">
        <v>12338</v>
      </c>
      <c r="J418" s="2"/>
      <c r="K418" s="2"/>
      <c r="L418" s="2"/>
      <c r="M418" s="2"/>
      <c r="N418" s="2" t="s">
        <v>12339</v>
      </c>
      <c r="O418" s="2"/>
      <c r="P418" s="2" t="s">
        <v>12340</v>
      </c>
      <c r="Q418" s="2" t="s">
        <v>12341</v>
      </c>
      <c r="R418" s="2" t="s">
        <v>49</v>
      </c>
      <c r="S418" s="2" t="s">
        <v>1567</v>
      </c>
      <c r="T418" s="2" t="s">
        <v>1568</v>
      </c>
      <c r="U418" s="2" t="s">
        <v>3216</v>
      </c>
      <c r="V418" s="2" t="s">
        <v>522</v>
      </c>
      <c r="W418" s="2"/>
    </row>
    <row r="419">
      <c r="A419" s="2" t="n">
        <v>275</v>
      </c>
      <c r="B419" s="2" t="s">
        <v>12342</v>
      </c>
      <c r="C419" s="2" t="s">
        <v>3224</v>
      </c>
      <c r="D419" s="2" t="n">
        <v>281.087806174</v>
      </c>
      <c r="E419" s="2" t="n">
        <v>2.98702201573051</v>
      </c>
      <c r="F419" s="2" t="s">
        <v>3226</v>
      </c>
      <c r="G419" s="2" t="n">
        <v>54768</v>
      </c>
      <c r="H419" s="3" t="str">
        <f>HYPERLINK("http://funmeta.oebiotech.com/network/54768", "http://funmeta.oebiotech.com/network/54768")</f>
      </c>
      <c r="I419" s="2" t="s">
        <v>3228</v>
      </c>
      <c r="J419" s="2"/>
      <c r="K419" s="2"/>
      <c r="L419" s="2" t="s">
        <v>3229</v>
      </c>
      <c r="M419" s="2"/>
      <c r="N419" s="2" t="s">
        <v>3230</v>
      </c>
      <c r="O419" s="2" t="s">
        <v>3231</v>
      </c>
      <c r="P419" s="2" t="s">
        <v>3232</v>
      </c>
      <c r="Q419" s="2" t="s">
        <v>3233</v>
      </c>
      <c r="R419" s="2" t="s">
        <v>64</v>
      </c>
      <c r="S419" s="2" t="s">
        <v>65</v>
      </c>
      <c r="T419" s="2" t="s">
        <v>66</v>
      </c>
      <c r="U419" s="2" t="s">
        <v>3225</v>
      </c>
      <c r="V419" s="2" t="s">
        <v>110</v>
      </c>
      <c r="W419" s="2" t="s">
        <v>39</v>
      </c>
    </row>
    <row r="420">
      <c r="A420" s="2" t="n">
        <v>276</v>
      </c>
      <c r="B420" s="2" t="s">
        <v>12343</v>
      </c>
      <c r="C420" s="2" t="s">
        <v>3234</v>
      </c>
      <c r="D420" s="2" t="n">
        <v>281.248604332</v>
      </c>
      <c r="E420" s="2" t="n">
        <v>8.07510043700126</v>
      </c>
      <c r="F420" s="2" t="s">
        <v>12344</v>
      </c>
      <c r="G420" s="2" t="n">
        <v>512</v>
      </c>
      <c r="H420" s="3" t="str">
        <f>HYPERLINK("http://funmeta.oebiotech.com/network/512", "http://funmeta.oebiotech.com/network/512")</f>
      </c>
      <c r="I420" s="2" t="s">
        <v>12345</v>
      </c>
      <c r="J420" s="2" t="s">
        <v>12346</v>
      </c>
      <c r="K420" s="2" t="s">
        <v>12347</v>
      </c>
      <c r="L420" s="2" t="s">
        <v>12348</v>
      </c>
      <c r="M420" s="2" t="s">
        <v>12349</v>
      </c>
      <c r="N420" s="2" t="s">
        <v>12350</v>
      </c>
      <c r="O420" s="2" t="s">
        <v>12351</v>
      </c>
      <c r="P420" s="2" t="s">
        <v>12352</v>
      </c>
      <c r="Q420" s="2" t="s">
        <v>12353</v>
      </c>
      <c r="R420" s="2" t="s">
        <v>1490</v>
      </c>
      <c r="S420" s="2" t="s">
        <v>1491</v>
      </c>
      <c r="T420" s="2" t="s">
        <v>1492</v>
      </c>
      <c r="U420" s="2" t="s">
        <v>3235</v>
      </c>
      <c r="V420" s="2" t="s">
        <v>110</v>
      </c>
      <c r="W420" s="2" t="s">
        <v>39</v>
      </c>
    </row>
    <row r="421">
      <c r="A421" s="2" t="n">
        <v>276</v>
      </c>
      <c r="B421" s="2" t="s">
        <v>12354</v>
      </c>
      <c r="C421" s="2" t="s">
        <v>3234</v>
      </c>
      <c r="D421" s="2" t="n">
        <v>281.248604332</v>
      </c>
      <c r="E421" s="2" t="n">
        <v>8.07510043700126</v>
      </c>
      <c r="F421" s="2" t="s">
        <v>12355</v>
      </c>
      <c r="G421" s="2" t="n">
        <v>584</v>
      </c>
      <c r="H421" s="3" t="str">
        <f>HYPERLINK("http://funmeta.oebiotech.com/network/584", "http://funmeta.oebiotech.com/network/584")</f>
      </c>
      <c r="I421" s="2" t="s">
        <v>12356</v>
      </c>
      <c r="J421" s="2" t="s">
        <v>12357</v>
      </c>
      <c r="K421" s="2" t="s">
        <v>12358</v>
      </c>
      <c r="L421" s="2" t="s">
        <v>12359</v>
      </c>
      <c r="M421" s="2" t="s">
        <v>12360</v>
      </c>
      <c r="N421" s="2" t="s">
        <v>12361</v>
      </c>
      <c r="O421" s="2" t="s">
        <v>12362</v>
      </c>
      <c r="P421" s="2" t="s">
        <v>12363</v>
      </c>
      <c r="Q421" s="2" t="s">
        <v>12364</v>
      </c>
      <c r="R421" s="2" t="s">
        <v>1490</v>
      </c>
      <c r="S421" s="2" t="s">
        <v>1491</v>
      </c>
      <c r="T421" s="2" t="s">
        <v>1492</v>
      </c>
      <c r="U421" s="2" t="s">
        <v>3235</v>
      </c>
      <c r="V421" s="2" t="s">
        <v>110</v>
      </c>
      <c r="W421" s="2" t="s">
        <v>39</v>
      </c>
    </row>
    <row r="422">
      <c r="A422" s="2" t="n">
        <v>276</v>
      </c>
      <c r="B422" s="2" t="s">
        <v>12365</v>
      </c>
      <c r="C422" s="2" t="s">
        <v>3234</v>
      </c>
      <c r="D422" s="2" t="n">
        <v>281.248604332</v>
      </c>
      <c r="E422" s="2" t="n">
        <v>8.07510043700126</v>
      </c>
      <c r="F422" s="2" t="s">
        <v>12366</v>
      </c>
      <c r="G422" s="2" t="n">
        <v>581</v>
      </c>
      <c r="H422" s="3" t="str">
        <f>HYPERLINK("http://funmeta.oebiotech.com/network/581", "http://funmeta.oebiotech.com/network/581")</f>
      </c>
      <c r="I422" s="2" t="s">
        <v>12367</v>
      </c>
      <c r="J422" s="2" t="s">
        <v>12368</v>
      </c>
      <c r="K422" s="2" t="s">
        <v>12369</v>
      </c>
      <c r="L422" s="2" t="s">
        <v>12370</v>
      </c>
      <c r="M422" s="2" t="s">
        <v>12371</v>
      </c>
      <c r="N422" s="2" t="s">
        <v>12372</v>
      </c>
      <c r="O422" s="2" t="s">
        <v>12373</v>
      </c>
      <c r="P422" s="2" t="s">
        <v>12374</v>
      </c>
      <c r="Q422" s="2" t="s">
        <v>12375</v>
      </c>
      <c r="R422" s="2" t="s">
        <v>1490</v>
      </c>
      <c r="S422" s="2" t="s">
        <v>1491</v>
      </c>
      <c r="T422" s="2" t="s">
        <v>1492</v>
      </c>
      <c r="U422" s="2" t="s">
        <v>3235</v>
      </c>
      <c r="V422" s="2" t="s">
        <v>110</v>
      </c>
      <c r="W422" s="2" t="s">
        <v>39</v>
      </c>
    </row>
    <row r="423">
      <c r="A423" s="2" t="n">
        <v>277</v>
      </c>
      <c r="B423" s="2" t="s">
        <v>12376</v>
      </c>
      <c r="C423" s="2" t="s">
        <v>3247</v>
      </c>
      <c r="D423" s="2" t="n">
        <v>281.973022509</v>
      </c>
      <c r="E423" s="2" t="n">
        <v>2.34406835918656</v>
      </c>
      <c r="F423" s="2" t="s">
        <v>3249</v>
      </c>
      <c r="G423" s="2" t="n">
        <v>64961</v>
      </c>
      <c r="H423" s="3" t="str">
        <f>HYPERLINK("http://funmeta.oebiotech.com/network/64961", "http://funmeta.oebiotech.com/network/64961")</f>
      </c>
      <c r="I423" s="2" t="s">
        <v>3251</v>
      </c>
      <c r="J423" s="2" t="s">
        <v>3252</v>
      </c>
      <c r="K423" s="2"/>
      <c r="L423" s="2" t="s">
        <v>3253</v>
      </c>
      <c r="M423" s="2"/>
      <c r="N423" s="2" t="s">
        <v>3254</v>
      </c>
      <c r="O423" s="2" t="s">
        <v>3255</v>
      </c>
      <c r="P423" s="2" t="s">
        <v>3256</v>
      </c>
      <c r="Q423" s="2" t="s">
        <v>3257</v>
      </c>
      <c r="R423" s="2" t="s">
        <v>502</v>
      </c>
      <c r="S423" s="2" t="s">
        <v>503</v>
      </c>
      <c r="T423" s="2" t="s">
        <v>3258</v>
      </c>
      <c r="U423" s="2" t="s">
        <v>3248</v>
      </c>
      <c r="V423" s="2" t="s">
        <v>110</v>
      </c>
      <c r="W423" s="2" t="s">
        <v>39</v>
      </c>
    </row>
    <row r="424">
      <c r="A424" s="2" t="n">
        <v>278</v>
      </c>
      <c r="B424" s="2" t="s">
        <v>12377</v>
      </c>
      <c r="C424" s="2" t="s">
        <v>3259</v>
      </c>
      <c r="D424" s="2" t="n">
        <v>282.0224715</v>
      </c>
      <c r="E424" s="2" t="n">
        <v>9.65379392558251</v>
      </c>
      <c r="F424" s="2" t="s">
        <v>3261</v>
      </c>
      <c r="G424" s="2" t="n">
        <v>205847</v>
      </c>
      <c r="H424" s="3" t="str">
        <f>HYPERLINK("http://funmeta.oebiotech.com/network/205847", "http://funmeta.oebiotech.com/network/205847")</f>
      </c>
      <c r="I424" s="2" t="s">
        <v>3263</v>
      </c>
      <c r="J424" s="2"/>
      <c r="K424" s="2"/>
      <c r="L424" s="2"/>
      <c r="M424" s="2"/>
      <c r="N424" s="2" t="s">
        <v>3264</v>
      </c>
      <c r="O424" s="2"/>
      <c r="P424" s="2" t="s">
        <v>3265</v>
      </c>
      <c r="Q424" s="2" t="s">
        <v>3266</v>
      </c>
      <c r="R424" s="2" t="s">
        <v>502</v>
      </c>
      <c r="S424" s="2" t="s">
        <v>503</v>
      </c>
      <c r="T424" s="2" t="s">
        <v>2313</v>
      </c>
      <c r="U424" s="2" t="s">
        <v>3260</v>
      </c>
      <c r="V424" s="2" t="s">
        <v>522</v>
      </c>
      <c r="W424" s="2"/>
    </row>
    <row r="425">
      <c r="A425" s="2" t="n">
        <v>279</v>
      </c>
      <c r="B425" s="2" t="s">
        <v>12378</v>
      </c>
      <c r="C425" s="2" t="s">
        <v>3267</v>
      </c>
      <c r="D425" s="2" t="n">
        <v>282.084392551</v>
      </c>
      <c r="E425" s="2" t="n">
        <v>9.69616622931137</v>
      </c>
      <c r="F425" s="2" t="s">
        <v>3269</v>
      </c>
      <c r="G425" s="2" t="n">
        <v>46890</v>
      </c>
      <c r="H425" s="3" t="str">
        <f>HYPERLINK("http://funmeta.oebiotech.com/network/46890", "http://funmeta.oebiotech.com/network/46890")</f>
      </c>
      <c r="I425" s="2" t="s">
        <v>3271</v>
      </c>
      <c r="J425" s="2" t="s">
        <v>3272</v>
      </c>
      <c r="K425" s="2"/>
      <c r="L425" s="2" t="s">
        <v>3273</v>
      </c>
      <c r="M425" s="2" t="s">
        <v>3274</v>
      </c>
      <c r="N425" s="2" t="s">
        <v>3275</v>
      </c>
      <c r="O425" s="2" t="s">
        <v>3276</v>
      </c>
      <c r="P425" s="2" t="s">
        <v>3277</v>
      </c>
      <c r="Q425" s="2" t="s">
        <v>3278</v>
      </c>
      <c r="R425" s="2" t="s">
        <v>2590</v>
      </c>
      <c r="S425" s="2" t="s">
        <v>3279</v>
      </c>
      <c r="T425" s="2" t="s">
        <v>205</v>
      </c>
      <c r="U425" s="2" t="s">
        <v>3268</v>
      </c>
      <c r="V425" s="2" t="s">
        <v>110</v>
      </c>
      <c r="W425" s="2" t="s">
        <v>39</v>
      </c>
    </row>
    <row r="426">
      <c r="A426" s="2" t="n">
        <v>280</v>
      </c>
      <c r="B426" s="2" t="s">
        <v>12379</v>
      </c>
      <c r="C426" s="2" t="s">
        <v>3280</v>
      </c>
      <c r="D426" s="2" t="n">
        <v>282.979830676</v>
      </c>
      <c r="E426" s="2" t="n">
        <v>2.66587270894553</v>
      </c>
      <c r="F426" s="2" t="s">
        <v>3282</v>
      </c>
      <c r="G426" s="2" t="n">
        <v>53596</v>
      </c>
      <c r="H426" s="3" t="str">
        <f>HYPERLINK("http://funmeta.oebiotech.com/network/53596", "http://funmeta.oebiotech.com/network/53596")</f>
      </c>
      <c r="I426" s="2" t="s">
        <v>3284</v>
      </c>
      <c r="J426" s="2" t="s">
        <v>3285</v>
      </c>
      <c r="K426" s="2"/>
      <c r="L426" s="2"/>
      <c r="M426" s="2" t="s">
        <v>3286</v>
      </c>
      <c r="N426" s="2" t="s">
        <v>3287</v>
      </c>
      <c r="O426" s="2" t="s">
        <v>3288</v>
      </c>
      <c r="P426" s="2" t="s">
        <v>3289</v>
      </c>
      <c r="Q426" s="2" t="s">
        <v>3290</v>
      </c>
      <c r="R426" s="2" t="s">
        <v>64</v>
      </c>
      <c r="S426" s="2" t="s">
        <v>1083</v>
      </c>
      <c r="T426" s="2" t="s">
        <v>1084</v>
      </c>
      <c r="U426" s="2" t="s">
        <v>3281</v>
      </c>
      <c r="V426" s="2" t="s">
        <v>42</v>
      </c>
      <c r="W426" s="2"/>
    </row>
    <row r="427">
      <c r="A427" s="2" t="n">
        <v>281</v>
      </c>
      <c r="B427" s="2" t="s">
        <v>12380</v>
      </c>
      <c r="C427" s="2" t="s">
        <v>3291</v>
      </c>
      <c r="D427" s="2" t="n">
        <v>283.072430874</v>
      </c>
      <c r="E427" s="2" t="n">
        <v>2.60721353134335</v>
      </c>
      <c r="F427" s="2" t="s">
        <v>12381</v>
      </c>
      <c r="G427" s="2" t="n">
        <v>197320</v>
      </c>
      <c r="H427" s="3" t="str">
        <f>HYPERLINK("http://funmeta.oebiotech.com/network/197320", "http://funmeta.oebiotech.com/network/197320")</f>
      </c>
      <c r="I427" s="2" t="s">
        <v>12382</v>
      </c>
      <c r="J427" s="2"/>
      <c r="K427" s="2"/>
      <c r="L427" s="2"/>
      <c r="M427" s="2"/>
      <c r="N427" s="2" t="s">
        <v>12383</v>
      </c>
      <c r="O427" s="2"/>
      <c r="P427" s="2" t="s">
        <v>12384</v>
      </c>
      <c r="Q427" s="2" t="s">
        <v>12385</v>
      </c>
      <c r="R427" s="2" t="s">
        <v>355</v>
      </c>
      <c r="S427" s="2" t="s">
        <v>11112</v>
      </c>
      <c r="T427" s="2" t="s">
        <v>12386</v>
      </c>
      <c r="U427" s="2" t="s">
        <v>3292</v>
      </c>
      <c r="V427" s="2" t="s">
        <v>110</v>
      </c>
      <c r="W427" s="2"/>
    </row>
    <row r="428">
      <c r="A428" s="2" t="n">
        <v>281</v>
      </c>
      <c r="B428" s="2" t="s">
        <v>12387</v>
      </c>
      <c r="C428" s="2" t="s">
        <v>3291</v>
      </c>
      <c r="D428" s="2" t="n">
        <v>283.072430882</v>
      </c>
      <c r="E428" s="2" t="n">
        <v>2.60721353134335</v>
      </c>
      <c r="F428" s="2" t="s">
        <v>12388</v>
      </c>
      <c r="G428" s="2" t="n">
        <v>82722</v>
      </c>
      <c r="H428" s="3" t="str">
        <f>HYPERLINK("http://funmeta.oebiotech.com/network/82722", "http://funmeta.oebiotech.com/network/82722")</f>
      </c>
      <c r="I428" s="2" t="s">
        <v>12389</v>
      </c>
      <c r="J428" s="2" t="s">
        <v>12390</v>
      </c>
      <c r="K428" s="2"/>
      <c r="L428" s="2"/>
      <c r="M428" s="2"/>
      <c r="N428" s="2" t="s">
        <v>12391</v>
      </c>
      <c r="O428" s="2" t="s">
        <v>12392</v>
      </c>
      <c r="P428" s="2" t="s">
        <v>12393</v>
      </c>
      <c r="Q428" s="2" t="s">
        <v>12394</v>
      </c>
      <c r="R428" s="2" t="s">
        <v>355</v>
      </c>
      <c r="S428" s="2" t="s">
        <v>3110</v>
      </c>
      <c r="T428" s="2" t="s">
        <v>3111</v>
      </c>
      <c r="U428" s="2" t="s">
        <v>3292</v>
      </c>
      <c r="V428" s="2" t="s">
        <v>110</v>
      </c>
      <c r="W428" s="2"/>
    </row>
    <row r="429">
      <c r="A429" s="2" t="n">
        <v>282</v>
      </c>
      <c r="B429" s="2" t="s">
        <v>12395</v>
      </c>
      <c r="C429" s="2" t="s">
        <v>3303</v>
      </c>
      <c r="D429" s="2" t="n">
        <v>284.026599301</v>
      </c>
      <c r="E429" s="2" t="n">
        <v>2.24860474002469</v>
      </c>
      <c r="F429" s="2" t="s">
        <v>12396</v>
      </c>
      <c r="G429" s="2" t="n">
        <v>53160</v>
      </c>
      <c r="H429" s="3" t="str">
        <f>HYPERLINK("http://funmeta.oebiotech.com/network/53160", "http://funmeta.oebiotech.com/network/53160")</f>
      </c>
      <c r="I429" s="2" t="s">
        <v>12397</v>
      </c>
      <c r="J429" s="2" t="s">
        <v>12398</v>
      </c>
      <c r="K429" s="2"/>
      <c r="L429" s="2"/>
      <c r="M429" s="2" t="s">
        <v>12399</v>
      </c>
      <c r="N429" s="2" t="s">
        <v>12400</v>
      </c>
      <c r="O429" s="2" t="s">
        <v>12401</v>
      </c>
      <c r="P429" s="2" t="s">
        <v>12402</v>
      </c>
      <c r="Q429" s="2" t="s">
        <v>12403</v>
      </c>
      <c r="R429" s="2" t="s">
        <v>502</v>
      </c>
      <c r="S429" s="2" t="s">
        <v>503</v>
      </c>
      <c r="T429" s="2" t="s">
        <v>1964</v>
      </c>
      <c r="U429" s="2" t="s">
        <v>3304</v>
      </c>
      <c r="V429" s="2" t="s">
        <v>522</v>
      </c>
      <c r="W429" s="2"/>
    </row>
    <row r="430">
      <c r="A430" s="2" t="n">
        <v>282</v>
      </c>
      <c r="B430" s="2" t="s">
        <v>12404</v>
      </c>
      <c r="C430" s="2" t="s">
        <v>3303</v>
      </c>
      <c r="D430" s="2" t="n">
        <v>284.02659978</v>
      </c>
      <c r="E430" s="2" t="n">
        <v>2.24860474002469</v>
      </c>
      <c r="F430" s="2" t="s">
        <v>12405</v>
      </c>
      <c r="G430" s="2" t="n">
        <v>210745</v>
      </c>
      <c r="H430" s="3" t="str">
        <f>HYPERLINK("http://funmeta.oebiotech.com/network/210745", "http://funmeta.oebiotech.com/network/210745")</f>
      </c>
      <c r="I430" s="2" t="s">
        <v>12406</v>
      </c>
      <c r="J430" s="2"/>
      <c r="K430" s="2"/>
      <c r="L430" s="2"/>
      <c r="M430" s="2"/>
      <c r="N430" s="2"/>
      <c r="O430" s="2"/>
      <c r="P430" s="2" t="s">
        <v>12407</v>
      </c>
      <c r="Q430" s="2" t="s">
        <v>12408</v>
      </c>
      <c r="R430" s="2" t="s">
        <v>502</v>
      </c>
      <c r="S430" s="2" t="s">
        <v>503</v>
      </c>
      <c r="T430" s="2" t="s">
        <v>5710</v>
      </c>
      <c r="U430" s="2" t="s">
        <v>3304</v>
      </c>
      <c r="V430" s="2" t="s">
        <v>522</v>
      </c>
      <c r="W430" s="2"/>
    </row>
    <row r="431">
      <c r="A431" s="2" t="n">
        <v>283</v>
      </c>
      <c r="B431" s="2" t="s">
        <v>12409</v>
      </c>
      <c r="C431" s="2" t="s">
        <v>3315</v>
      </c>
      <c r="D431" s="2" t="n">
        <v>285.012156546</v>
      </c>
      <c r="E431" s="2" t="n">
        <v>5.78746661745291</v>
      </c>
      <c r="F431" s="2" t="s">
        <v>3317</v>
      </c>
      <c r="G431" s="2" t="n">
        <v>212064</v>
      </c>
      <c r="H431" s="3" t="str">
        <f>HYPERLINK("http://funmeta.oebiotech.com/network/212064", "http://funmeta.oebiotech.com/network/212064")</f>
      </c>
      <c r="I431" s="2" t="s">
        <v>3319</v>
      </c>
      <c r="J431" s="2"/>
      <c r="K431" s="2"/>
      <c r="L431" s="2"/>
      <c r="M431" s="2" t="s">
        <v>3320</v>
      </c>
      <c r="N431" s="2"/>
      <c r="O431" s="2"/>
      <c r="P431" s="2" t="s">
        <v>3321</v>
      </c>
      <c r="Q431" s="2" t="s">
        <v>3322</v>
      </c>
      <c r="R431" s="2" t="s">
        <v>502</v>
      </c>
      <c r="S431" s="2" t="s">
        <v>503</v>
      </c>
      <c r="T431" s="2" t="s">
        <v>1964</v>
      </c>
      <c r="U431" s="2" t="s">
        <v>3316</v>
      </c>
      <c r="V431" s="2" t="s">
        <v>110</v>
      </c>
      <c r="W431" s="2"/>
    </row>
    <row r="432">
      <c r="A432" s="2" t="n">
        <v>284</v>
      </c>
      <c r="B432" s="2" t="s">
        <v>12410</v>
      </c>
      <c r="C432" s="2" t="s">
        <v>3323</v>
      </c>
      <c r="D432" s="2" t="n">
        <v>285.116400588</v>
      </c>
      <c r="E432" s="2" t="n">
        <v>0.20197979767951</v>
      </c>
      <c r="F432" s="2" t="s">
        <v>3325</v>
      </c>
      <c r="G432" s="2" t="n">
        <v>205723</v>
      </c>
      <c r="H432" s="3" t="str">
        <f>HYPERLINK("http://funmeta.oebiotech.com/network/205723", "http://funmeta.oebiotech.com/network/205723")</f>
      </c>
      <c r="I432" s="2" t="s">
        <v>3327</v>
      </c>
      <c r="J432" s="2" t="s">
        <v>3328</v>
      </c>
      <c r="K432" s="2"/>
      <c r="L432" s="2"/>
      <c r="M432" s="2"/>
      <c r="N432" s="2" t="s">
        <v>3329</v>
      </c>
      <c r="O432" s="2" t="s">
        <v>3330</v>
      </c>
      <c r="P432" s="2" t="s">
        <v>3331</v>
      </c>
      <c r="Q432" s="2" t="s">
        <v>3332</v>
      </c>
      <c r="R432" s="2" t="s">
        <v>355</v>
      </c>
      <c r="S432" s="2" t="s">
        <v>3333</v>
      </c>
      <c r="T432" s="2" t="s">
        <v>3334</v>
      </c>
      <c r="U432" s="2" t="s">
        <v>3324</v>
      </c>
      <c r="V432" s="2" t="s">
        <v>522</v>
      </c>
      <c r="W432" s="2"/>
    </row>
    <row r="433">
      <c r="A433" s="2" t="n">
        <v>285</v>
      </c>
      <c r="B433" s="2" t="s">
        <v>12411</v>
      </c>
      <c r="C433" s="2" t="s">
        <v>3335</v>
      </c>
      <c r="D433" s="2" t="n">
        <v>286.92056</v>
      </c>
      <c r="E433" s="2" t="n">
        <v>0.740177113520518</v>
      </c>
      <c r="F433" s="2" t="s">
        <v>3337</v>
      </c>
      <c r="G433" s="2" t="n">
        <v>200907</v>
      </c>
      <c r="H433" s="3" t="str">
        <f>HYPERLINK("http://funmeta.oebiotech.com/network/200907", "http://funmeta.oebiotech.com/network/200907")</f>
      </c>
      <c r="I433" s="2" t="s">
        <v>3339</v>
      </c>
      <c r="J433" s="2"/>
      <c r="K433" s="2"/>
      <c r="L433" s="2"/>
      <c r="M433" s="2"/>
      <c r="N433" s="2" t="s">
        <v>3340</v>
      </c>
      <c r="O433" s="2"/>
      <c r="P433" s="2" t="s">
        <v>3341</v>
      </c>
      <c r="Q433" s="2" t="s">
        <v>3342</v>
      </c>
      <c r="R433" s="2" t="s">
        <v>502</v>
      </c>
      <c r="S433" s="2" t="s">
        <v>503</v>
      </c>
      <c r="T433" s="2" t="s">
        <v>3343</v>
      </c>
      <c r="U433" s="2" t="s">
        <v>3336</v>
      </c>
      <c r="V433" s="2" t="s">
        <v>24</v>
      </c>
      <c r="W433" s="2"/>
    </row>
    <row r="434">
      <c r="A434" s="2" t="n">
        <v>286</v>
      </c>
      <c r="B434" s="2" t="s">
        <v>12412</v>
      </c>
      <c r="C434" s="2" t="s">
        <v>3344</v>
      </c>
      <c r="D434" s="2" t="n">
        <v>288.0249866</v>
      </c>
      <c r="E434" s="2" t="n">
        <v>2.96001888377153</v>
      </c>
      <c r="F434" s="2" t="s">
        <v>3346</v>
      </c>
      <c r="G434" s="2" t="n">
        <v>205149</v>
      </c>
      <c r="H434" s="3" t="str">
        <f>HYPERLINK("http://funmeta.oebiotech.com/network/205149", "http://funmeta.oebiotech.com/network/205149")</f>
      </c>
      <c r="I434" s="2" t="s">
        <v>3348</v>
      </c>
      <c r="J434" s="2"/>
      <c r="K434" s="2"/>
      <c r="L434" s="2"/>
      <c r="M434" s="2" t="s">
        <v>3349</v>
      </c>
      <c r="N434" s="2" t="s">
        <v>3350</v>
      </c>
      <c r="O434" s="2"/>
      <c r="P434" s="2" t="s">
        <v>3351</v>
      </c>
      <c r="Q434" s="2" t="s">
        <v>3352</v>
      </c>
      <c r="R434" s="2" t="s">
        <v>49</v>
      </c>
      <c r="S434" s="2" t="s">
        <v>165</v>
      </c>
      <c r="T434" s="2" t="s">
        <v>166</v>
      </c>
      <c r="U434" s="2" t="s">
        <v>3345</v>
      </c>
      <c r="V434" s="2" t="s">
        <v>42</v>
      </c>
      <c r="W434" s="2"/>
    </row>
    <row r="435">
      <c r="A435" s="2" t="n">
        <v>287</v>
      </c>
      <c r="B435" s="2" t="s">
        <v>12413</v>
      </c>
      <c r="C435" s="2" t="s">
        <v>3353</v>
      </c>
      <c r="D435" s="2" t="n">
        <v>288.9207442</v>
      </c>
      <c r="E435" s="2" t="n">
        <v>2.90931180653409</v>
      </c>
      <c r="F435" s="2" t="s">
        <v>3355</v>
      </c>
      <c r="G435" s="2" t="n">
        <v>206716</v>
      </c>
      <c r="H435" s="3" t="str">
        <f>HYPERLINK("http://funmeta.oebiotech.com/network/206716", "http://funmeta.oebiotech.com/network/206716")</f>
      </c>
      <c r="I435" s="2" t="s">
        <v>3357</v>
      </c>
      <c r="J435" s="2"/>
      <c r="K435" s="2"/>
      <c r="L435" s="2" t="s">
        <v>3358</v>
      </c>
      <c r="M435" s="2"/>
      <c r="N435" s="2" t="s">
        <v>3359</v>
      </c>
      <c r="O435" s="2"/>
      <c r="P435" s="2" t="s">
        <v>3360</v>
      </c>
      <c r="Q435" s="2" t="s">
        <v>3361</v>
      </c>
      <c r="R435" s="2" t="s">
        <v>502</v>
      </c>
      <c r="S435" s="2" t="s">
        <v>503</v>
      </c>
      <c r="T435" s="2" t="s">
        <v>3362</v>
      </c>
      <c r="U435" s="2" t="s">
        <v>3354</v>
      </c>
      <c r="V435" s="2" t="s">
        <v>360</v>
      </c>
      <c r="W435" s="2" t="s">
        <v>39</v>
      </c>
    </row>
    <row r="436">
      <c r="A436" s="2" t="n">
        <v>288</v>
      </c>
      <c r="B436" s="2" t="s">
        <v>12414</v>
      </c>
      <c r="C436" s="2" t="s">
        <v>3363</v>
      </c>
      <c r="D436" s="2" t="n">
        <v>288.994296596</v>
      </c>
      <c r="E436" s="2" t="n">
        <v>0.0545644906199341</v>
      </c>
      <c r="F436" s="2" t="s">
        <v>3365</v>
      </c>
      <c r="G436" s="2" t="n">
        <v>208552</v>
      </c>
      <c r="H436" s="3" t="str">
        <f>HYPERLINK("http://funmeta.oebiotech.com/network/208552", "http://funmeta.oebiotech.com/network/208552")</f>
      </c>
      <c r="I436" s="2" t="s">
        <v>3367</v>
      </c>
      <c r="J436" s="2"/>
      <c r="K436" s="2"/>
      <c r="L436" s="2"/>
      <c r="M436" s="2" t="s">
        <v>3368</v>
      </c>
      <c r="N436" s="2" t="s">
        <v>3369</v>
      </c>
      <c r="O436" s="2"/>
      <c r="P436" s="2" t="s">
        <v>3370</v>
      </c>
      <c r="Q436" s="2" t="s">
        <v>3371</v>
      </c>
      <c r="R436" s="2" t="s">
        <v>502</v>
      </c>
      <c r="S436" s="2" t="s">
        <v>2413</v>
      </c>
      <c r="T436" s="2" t="s">
        <v>3372</v>
      </c>
      <c r="U436" s="2" t="s">
        <v>3364</v>
      </c>
      <c r="V436" s="2" t="s">
        <v>522</v>
      </c>
      <c r="W436" s="2"/>
    </row>
    <row r="437">
      <c r="A437" s="2" t="n">
        <v>289</v>
      </c>
      <c r="B437" s="2" t="s">
        <v>12415</v>
      </c>
      <c r="C437" s="2" t="s">
        <v>3373</v>
      </c>
      <c r="D437" s="2" t="n">
        <v>289.028301194</v>
      </c>
      <c r="E437" s="2" t="n">
        <v>2.64478811349217</v>
      </c>
      <c r="F437" s="2" t="s">
        <v>3375</v>
      </c>
      <c r="G437" s="2" t="n">
        <v>209569</v>
      </c>
      <c r="H437" s="3" t="str">
        <f>HYPERLINK("http://funmeta.oebiotech.com/network/209569", "http://funmeta.oebiotech.com/network/209569")</f>
      </c>
      <c r="I437" s="2" t="s">
        <v>3377</v>
      </c>
      <c r="J437" s="2" t="s">
        <v>3378</v>
      </c>
      <c r="K437" s="2"/>
      <c r="L437" s="2"/>
      <c r="M437" s="2" t="s">
        <v>3379</v>
      </c>
      <c r="N437" s="2" t="s">
        <v>3380</v>
      </c>
      <c r="O437" s="2" t="s">
        <v>3381</v>
      </c>
      <c r="P437" s="2" t="s">
        <v>3382</v>
      </c>
      <c r="Q437" s="2" t="s">
        <v>3383</v>
      </c>
      <c r="R437" s="2" t="s">
        <v>502</v>
      </c>
      <c r="S437" s="2" t="s">
        <v>503</v>
      </c>
      <c r="T437" s="2" t="s">
        <v>3258</v>
      </c>
      <c r="U437" s="2" t="s">
        <v>3374</v>
      </c>
      <c r="V437" s="2" t="s">
        <v>42</v>
      </c>
      <c r="W437" s="2"/>
    </row>
    <row r="438">
      <c r="A438" s="2" t="n">
        <v>290</v>
      </c>
      <c r="B438" s="2" t="s">
        <v>12416</v>
      </c>
      <c r="C438" s="2" t="s">
        <v>3384</v>
      </c>
      <c r="D438" s="2" t="n">
        <v>289.067739419</v>
      </c>
      <c r="E438" s="2" t="n">
        <v>0.87811099582081</v>
      </c>
      <c r="F438" s="2" t="s">
        <v>3386</v>
      </c>
      <c r="G438" s="2" t="n">
        <v>207240</v>
      </c>
      <c r="H438" s="3" t="str">
        <f>HYPERLINK("http://funmeta.oebiotech.com/network/207240", "http://funmeta.oebiotech.com/network/207240")</f>
      </c>
      <c r="I438" s="2" t="s">
        <v>3388</v>
      </c>
      <c r="J438" s="2"/>
      <c r="K438" s="2"/>
      <c r="L438" s="2"/>
      <c r="M438" s="2"/>
      <c r="N438" s="2"/>
      <c r="O438" s="2"/>
      <c r="P438" s="2" t="s">
        <v>3389</v>
      </c>
      <c r="Q438" s="2" t="s">
        <v>3390</v>
      </c>
      <c r="R438" s="2" t="s">
        <v>49</v>
      </c>
      <c r="S438" s="2" t="s">
        <v>165</v>
      </c>
      <c r="T438" s="2" t="s">
        <v>2874</v>
      </c>
      <c r="U438" s="2" t="s">
        <v>3385</v>
      </c>
      <c r="V438" s="2" t="s">
        <v>110</v>
      </c>
      <c r="W438" s="2"/>
    </row>
    <row r="439">
      <c r="A439" s="2" t="n">
        <v>291</v>
      </c>
      <c r="B439" s="2" t="s">
        <v>12417</v>
      </c>
      <c r="C439" s="2" t="s">
        <v>3391</v>
      </c>
      <c r="D439" s="2" t="n">
        <v>289.180918697</v>
      </c>
      <c r="E439" s="2" t="n">
        <v>7.16852768398027</v>
      </c>
      <c r="F439" s="2" t="s">
        <v>12418</v>
      </c>
      <c r="G439" s="2" t="n">
        <v>209827</v>
      </c>
      <c r="H439" s="3" t="str">
        <f>HYPERLINK("http://funmeta.oebiotech.com/network/209827", "http://funmeta.oebiotech.com/network/209827")</f>
      </c>
      <c r="I439" s="2" t="s">
        <v>12419</v>
      </c>
      <c r="J439" s="2"/>
      <c r="K439" s="2"/>
      <c r="L439" s="2"/>
      <c r="M439" s="2"/>
      <c r="N439" s="2"/>
      <c r="O439" s="2"/>
      <c r="P439" s="2" t="s">
        <v>12420</v>
      </c>
      <c r="Q439" s="2" t="s">
        <v>12421</v>
      </c>
      <c r="R439" s="2" t="s">
        <v>2509</v>
      </c>
      <c r="S439" s="2" t="s">
        <v>4528</v>
      </c>
      <c r="T439" s="2" t="s">
        <v>12422</v>
      </c>
      <c r="U439" s="2" t="s">
        <v>3392</v>
      </c>
      <c r="V439" s="2" t="s">
        <v>110</v>
      </c>
      <c r="W439" s="2"/>
    </row>
    <row r="440">
      <c r="A440" s="2" t="n">
        <v>291</v>
      </c>
      <c r="B440" s="2" t="s">
        <v>12423</v>
      </c>
      <c r="C440" s="2" t="s">
        <v>3391</v>
      </c>
      <c r="D440" s="2" t="n">
        <v>289.180918698</v>
      </c>
      <c r="E440" s="2" t="n">
        <v>7.16852768398027</v>
      </c>
      <c r="F440" s="2" t="s">
        <v>12424</v>
      </c>
      <c r="G440" s="2" t="n">
        <v>55724</v>
      </c>
      <c r="H440" s="3" t="str">
        <f>HYPERLINK("http://funmeta.oebiotech.com/network/55724", "http://funmeta.oebiotech.com/network/55724")</f>
      </c>
      <c r="I440" s="2" t="s">
        <v>12425</v>
      </c>
      <c r="J440" s="2" t="s">
        <v>12426</v>
      </c>
      <c r="K440" s="2"/>
      <c r="L440" s="2"/>
      <c r="M440" s="2" t="s">
        <v>12427</v>
      </c>
      <c r="N440" s="2" t="s">
        <v>12428</v>
      </c>
      <c r="O440" s="2" t="s">
        <v>12429</v>
      </c>
      <c r="P440" s="2" t="s">
        <v>12430</v>
      </c>
      <c r="Q440" s="2" t="s">
        <v>12431</v>
      </c>
      <c r="R440" s="2" t="s">
        <v>1490</v>
      </c>
      <c r="S440" s="2" t="s">
        <v>1491</v>
      </c>
      <c r="T440" s="2" t="s">
        <v>3437</v>
      </c>
      <c r="U440" s="2" t="s">
        <v>3392</v>
      </c>
      <c r="V440" s="2" t="s">
        <v>110</v>
      </c>
      <c r="W440" s="2"/>
    </row>
    <row r="441">
      <c r="A441" s="2" t="n">
        <v>291</v>
      </c>
      <c r="B441" s="2" t="s">
        <v>12432</v>
      </c>
      <c r="C441" s="2" t="s">
        <v>3391</v>
      </c>
      <c r="D441" s="2" t="n">
        <v>289.180918698</v>
      </c>
      <c r="E441" s="2" t="n">
        <v>7.16852768398027</v>
      </c>
      <c r="F441" s="2" t="s">
        <v>12433</v>
      </c>
      <c r="G441" s="2" t="n">
        <v>83377</v>
      </c>
      <c r="H441" s="3" t="str">
        <f>HYPERLINK("http://funmeta.oebiotech.com/network/83377", "http://funmeta.oebiotech.com/network/83377")</f>
      </c>
      <c r="I441" s="2" t="s">
        <v>12434</v>
      </c>
      <c r="J441" s="2" t="s">
        <v>12435</v>
      </c>
      <c r="K441" s="2"/>
      <c r="L441" s="2"/>
      <c r="M441" s="2"/>
      <c r="N441" s="2" t="s">
        <v>12436</v>
      </c>
      <c r="O441" s="2"/>
      <c r="P441" s="2" t="s">
        <v>12437</v>
      </c>
      <c r="Q441" s="2" t="s">
        <v>12438</v>
      </c>
      <c r="R441" s="2" t="s">
        <v>2509</v>
      </c>
      <c r="S441" s="2" t="s">
        <v>4528</v>
      </c>
      <c r="T441" s="2" t="s">
        <v>12422</v>
      </c>
      <c r="U441" s="2" t="s">
        <v>3392</v>
      </c>
      <c r="V441" s="2" t="s">
        <v>110</v>
      </c>
      <c r="W441" s="2"/>
    </row>
    <row r="442">
      <c r="A442" s="2" t="n">
        <v>292</v>
      </c>
      <c r="B442" s="2" t="s">
        <v>12439</v>
      </c>
      <c r="C442" s="2" t="s">
        <v>3405</v>
      </c>
      <c r="D442" s="2" t="n">
        <v>290.9136448</v>
      </c>
      <c r="E442" s="2" t="n">
        <v>6.45293271161751</v>
      </c>
      <c r="F442" s="2" t="s">
        <v>3407</v>
      </c>
      <c r="G442" s="2" t="n">
        <v>197250</v>
      </c>
      <c r="H442" s="3" t="str">
        <f>HYPERLINK("http://funmeta.oebiotech.com/network/197250", "http://funmeta.oebiotech.com/network/197250")</f>
      </c>
      <c r="I442" s="2" t="s">
        <v>3409</v>
      </c>
      <c r="J442" s="2"/>
      <c r="K442" s="2"/>
      <c r="L442" s="2"/>
      <c r="M442" s="2" t="s">
        <v>3410</v>
      </c>
      <c r="N442" s="2" t="s">
        <v>3411</v>
      </c>
      <c r="O442" s="2" t="s">
        <v>3412</v>
      </c>
      <c r="P442" s="2" t="s">
        <v>3413</v>
      </c>
      <c r="Q442" s="2" t="s">
        <v>3414</v>
      </c>
      <c r="R442" s="2" t="s">
        <v>502</v>
      </c>
      <c r="S442" s="2" t="s">
        <v>503</v>
      </c>
      <c r="T442" s="2" t="s">
        <v>3415</v>
      </c>
      <c r="U442" s="2" t="s">
        <v>3406</v>
      </c>
      <c r="V442" s="2" t="s">
        <v>24</v>
      </c>
      <c r="W442" s="2"/>
    </row>
    <row r="443">
      <c r="A443" s="2" t="n">
        <v>293</v>
      </c>
      <c r="B443" s="2" t="s">
        <v>12440</v>
      </c>
      <c r="C443" s="2" t="s">
        <v>3416</v>
      </c>
      <c r="D443" s="2" t="n">
        <v>291.070335823</v>
      </c>
      <c r="E443" s="2" t="n">
        <v>1.195415724896</v>
      </c>
      <c r="F443" s="2" t="s">
        <v>3418</v>
      </c>
      <c r="G443" s="2" t="n">
        <v>203059</v>
      </c>
      <c r="H443" s="3" t="str">
        <f>HYPERLINK("http://funmeta.oebiotech.com/network/203059", "http://funmeta.oebiotech.com/network/203059")</f>
      </c>
      <c r="I443" s="2" t="s">
        <v>3420</v>
      </c>
      <c r="J443" s="2"/>
      <c r="K443" s="2"/>
      <c r="L443" s="2"/>
      <c r="M443" s="2"/>
      <c r="N443" s="2" t="s">
        <v>3421</v>
      </c>
      <c r="O443" s="2"/>
      <c r="P443" s="2" t="s">
        <v>3422</v>
      </c>
      <c r="Q443" s="2" t="s">
        <v>3423</v>
      </c>
      <c r="R443" s="2" t="s">
        <v>36</v>
      </c>
      <c r="S443" s="2" t="s">
        <v>37</v>
      </c>
      <c r="T443" s="2" t="s">
        <v>1828</v>
      </c>
      <c r="U443" s="2" t="s">
        <v>3417</v>
      </c>
      <c r="V443" s="2" t="s">
        <v>24</v>
      </c>
      <c r="W443" s="2"/>
    </row>
    <row r="444">
      <c r="A444" s="2" t="n">
        <v>294</v>
      </c>
      <c r="B444" s="2" t="s">
        <v>12441</v>
      </c>
      <c r="C444" s="2" t="s">
        <v>3424</v>
      </c>
      <c r="D444" s="2" t="n">
        <v>291.196018448</v>
      </c>
      <c r="E444" s="2" t="n">
        <v>1.97108690555526</v>
      </c>
      <c r="F444" s="2" t="s">
        <v>3426</v>
      </c>
      <c r="G444" s="2" t="n">
        <v>3007</v>
      </c>
      <c r="H444" s="3" t="str">
        <f>HYPERLINK("http://funmeta.oebiotech.com/network/3007", "http://funmeta.oebiotech.com/network/3007")</f>
      </c>
      <c r="I444" s="2" t="s">
        <v>3428</v>
      </c>
      <c r="J444" s="2" t="s">
        <v>3429</v>
      </c>
      <c r="K444" s="2" t="s">
        <v>3430</v>
      </c>
      <c r="L444" s="2" t="s">
        <v>3431</v>
      </c>
      <c r="M444" s="2" t="s">
        <v>3432</v>
      </c>
      <c r="N444" s="2" t="s">
        <v>3433</v>
      </c>
      <c r="O444" s="2" t="s">
        <v>3434</v>
      </c>
      <c r="P444" s="2" t="s">
        <v>3435</v>
      </c>
      <c r="Q444" s="2" t="s">
        <v>3436</v>
      </c>
      <c r="R444" s="2" t="s">
        <v>1490</v>
      </c>
      <c r="S444" s="2" t="s">
        <v>1491</v>
      </c>
      <c r="T444" s="2" t="s">
        <v>3437</v>
      </c>
      <c r="U444" s="2" t="s">
        <v>3425</v>
      </c>
      <c r="V444" s="2" t="s">
        <v>42</v>
      </c>
      <c r="W444" s="2" t="s">
        <v>39</v>
      </c>
    </row>
    <row r="445">
      <c r="A445" s="2" t="n">
        <v>295</v>
      </c>
      <c r="B445" s="2" t="s">
        <v>12442</v>
      </c>
      <c r="C445" s="2" t="s">
        <v>3438</v>
      </c>
      <c r="D445" s="2" t="n">
        <v>292.909938345</v>
      </c>
      <c r="E445" s="2" t="n">
        <v>1.22821498616403</v>
      </c>
      <c r="F445" s="2" t="s">
        <v>3440</v>
      </c>
      <c r="G445" s="2" t="n">
        <v>200851</v>
      </c>
      <c r="H445" s="3" t="str">
        <f>HYPERLINK("http://funmeta.oebiotech.com/network/200851", "http://funmeta.oebiotech.com/network/200851")</f>
      </c>
      <c r="I445" s="2" t="s">
        <v>3442</v>
      </c>
      <c r="J445" s="2" t="s">
        <v>3443</v>
      </c>
      <c r="K445" s="2"/>
      <c r="L445" s="2" t="s">
        <v>3444</v>
      </c>
      <c r="M445" s="2" t="s">
        <v>3445</v>
      </c>
      <c r="N445" s="2" t="s">
        <v>3446</v>
      </c>
      <c r="O445" s="2" t="s">
        <v>3447</v>
      </c>
      <c r="P445" s="2" t="s">
        <v>3448</v>
      </c>
      <c r="Q445" s="2" t="s">
        <v>3449</v>
      </c>
      <c r="R445" s="2" t="s">
        <v>502</v>
      </c>
      <c r="S445" s="2" t="s">
        <v>503</v>
      </c>
      <c r="T445" s="2" t="s">
        <v>3450</v>
      </c>
      <c r="U445" s="2" t="s">
        <v>3439</v>
      </c>
      <c r="V445" s="2" t="s">
        <v>250</v>
      </c>
      <c r="W445" s="2" t="s">
        <v>39</v>
      </c>
    </row>
    <row r="446">
      <c r="A446" s="2" t="n">
        <v>296</v>
      </c>
      <c r="B446" s="2" t="s">
        <v>12443</v>
      </c>
      <c r="C446" s="2" t="s">
        <v>3451</v>
      </c>
      <c r="D446" s="2" t="n">
        <v>292.952099042</v>
      </c>
      <c r="E446" s="2" t="n">
        <v>6.38136476694448</v>
      </c>
      <c r="F446" s="2" t="s">
        <v>3453</v>
      </c>
      <c r="G446" s="2" t="n">
        <v>211437</v>
      </c>
      <c r="H446" s="3" t="str">
        <f>HYPERLINK("http://funmeta.oebiotech.com/network/211437", "http://funmeta.oebiotech.com/network/211437")</f>
      </c>
      <c r="I446" s="2" t="s">
        <v>3455</v>
      </c>
      <c r="J446" s="2"/>
      <c r="K446" s="2"/>
      <c r="L446" s="2"/>
      <c r="M446" s="2"/>
      <c r="N446" s="2" t="s">
        <v>3456</v>
      </c>
      <c r="O446" s="2"/>
      <c r="P446" s="2" t="s">
        <v>3457</v>
      </c>
      <c r="Q446" s="2" t="s">
        <v>3458</v>
      </c>
      <c r="R446" s="2" t="s">
        <v>49</v>
      </c>
      <c r="S446" s="2" t="s">
        <v>771</v>
      </c>
      <c r="T446" s="2" t="s">
        <v>772</v>
      </c>
      <c r="U446" s="2" t="s">
        <v>3452</v>
      </c>
      <c r="V446" s="2" t="s">
        <v>42</v>
      </c>
      <c r="W446" s="2"/>
    </row>
    <row r="447">
      <c r="A447" s="2" t="n">
        <v>297</v>
      </c>
      <c r="B447" s="2" t="s">
        <v>12444</v>
      </c>
      <c r="C447" s="2" t="s">
        <v>3459</v>
      </c>
      <c r="D447" s="2" t="n">
        <v>293.02222543</v>
      </c>
      <c r="E447" s="2" t="n">
        <v>0.104761745008177</v>
      </c>
      <c r="F447" s="2" t="s">
        <v>12445</v>
      </c>
      <c r="G447" s="2" t="n">
        <v>55563</v>
      </c>
      <c r="H447" s="3" t="str">
        <f>HYPERLINK("http://funmeta.oebiotech.com/network/55563", "http://funmeta.oebiotech.com/network/55563")</f>
      </c>
      <c r="I447" s="2" t="s">
        <v>12446</v>
      </c>
      <c r="J447" s="2" t="s">
        <v>12447</v>
      </c>
      <c r="K447" s="2"/>
      <c r="L447" s="2" t="s">
        <v>12448</v>
      </c>
      <c r="M447" s="2" t="s">
        <v>12449</v>
      </c>
      <c r="N447" s="2" t="s">
        <v>12450</v>
      </c>
      <c r="O447" s="2" t="s">
        <v>12451</v>
      </c>
      <c r="P447" s="2" t="s">
        <v>12452</v>
      </c>
      <c r="Q447" s="2" t="s">
        <v>12453</v>
      </c>
      <c r="R447" s="2" t="s">
        <v>2509</v>
      </c>
      <c r="S447" s="2" t="s">
        <v>2840</v>
      </c>
      <c r="T447" s="2" t="s">
        <v>205</v>
      </c>
      <c r="U447" s="2" t="s">
        <v>3460</v>
      </c>
      <c r="V447" s="2" t="s">
        <v>522</v>
      </c>
      <c r="W447" s="2" t="s">
        <v>39</v>
      </c>
    </row>
    <row r="448">
      <c r="A448" s="2" t="n">
        <v>297</v>
      </c>
      <c r="B448" s="2" t="s">
        <v>12454</v>
      </c>
      <c r="C448" s="2" t="s">
        <v>3459</v>
      </c>
      <c r="D448" s="2" t="n">
        <v>293.02222543</v>
      </c>
      <c r="E448" s="2" t="n">
        <v>0.104761745008177</v>
      </c>
      <c r="F448" s="2" t="s">
        <v>12455</v>
      </c>
      <c r="G448" s="2" t="n">
        <v>55592</v>
      </c>
      <c r="H448" s="3" t="str">
        <f>HYPERLINK("http://funmeta.oebiotech.com/network/55592", "http://funmeta.oebiotech.com/network/55592")</f>
      </c>
      <c r="I448" s="2" t="s">
        <v>12456</v>
      </c>
      <c r="J448" s="2" t="s">
        <v>12457</v>
      </c>
      <c r="K448" s="2"/>
      <c r="L448" s="2" t="s">
        <v>12458</v>
      </c>
      <c r="M448" s="2" t="s">
        <v>12459</v>
      </c>
      <c r="N448" s="2" t="s">
        <v>12460</v>
      </c>
      <c r="O448" s="2" t="s">
        <v>12461</v>
      </c>
      <c r="P448" s="2" t="s">
        <v>12462</v>
      </c>
      <c r="Q448" s="2" t="s">
        <v>12463</v>
      </c>
      <c r="R448" s="2" t="s">
        <v>355</v>
      </c>
      <c r="S448" s="2" t="s">
        <v>5537</v>
      </c>
      <c r="T448" s="2" t="s">
        <v>5538</v>
      </c>
      <c r="U448" s="2" t="s">
        <v>3460</v>
      </c>
      <c r="V448" s="2" t="s">
        <v>522</v>
      </c>
      <c r="W448" s="2" t="s">
        <v>39</v>
      </c>
    </row>
    <row r="449">
      <c r="A449" s="2" t="n">
        <v>297</v>
      </c>
      <c r="B449" s="2" t="s">
        <v>12464</v>
      </c>
      <c r="C449" s="2" t="s">
        <v>3459</v>
      </c>
      <c r="D449" s="2" t="n">
        <v>293.02222543</v>
      </c>
      <c r="E449" s="2" t="n">
        <v>0.104761745008177</v>
      </c>
      <c r="F449" s="2" t="s">
        <v>12465</v>
      </c>
      <c r="G449" s="2" t="n">
        <v>56232</v>
      </c>
      <c r="H449" s="3" t="str">
        <f>HYPERLINK("http://funmeta.oebiotech.com/network/56232", "http://funmeta.oebiotech.com/network/56232")</f>
      </c>
      <c r="I449" s="2" t="s">
        <v>12466</v>
      </c>
      <c r="J449" s="2" t="s">
        <v>12467</v>
      </c>
      <c r="K449" s="2"/>
      <c r="L449" s="2" t="s">
        <v>12468</v>
      </c>
      <c r="M449" s="2" t="s">
        <v>12469</v>
      </c>
      <c r="N449" s="2" t="s">
        <v>12470</v>
      </c>
      <c r="O449" s="2" t="s">
        <v>12471</v>
      </c>
      <c r="P449" s="2" t="s">
        <v>12472</v>
      </c>
      <c r="Q449" s="2" t="s">
        <v>12473</v>
      </c>
      <c r="R449" s="2" t="s">
        <v>355</v>
      </c>
      <c r="S449" s="2" t="s">
        <v>5537</v>
      </c>
      <c r="T449" s="2" t="s">
        <v>5538</v>
      </c>
      <c r="U449" s="2" t="s">
        <v>3460</v>
      </c>
      <c r="V449" s="2" t="s">
        <v>522</v>
      </c>
      <c r="W449" s="2" t="s">
        <v>39</v>
      </c>
    </row>
    <row r="450">
      <c r="A450" s="2" t="n">
        <v>298</v>
      </c>
      <c r="B450" s="2" t="s">
        <v>12474</v>
      </c>
      <c r="C450" s="2" t="s">
        <v>3474</v>
      </c>
      <c r="D450" s="2" t="n">
        <v>293.100376955</v>
      </c>
      <c r="E450" s="2" t="n">
        <v>3.0356539292861</v>
      </c>
      <c r="F450" s="2" t="s">
        <v>3476</v>
      </c>
      <c r="G450" s="2" t="n">
        <v>202191</v>
      </c>
      <c r="H450" s="3" t="str">
        <f>HYPERLINK("http://funmeta.oebiotech.com/network/202191", "http://funmeta.oebiotech.com/network/202191")</f>
      </c>
      <c r="I450" s="2" t="s">
        <v>3478</v>
      </c>
      <c r="J450" s="2"/>
      <c r="K450" s="2"/>
      <c r="L450" s="2"/>
      <c r="M450" s="2"/>
      <c r="N450" s="2" t="s">
        <v>3479</v>
      </c>
      <c r="O450" s="2"/>
      <c r="P450" s="2" t="s">
        <v>3480</v>
      </c>
      <c r="Q450" s="2" t="s">
        <v>3481</v>
      </c>
      <c r="R450" s="2" t="s">
        <v>2590</v>
      </c>
      <c r="S450" s="2" t="s">
        <v>3279</v>
      </c>
      <c r="T450" s="2" t="s">
        <v>205</v>
      </c>
      <c r="U450" s="2" t="s">
        <v>3475</v>
      </c>
      <c r="V450" s="2" t="s">
        <v>110</v>
      </c>
      <c r="W450" s="2"/>
    </row>
    <row r="451">
      <c r="A451" s="2" t="n">
        <v>299</v>
      </c>
      <c r="B451" s="2" t="s">
        <v>12475</v>
      </c>
      <c r="C451" s="2" t="s">
        <v>3482</v>
      </c>
      <c r="D451" s="2" t="n">
        <v>293.179204138</v>
      </c>
      <c r="E451" s="2" t="n">
        <v>4.14687475075303</v>
      </c>
      <c r="F451" s="2" t="s">
        <v>3484</v>
      </c>
      <c r="G451" s="2" t="n">
        <v>52815</v>
      </c>
      <c r="H451" s="3" t="str">
        <f>HYPERLINK("http://funmeta.oebiotech.com/network/52815", "http://funmeta.oebiotech.com/network/52815")</f>
      </c>
      <c r="I451" s="2" t="s">
        <v>3486</v>
      </c>
      <c r="J451" s="2" t="s">
        <v>3487</v>
      </c>
      <c r="K451" s="2"/>
      <c r="L451" s="2"/>
      <c r="M451" s="2"/>
      <c r="N451" s="2" t="s">
        <v>3488</v>
      </c>
      <c r="O451" s="2" t="s">
        <v>3489</v>
      </c>
      <c r="P451" s="2" t="s">
        <v>3490</v>
      </c>
      <c r="Q451" s="2" t="s">
        <v>3491</v>
      </c>
      <c r="R451" s="2" t="s">
        <v>49</v>
      </c>
      <c r="S451" s="2" t="s">
        <v>1567</v>
      </c>
      <c r="T451" s="2" t="s">
        <v>3492</v>
      </c>
      <c r="U451" s="2" t="s">
        <v>3483</v>
      </c>
      <c r="V451" s="2" t="s">
        <v>110</v>
      </c>
      <c r="W451" s="2"/>
    </row>
    <row r="452">
      <c r="A452" s="2" t="n">
        <v>300</v>
      </c>
      <c r="B452" s="2" t="s">
        <v>12476</v>
      </c>
      <c r="C452" s="2" t="s">
        <v>3493</v>
      </c>
      <c r="D452" s="2" t="n">
        <v>294.991377701</v>
      </c>
      <c r="E452" s="2" t="n">
        <v>5.48195227065148</v>
      </c>
      <c r="F452" s="2" t="s">
        <v>3495</v>
      </c>
      <c r="G452" s="2" t="n">
        <v>211926</v>
      </c>
      <c r="H452" s="3" t="str">
        <f>HYPERLINK("http://funmeta.oebiotech.com/network/211926", "http://funmeta.oebiotech.com/network/211926")</f>
      </c>
      <c r="I452" s="2" t="s">
        <v>3497</v>
      </c>
      <c r="J452" s="2"/>
      <c r="K452" s="2"/>
      <c r="L452" s="2"/>
      <c r="M452" s="2"/>
      <c r="N452" s="2"/>
      <c r="O452" s="2"/>
      <c r="P452" s="2" t="s">
        <v>3498</v>
      </c>
      <c r="Q452" s="2" t="s">
        <v>3499</v>
      </c>
      <c r="R452" s="2" t="s">
        <v>502</v>
      </c>
      <c r="S452" s="2" t="s">
        <v>503</v>
      </c>
      <c r="T452" s="2" t="s">
        <v>3415</v>
      </c>
      <c r="U452" s="2" t="s">
        <v>3494</v>
      </c>
      <c r="V452" s="2" t="s">
        <v>522</v>
      </c>
      <c r="W452" s="2"/>
    </row>
    <row r="453">
      <c r="A453" s="2" t="n">
        <v>301</v>
      </c>
      <c r="B453" s="2" t="s">
        <v>12477</v>
      </c>
      <c r="C453" s="2" t="s">
        <v>3500</v>
      </c>
      <c r="D453" s="2" t="n">
        <v>295.22786889</v>
      </c>
      <c r="E453" s="2" t="n">
        <v>3.82894585322678</v>
      </c>
      <c r="F453" s="2" t="s">
        <v>12478</v>
      </c>
      <c r="G453" s="2" t="n">
        <v>2992</v>
      </c>
      <c r="H453" s="3" t="str">
        <f>HYPERLINK("http://funmeta.oebiotech.com/network/2992", "http://funmeta.oebiotech.com/network/2992")</f>
      </c>
      <c r="I453" s="2" t="s">
        <v>12479</v>
      </c>
      <c r="J453" s="2"/>
      <c r="K453" s="2" t="s">
        <v>12480</v>
      </c>
      <c r="L453" s="2" t="s">
        <v>12481</v>
      </c>
      <c r="M453" s="2" t="s">
        <v>12482</v>
      </c>
      <c r="N453" s="2" t="s">
        <v>12483</v>
      </c>
      <c r="O453" s="2"/>
      <c r="P453" s="2" t="s">
        <v>12484</v>
      </c>
      <c r="Q453" s="2" t="s">
        <v>12485</v>
      </c>
      <c r="R453" s="2" t="s">
        <v>1490</v>
      </c>
      <c r="S453" s="2" t="s">
        <v>1491</v>
      </c>
      <c r="T453" s="2" t="s">
        <v>1492</v>
      </c>
      <c r="U453" s="2" t="s">
        <v>3501</v>
      </c>
      <c r="V453" s="2" t="s">
        <v>110</v>
      </c>
      <c r="W453" s="2" t="s">
        <v>39</v>
      </c>
    </row>
    <row r="454">
      <c r="A454" s="2" t="n">
        <v>301</v>
      </c>
      <c r="B454" s="2" t="s">
        <v>12486</v>
      </c>
      <c r="C454" s="2" t="s">
        <v>3500</v>
      </c>
      <c r="D454" s="2" t="n">
        <v>295.22786889</v>
      </c>
      <c r="E454" s="2" t="n">
        <v>3.82894585322678</v>
      </c>
      <c r="F454" s="2" t="s">
        <v>12487</v>
      </c>
      <c r="G454" s="2" t="n">
        <v>2993</v>
      </c>
      <c r="H454" s="3" t="str">
        <f>HYPERLINK("http://funmeta.oebiotech.com/network/2993", "http://funmeta.oebiotech.com/network/2993")</f>
      </c>
      <c r="I454" s="2" t="s">
        <v>12488</v>
      </c>
      <c r="J454" s="2" t="s">
        <v>12489</v>
      </c>
      <c r="K454" s="2" t="s">
        <v>12490</v>
      </c>
      <c r="L454" s="2" t="s">
        <v>12491</v>
      </c>
      <c r="M454" s="2" t="s">
        <v>12492</v>
      </c>
      <c r="N454" s="2" t="s">
        <v>12493</v>
      </c>
      <c r="O454" s="2"/>
      <c r="P454" s="2" t="s">
        <v>12494</v>
      </c>
      <c r="Q454" s="2" t="s">
        <v>12495</v>
      </c>
      <c r="R454" s="2" t="s">
        <v>1490</v>
      </c>
      <c r="S454" s="2" t="s">
        <v>1491</v>
      </c>
      <c r="T454" s="2" t="s">
        <v>1492</v>
      </c>
      <c r="U454" s="2" t="s">
        <v>3501</v>
      </c>
      <c r="V454" s="2" t="s">
        <v>110</v>
      </c>
      <c r="W454" s="2" t="s">
        <v>39</v>
      </c>
    </row>
    <row r="455">
      <c r="A455" s="2" t="n">
        <v>301</v>
      </c>
      <c r="B455" s="2" t="s">
        <v>12496</v>
      </c>
      <c r="C455" s="2" t="s">
        <v>3500</v>
      </c>
      <c r="D455" s="2" t="n">
        <v>295.22786889</v>
      </c>
      <c r="E455" s="2" t="n">
        <v>3.82894585322678</v>
      </c>
      <c r="F455" s="2" t="s">
        <v>12497</v>
      </c>
      <c r="G455" s="2" t="n">
        <v>3142</v>
      </c>
      <c r="H455" s="3" t="str">
        <f>HYPERLINK("http://funmeta.oebiotech.com/network/3142", "http://funmeta.oebiotech.com/network/3142")</f>
      </c>
      <c r="I455" s="2" t="s">
        <v>12498</v>
      </c>
      <c r="J455" s="2" t="s">
        <v>12499</v>
      </c>
      <c r="K455" s="2" t="s">
        <v>12500</v>
      </c>
      <c r="L455" s="2" t="s">
        <v>12501</v>
      </c>
      <c r="M455" s="2" t="s">
        <v>12502</v>
      </c>
      <c r="N455" s="2" t="s">
        <v>12503</v>
      </c>
      <c r="O455" s="2" t="s">
        <v>12504</v>
      </c>
      <c r="P455" s="2" t="s">
        <v>12505</v>
      </c>
      <c r="Q455" s="2" t="s">
        <v>12506</v>
      </c>
      <c r="R455" s="2" t="s">
        <v>1490</v>
      </c>
      <c r="S455" s="2" t="s">
        <v>1491</v>
      </c>
      <c r="T455" s="2" t="s">
        <v>3437</v>
      </c>
      <c r="U455" s="2" t="s">
        <v>3501</v>
      </c>
      <c r="V455" s="2" t="s">
        <v>110</v>
      </c>
      <c r="W455" s="2" t="s">
        <v>39</v>
      </c>
    </row>
    <row r="456">
      <c r="A456" s="2" t="n">
        <v>302</v>
      </c>
      <c r="B456" s="2" t="s">
        <v>12507</v>
      </c>
      <c r="C456" s="2" t="s">
        <v>3514</v>
      </c>
      <c r="D456" s="2" t="n">
        <v>296.944391236</v>
      </c>
      <c r="E456" s="2" t="n">
        <v>5.33167261550099</v>
      </c>
      <c r="F456" s="2" t="s">
        <v>3516</v>
      </c>
      <c r="G456" s="2" t="n">
        <v>212608</v>
      </c>
      <c r="H456" s="3" t="str">
        <f>HYPERLINK("http://funmeta.oebiotech.com/network/212608", "http://funmeta.oebiotech.com/network/212608")</f>
      </c>
      <c r="I456" s="2" t="s">
        <v>3518</v>
      </c>
      <c r="J456" s="2"/>
      <c r="K456" s="2"/>
      <c r="L456" s="2"/>
      <c r="M456" s="2"/>
      <c r="N456" s="2"/>
      <c r="O456" s="2"/>
      <c r="P456" s="2" t="s">
        <v>3519</v>
      </c>
      <c r="Q456" s="2" t="s">
        <v>3520</v>
      </c>
      <c r="R456" s="2" t="s">
        <v>49</v>
      </c>
      <c r="S456" s="2" t="s">
        <v>218</v>
      </c>
      <c r="T456" s="2" t="s">
        <v>219</v>
      </c>
      <c r="U456" s="2" t="s">
        <v>3515</v>
      </c>
      <c r="V456" s="2" t="s">
        <v>1019</v>
      </c>
      <c r="W456" s="2"/>
    </row>
    <row r="457">
      <c r="A457" s="2" t="n">
        <v>303</v>
      </c>
      <c r="B457" s="2" t="s">
        <v>12508</v>
      </c>
      <c r="C457" s="2" t="s">
        <v>3521</v>
      </c>
      <c r="D457" s="2" t="n">
        <v>297.046824523</v>
      </c>
      <c r="E457" s="2" t="n">
        <v>0.63406539319628</v>
      </c>
      <c r="F457" s="2" t="s">
        <v>3523</v>
      </c>
      <c r="G457" s="2" t="n">
        <v>210803</v>
      </c>
      <c r="H457" s="3" t="str">
        <f>HYPERLINK("http://funmeta.oebiotech.com/network/210803", "http://funmeta.oebiotech.com/network/210803")</f>
      </c>
      <c r="I457" s="2" t="s">
        <v>3525</v>
      </c>
      <c r="J457" s="2" t="s">
        <v>3526</v>
      </c>
      <c r="K457" s="2"/>
      <c r="L457" s="2" t="s">
        <v>3527</v>
      </c>
      <c r="M457" s="2" t="s">
        <v>3528</v>
      </c>
      <c r="N457" s="2" t="s">
        <v>3529</v>
      </c>
      <c r="O457" s="2" t="s">
        <v>3530</v>
      </c>
      <c r="P457" s="2" t="s">
        <v>3531</v>
      </c>
      <c r="Q457" s="2" t="s">
        <v>3532</v>
      </c>
      <c r="R457" s="2" t="s">
        <v>355</v>
      </c>
      <c r="S457" s="2" t="s">
        <v>3533</v>
      </c>
      <c r="T457" s="2" t="s">
        <v>3534</v>
      </c>
      <c r="U457" s="2" t="s">
        <v>3522</v>
      </c>
      <c r="V457" s="2" t="s">
        <v>110</v>
      </c>
      <c r="W457" s="2" t="s">
        <v>39</v>
      </c>
    </row>
    <row r="458">
      <c r="A458" s="2" t="n">
        <v>304</v>
      </c>
      <c r="B458" s="2" t="s">
        <v>12509</v>
      </c>
      <c r="C458" s="2" t="s">
        <v>3535</v>
      </c>
      <c r="D458" s="2" t="n">
        <v>297.149618568</v>
      </c>
      <c r="E458" s="2" t="n">
        <v>14.5768590616325</v>
      </c>
      <c r="F458" s="2" t="s">
        <v>3537</v>
      </c>
      <c r="G458" s="2" t="n">
        <v>206714</v>
      </c>
      <c r="H458" s="3" t="str">
        <f>HYPERLINK("http://funmeta.oebiotech.com/network/206714", "http://funmeta.oebiotech.com/network/206714")</f>
      </c>
      <c r="I458" s="2" t="s">
        <v>3539</v>
      </c>
      <c r="J458" s="2" t="s">
        <v>3540</v>
      </c>
      <c r="K458" s="2"/>
      <c r="L458" s="2" t="s">
        <v>3541</v>
      </c>
      <c r="M458" s="2"/>
      <c r="N458" s="2" t="s">
        <v>3542</v>
      </c>
      <c r="O458" s="2" t="s">
        <v>3543</v>
      </c>
      <c r="P458" s="2" t="s">
        <v>3544</v>
      </c>
      <c r="Q458" s="2" t="s">
        <v>3545</v>
      </c>
      <c r="R458" s="2" t="s">
        <v>1490</v>
      </c>
      <c r="S458" s="2" t="s">
        <v>3546</v>
      </c>
      <c r="T458" s="2" t="s">
        <v>3547</v>
      </c>
      <c r="U458" s="2" t="s">
        <v>3536</v>
      </c>
      <c r="V458" s="2" t="s">
        <v>110</v>
      </c>
      <c r="W458" s="2" t="s">
        <v>39</v>
      </c>
    </row>
    <row r="459">
      <c r="A459" s="2" t="n">
        <v>305</v>
      </c>
      <c r="B459" s="2" t="s">
        <v>12510</v>
      </c>
      <c r="C459" s="2" t="s">
        <v>3548</v>
      </c>
      <c r="D459" s="2" t="n">
        <v>297.27990446</v>
      </c>
      <c r="E459" s="2" t="n">
        <v>3.34700862256042</v>
      </c>
      <c r="F459" s="2" t="s">
        <v>12511</v>
      </c>
      <c r="G459" s="2" t="n">
        <v>463</v>
      </c>
      <c r="H459" s="3" t="str">
        <f>HYPERLINK("http://funmeta.oebiotech.com/network/463", "http://funmeta.oebiotech.com/network/463")</f>
      </c>
      <c r="I459" s="2" t="s">
        <v>12512</v>
      </c>
      <c r="J459" s="2" t="s">
        <v>12513</v>
      </c>
      <c r="K459" s="2" t="s">
        <v>12514</v>
      </c>
      <c r="L459" s="2" t="s">
        <v>12515</v>
      </c>
      <c r="M459" s="2" t="s">
        <v>12516</v>
      </c>
      <c r="N459" s="2" t="s">
        <v>12517</v>
      </c>
      <c r="O459" s="2" t="s">
        <v>12518</v>
      </c>
      <c r="P459" s="2" t="s">
        <v>12519</v>
      </c>
      <c r="Q459" s="2" t="s">
        <v>12520</v>
      </c>
      <c r="R459" s="2" t="s">
        <v>1490</v>
      </c>
      <c r="S459" s="2" t="s">
        <v>1491</v>
      </c>
      <c r="T459" s="2" t="s">
        <v>1492</v>
      </c>
      <c r="U459" s="2" t="s">
        <v>3549</v>
      </c>
      <c r="V459" s="2" t="s">
        <v>110</v>
      </c>
      <c r="W459" s="2" t="s">
        <v>39</v>
      </c>
    </row>
    <row r="460">
      <c r="A460" s="2" t="n">
        <v>305</v>
      </c>
      <c r="B460" s="2" t="s">
        <v>12521</v>
      </c>
      <c r="C460" s="2" t="s">
        <v>3548</v>
      </c>
      <c r="D460" s="2" t="n">
        <v>297.27990446</v>
      </c>
      <c r="E460" s="2" t="n">
        <v>3.34700862256042</v>
      </c>
      <c r="F460" s="2" t="s">
        <v>12522</v>
      </c>
      <c r="G460" s="2" t="n">
        <v>65</v>
      </c>
      <c r="H460" s="3" t="str">
        <f>HYPERLINK("http://funmeta.oebiotech.com/network/65", "http://funmeta.oebiotech.com/network/65")</f>
      </c>
      <c r="I460" s="2" t="s">
        <v>12523</v>
      </c>
      <c r="J460" s="2" t="s">
        <v>12524</v>
      </c>
      <c r="K460" s="2" t="s">
        <v>12525</v>
      </c>
      <c r="L460" s="2" t="s">
        <v>12526</v>
      </c>
      <c r="M460" s="2" t="s">
        <v>12527</v>
      </c>
      <c r="N460" s="2" t="s">
        <v>12528</v>
      </c>
      <c r="O460" s="2" t="s">
        <v>12529</v>
      </c>
      <c r="P460" s="2" t="s">
        <v>12530</v>
      </c>
      <c r="Q460" s="2" t="s">
        <v>12531</v>
      </c>
      <c r="R460" s="2" t="s">
        <v>1490</v>
      </c>
      <c r="S460" s="2" t="s">
        <v>1491</v>
      </c>
      <c r="T460" s="2" t="s">
        <v>1492</v>
      </c>
      <c r="U460" s="2" t="s">
        <v>3549</v>
      </c>
      <c r="V460" s="2" t="s">
        <v>110</v>
      </c>
      <c r="W460" s="2" t="s">
        <v>39</v>
      </c>
    </row>
    <row r="461">
      <c r="A461" s="2" t="n">
        <v>306</v>
      </c>
      <c r="B461" s="2" t="s">
        <v>12532</v>
      </c>
      <c r="C461" s="2" t="s">
        <v>3561</v>
      </c>
      <c r="D461" s="2" t="n">
        <v>299.080608474</v>
      </c>
      <c r="E461" s="2" t="n">
        <v>7.59814411484485</v>
      </c>
      <c r="F461" s="2" t="s">
        <v>3563</v>
      </c>
      <c r="G461" s="2" t="n">
        <v>209505</v>
      </c>
      <c r="H461" s="3" t="str">
        <f>HYPERLINK("http://funmeta.oebiotech.com/network/209505", "http://funmeta.oebiotech.com/network/209505")</f>
      </c>
      <c r="I461" s="2" t="s">
        <v>3565</v>
      </c>
      <c r="J461" s="2"/>
      <c r="K461" s="2"/>
      <c r="L461" s="2"/>
      <c r="M461" s="2"/>
      <c r="N461" s="2" t="s">
        <v>3566</v>
      </c>
      <c r="O461" s="2"/>
      <c r="P461" s="2" t="s">
        <v>3567</v>
      </c>
      <c r="Q461" s="2" t="s">
        <v>3568</v>
      </c>
      <c r="R461" s="2" t="s">
        <v>355</v>
      </c>
      <c r="S461" s="2" t="s">
        <v>3569</v>
      </c>
      <c r="T461" s="2" t="s">
        <v>205</v>
      </c>
      <c r="U461" s="2" t="s">
        <v>3562</v>
      </c>
      <c r="V461" s="2" t="s">
        <v>24</v>
      </c>
      <c r="W461" s="2"/>
    </row>
    <row r="462">
      <c r="A462" s="2" t="n">
        <v>307</v>
      </c>
      <c r="B462" s="2" t="s">
        <v>12533</v>
      </c>
      <c r="C462" s="2" t="s">
        <v>3570</v>
      </c>
      <c r="D462" s="2" t="n">
        <v>299.13205065</v>
      </c>
      <c r="E462" s="2" t="n">
        <v>4.74852923945878</v>
      </c>
      <c r="F462" s="2" t="s">
        <v>3572</v>
      </c>
      <c r="G462" s="2" t="n">
        <v>53653</v>
      </c>
      <c r="H462" s="3" t="str">
        <f>HYPERLINK("http://funmeta.oebiotech.com/network/53653", "http://funmeta.oebiotech.com/network/53653")</f>
      </c>
      <c r="I462" s="2" t="s">
        <v>3574</v>
      </c>
      <c r="J462" s="2" t="s">
        <v>3575</v>
      </c>
      <c r="K462" s="2"/>
      <c r="L462" s="2"/>
      <c r="M462" s="2" t="s">
        <v>3576</v>
      </c>
      <c r="N462" s="2" t="s">
        <v>3577</v>
      </c>
      <c r="O462" s="2" t="s">
        <v>3578</v>
      </c>
      <c r="P462" s="2" t="s">
        <v>3579</v>
      </c>
      <c r="Q462" s="2" t="s">
        <v>3580</v>
      </c>
      <c r="R462" s="2" t="s">
        <v>355</v>
      </c>
      <c r="S462" s="2" t="s">
        <v>3333</v>
      </c>
      <c r="T462" s="2" t="s">
        <v>3334</v>
      </c>
      <c r="U462" s="2" t="s">
        <v>3571</v>
      </c>
      <c r="V462" s="2" t="s">
        <v>522</v>
      </c>
      <c r="W462" s="2"/>
    </row>
    <row r="463">
      <c r="A463" s="2" t="n">
        <v>308</v>
      </c>
      <c r="B463" s="2" t="s">
        <v>12534</v>
      </c>
      <c r="C463" s="2" t="s">
        <v>3581</v>
      </c>
      <c r="D463" s="2" t="n">
        <v>299.259169019</v>
      </c>
      <c r="E463" s="2" t="n">
        <v>0.363837003412868</v>
      </c>
      <c r="F463" s="2" t="s">
        <v>3583</v>
      </c>
      <c r="G463" s="2" t="n">
        <v>1951</v>
      </c>
      <c r="H463" s="3" t="str">
        <f>HYPERLINK("http://funmeta.oebiotech.com/network/1951", "http://funmeta.oebiotech.com/network/1951")</f>
      </c>
      <c r="I463" s="2" t="s">
        <v>3585</v>
      </c>
      <c r="J463" s="2"/>
      <c r="K463" s="2" t="s">
        <v>3586</v>
      </c>
      <c r="L463" s="2" t="s">
        <v>3587</v>
      </c>
      <c r="M463" s="2" t="s">
        <v>3588</v>
      </c>
      <c r="N463" s="2" t="s">
        <v>3589</v>
      </c>
      <c r="O463" s="2" t="s">
        <v>3590</v>
      </c>
      <c r="P463" s="2" t="s">
        <v>3591</v>
      </c>
      <c r="Q463" s="2" t="s">
        <v>3592</v>
      </c>
      <c r="R463" s="2" t="s">
        <v>1490</v>
      </c>
      <c r="S463" s="2" t="s">
        <v>1491</v>
      </c>
      <c r="T463" s="2" t="s">
        <v>1492</v>
      </c>
      <c r="U463" s="2" t="s">
        <v>3582</v>
      </c>
      <c r="V463" s="2" t="s">
        <v>110</v>
      </c>
      <c r="W463" s="2" t="s">
        <v>39</v>
      </c>
    </row>
    <row r="464">
      <c r="A464" s="2" t="n">
        <v>309</v>
      </c>
      <c r="B464" s="2" t="s">
        <v>12535</v>
      </c>
      <c r="C464" s="2" t="s">
        <v>3593</v>
      </c>
      <c r="D464" s="2" t="n">
        <v>299.950334637</v>
      </c>
      <c r="E464" s="2" t="n">
        <v>5.75566546564278</v>
      </c>
      <c r="F464" s="2" t="s">
        <v>3595</v>
      </c>
      <c r="G464" s="2" t="n">
        <v>210007</v>
      </c>
      <c r="H464" s="3" t="str">
        <f>HYPERLINK("http://funmeta.oebiotech.com/network/210007", "http://funmeta.oebiotech.com/network/210007")</f>
      </c>
      <c r="I464" s="2" t="s">
        <v>3597</v>
      </c>
      <c r="J464" s="2" t="s">
        <v>3598</v>
      </c>
      <c r="K464" s="2"/>
      <c r="L464" s="2" t="s">
        <v>3599</v>
      </c>
      <c r="M464" s="2" t="s">
        <v>3600</v>
      </c>
      <c r="N464" s="2" t="s">
        <v>3601</v>
      </c>
      <c r="O464" s="2" t="s">
        <v>3602</v>
      </c>
      <c r="P464" s="2" t="s">
        <v>3603</v>
      </c>
      <c r="Q464" s="2" t="s">
        <v>3604</v>
      </c>
      <c r="R464" s="2" t="s">
        <v>49</v>
      </c>
      <c r="S464" s="2" t="s">
        <v>3605</v>
      </c>
      <c r="T464" s="2" t="s">
        <v>3606</v>
      </c>
      <c r="U464" s="2" t="s">
        <v>3594</v>
      </c>
      <c r="V464" s="2" t="s">
        <v>250</v>
      </c>
      <c r="W464" s="2" t="s">
        <v>39</v>
      </c>
    </row>
    <row r="465">
      <c r="A465" s="2" t="n">
        <v>310</v>
      </c>
      <c r="B465" s="2" t="s">
        <v>12536</v>
      </c>
      <c r="C465" s="2" t="s">
        <v>3607</v>
      </c>
      <c r="D465" s="2" t="n">
        <v>300.018346872</v>
      </c>
      <c r="E465" s="2" t="n">
        <v>10.0381350702811</v>
      </c>
      <c r="F465" s="2" t="s">
        <v>3609</v>
      </c>
      <c r="G465" s="2" t="n">
        <v>201914</v>
      </c>
      <c r="H465" s="3" t="str">
        <f>HYPERLINK("http://funmeta.oebiotech.com/network/201914", "http://funmeta.oebiotech.com/network/201914")</f>
      </c>
      <c r="I465" s="2" t="s">
        <v>3611</v>
      </c>
      <c r="J465" s="2" t="s">
        <v>3612</v>
      </c>
      <c r="K465" s="2"/>
      <c r="L465" s="2"/>
      <c r="M465" s="2"/>
      <c r="N465" s="2" t="s">
        <v>3613</v>
      </c>
      <c r="O465" s="2"/>
      <c r="P465" s="2" t="s">
        <v>3614</v>
      </c>
      <c r="Q465" s="2" t="s">
        <v>3615</v>
      </c>
      <c r="R465" s="2" t="s">
        <v>49</v>
      </c>
      <c r="S465" s="2" t="s">
        <v>165</v>
      </c>
      <c r="T465" s="2" t="s">
        <v>166</v>
      </c>
      <c r="U465" s="2" t="s">
        <v>3608</v>
      </c>
      <c r="V465" s="2" t="s">
        <v>110</v>
      </c>
      <c r="W465" s="2"/>
    </row>
    <row r="466">
      <c r="A466" s="2" t="n">
        <v>311</v>
      </c>
      <c r="B466" s="2" t="s">
        <v>12537</v>
      </c>
      <c r="C466" s="2" t="s">
        <v>3616</v>
      </c>
      <c r="D466" s="2" t="n">
        <v>300.043294962</v>
      </c>
      <c r="E466" s="2" t="n">
        <v>1.14616544230676</v>
      </c>
      <c r="F466" s="2" t="s">
        <v>3618</v>
      </c>
      <c r="G466" s="2" t="n">
        <v>203984</v>
      </c>
      <c r="H466" s="3" t="str">
        <f>HYPERLINK("http://funmeta.oebiotech.com/network/203984", "http://funmeta.oebiotech.com/network/203984")</f>
      </c>
      <c r="I466" s="2" t="s">
        <v>3620</v>
      </c>
      <c r="J466" s="2"/>
      <c r="K466" s="2"/>
      <c r="L466" s="2"/>
      <c r="M466" s="2" t="s">
        <v>3621</v>
      </c>
      <c r="N466" s="2" t="s">
        <v>3622</v>
      </c>
      <c r="O466" s="2"/>
      <c r="P466" s="2" t="s">
        <v>3623</v>
      </c>
      <c r="Q466" s="2" t="s">
        <v>3624</v>
      </c>
      <c r="R466" s="2" t="s">
        <v>355</v>
      </c>
      <c r="S466" s="2" t="s">
        <v>356</v>
      </c>
      <c r="T466" s="2" t="s">
        <v>3625</v>
      </c>
      <c r="U466" s="2" t="s">
        <v>3617</v>
      </c>
      <c r="V466" s="2" t="s">
        <v>110</v>
      </c>
      <c r="W466" s="2"/>
    </row>
    <row r="467">
      <c r="A467" s="2" t="n">
        <v>312</v>
      </c>
      <c r="B467" s="2" t="s">
        <v>12538</v>
      </c>
      <c r="C467" s="2" t="s">
        <v>3626</v>
      </c>
      <c r="D467" s="2" t="n">
        <v>300.9782858</v>
      </c>
      <c r="E467" s="2" t="n">
        <v>4.43276922322255</v>
      </c>
      <c r="F467" s="2" t="s">
        <v>3628</v>
      </c>
      <c r="G467" s="2" t="n">
        <v>205625</v>
      </c>
      <c r="H467" s="3" t="str">
        <f>HYPERLINK("http://funmeta.oebiotech.com/network/205625", "http://funmeta.oebiotech.com/network/205625")</f>
      </c>
      <c r="I467" s="2" t="s">
        <v>3630</v>
      </c>
      <c r="J467" s="2"/>
      <c r="K467" s="2"/>
      <c r="L467" s="2"/>
      <c r="M467" s="2"/>
      <c r="N467" s="2" t="s">
        <v>3631</v>
      </c>
      <c r="O467" s="2"/>
      <c r="P467" s="2" t="s">
        <v>3632</v>
      </c>
      <c r="Q467" s="2" t="s">
        <v>3633</v>
      </c>
      <c r="R467" s="2" t="s">
        <v>64</v>
      </c>
      <c r="S467" s="2" t="s">
        <v>65</v>
      </c>
      <c r="T467" s="2" t="s">
        <v>91</v>
      </c>
      <c r="U467" s="2" t="s">
        <v>3627</v>
      </c>
      <c r="V467" s="2" t="s">
        <v>42</v>
      </c>
      <c r="W467" s="2"/>
    </row>
    <row r="468">
      <c r="A468" s="2" t="n">
        <v>313</v>
      </c>
      <c r="B468" s="2" t="s">
        <v>12539</v>
      </c>
      <c r="C468" s="2" t="s">
        <v>3634</v>
      </c>
      <c r="D468" s="2" t="n">
        <v>301.051630819</v>
      </c>
      <c r="E468" s="2" t="n">
        <v>9.15222419968385</v>
      </c>
      <c r="F468" s="2" t="s">
        <v>3636</v>
      </c>
      <c r="G468" s="2" t="n">
        <v>210567</v>
      </c>
      <c r="H468" s="3" t="str">
        <f>HYPERLINK("http://funmeta.oebiotech.com/network/210567", "http://funmeta.oebiotech.com/network/210567")</f>
      </c>
      <c r="I468" s="2" t="s">
        <v>3638</v>
      </c>
      <c r="J468" s="2"/>
      <c r="K468" s="2"/>
      <c r="L468" s="2"/>
      <c r="M468" s="2"/>
      <c r="N468" s="2"/>
      <c r="O468" s="2"/>
      <c r="P468" s="2" t="s">
        <v>3639</v>
      </c>
      <c r="Q468" s="2" t="s">
        <v>3640</v>
      </c>
      <c r="R468" s="2" t="s">
        <v>49</v>
      </c>
      <c r="S468" s="2" t="s">
        <v>3605</v>
      </c>
      <c r="T468" s="2" t="s">
        <v>3606</v>
      </c>
      <c r="U468" s="2" t="s">
        <v>3635</v>
      </c>
      <c r="V468" s="2" t="s">
        <v>24</v>
      </c>
      <c r="W468" s="2"/>
    </row>
    <row r="469">
      <c r="A469" s="2" t="n">
        <v>314</v>
      </c>
      <c r="B469" s="2" t="s">
        <v>12540</v>
      </c>
      <c r="C469" s="2" t="s">
        <v>3641</v>
      </c>
      <c r="D469" s="2" t="n">
        <v>301.10008182</v>
      </c>
      <c r="E469" s="2" t="n">
        <v>3.26859182397645</v>
      </c>
      <c r="F469" s="2" t="s">
        <v>12541</v>
      </c>
      <c r="G469" s="2" t="n">
        <v>208448</v>
      </c>
      <c r="H469" s="3" t="str">
        <f>HYPERLINK("http://funmeta.oebiotech.com/network/208448", "http://funmeta.oebiotech.com/network/208448")</f>
      </c>
      <c r="I469" s="2" t="s">
        <v>12542</v>
      </c>
      <c r="J469" s="2" t="s">
        <v>12543</v>
      </c>
      <c r="K469" s="2"/>
      <c r="L469" s="2" t="s">
        <v>12544</v>
      </c>
      <c r="M469" s="2"/>
      <c r="N469" s="2" t="s">
        <v>12545</v>
      </c>
      <c r="O469" s="2" t="s">
        <v>12546</v>
      </c>
      <c r="P469" s="2" t="s">
        <v>12547</v>
      </c>
      <c r="Q469" s="2" t="s">
        <v>12548</v>
      </c>
      <c r="R469" s="2" t="s">
        <v>502</v>
      </c>
      <c r="S469" s="2" t="s">
        <v>503</v>
      </c>
      <c r="T469" s="2" t="s">
        <v>3450</v>
      </c>
      <c r="U469" s="2" t="s">
        <v>3642</v>
      </c>
      <c r="V469" s="2" t="s">
        <v>522</v>
      </c>
      <c r="W469" s="2" t="s">
        <v>39</v>
      </c>
    </row>
    <row r="470">
      <c r="A470" s="2" t="n">
        <v>314</v>
      </c>
      <c r="B470" s="2" t="s">
        <v>12549</v>
      </c>
      <c r="C470" s="2" t="s">
        <v>3641</v>
      </c>
      <c r="D470" s="2" t="n">
        <v>301.10008182</v>
      </c>
      <c r="E470" s="2" t="n">
        <v>3.26859182397645</v>
      </c>
      <c r="F470" s="2" t="s">
        <v>12550</v>
      </c>
      <c r="G470" s="2" t="n">
        <v>207582</v>
      </c>
      <c r="H470" s="3" t="str">
        <f>HYPERLINK("http://funmeta.oebiotech.com/network/207582", "http://funmeta.oebiotech.com/network/207582")</f>
      </c>
      <c r="I470" s="2" t="s">
        <v>12551</v>
      </c>
      <c r="J470" s="2" t="s">
        <v>12552</v>
      </c>
      <c r="K470" s="2"/>
      <c r="L470" s="2" t="s">
        <v>12553</v>
      </c>
      <c r="M470" s="2"/>
      <c r="N470" s="2" t="s">
        <v>12554</v>
      </c>
      <c r="O470" s="2" t="s">
        <v>12555</v>
      </c>
      <c r="P470" s="2" t="s">
        <v>12556</v>
      </c>
      <c r="Q470" s="2" t="s">
        <v>12557</v>
      </c>
      <c r="R470" s="2" t="s">
        <v>502</v>
      </c>
      <c r="S470" s="2" t="s">
        <v>503</v>
      </c>
      <c r="T470" s="2" t="s">
        <v>3450</v>
      </c>
      <c r="U470" s="2" t="s">
        <v>3642</v>
      </c>
      <c r="V470" s="2" t="s">
        <v>522</v>
      </c>
      <c r="W470" s="2" t="s">
        <v>39</v>
      </c>
    </row>
    <row r="471">
      <c r="A471" s="2" t="n">
        <v>315</v>
      </c>
      <c r="B471" s="2" t="s">
        <v>12558</v>
      </c>
      <c r="C471" s="2" t="s">
        <v>3653</v>
      </c>
      <c r="D471" s="2" t="n">
        <v>302.037163987</v>
      </c>
      <c r="E471" s="2" t="n">
        <v>1.75825584861447</v>
      </c>
      <c r="F471" s="2" t="s">
        <v>3655</v>
      </c>
      <c r="G471" s="2" t="n">
        <v>52657</v>
      </c>
      <c r="H471" s="3" t="str">
        <f>HYPERLINK("http://funmeta.oebiotech.com/network/52657", "http://funmeta.oebiotech.com/network/52657")</f>
      </c>
      <c r="I471" s="2" t="s">
        <v>3657</v>
      </c>
      <c r="J471" s="2" t="s">
        <v>3658</v>
      </c>
      <c r="K471" s="2"/>
      <c r="L471" s="2" t="s">
        <v>3659</v>
      </c>
      <c r="M471" s="2" t="s">
        <v>3660</v>
      </c>
      <c r="N471" s="2" t="s">
        <v>3661</v>
      </c>
      <c r="O471" s="2" t="s">
        <v>3662</v>
      </c>
      <c r="P471" s="2" t="s">
        <v>3663</v>
      </c>
      <c r="Q471" s="2" t="s">
        <v>3664</v>
      </c>
      <c r="R471" s="2" t="s">
        <v>502</v>
      </c>
      <c r="S471" s="2" t="s">
        <v>503</v>
      </c>
      <c r="T471" s="2" t="s">
        <v>1964</v>
      </c>
      <c r="U471" s="2" t="s">
        <v>3654</v>
      </c>
      <c r="V471" s="2" t="s">
        <v>522</v>
      </c>
      <c r="W471" s="2" t="s">
        <v>39</v>
      </c>
    </row>
    <row r="472">
      <c r="A472" s="2" t="n">
        <v>316</v>
      </c>
      <c r="B472" s="2" t="s">
        <v>12559</v>
      </c>
      <c r="C472" s="2" t="s">
        <v>3665</v>
      </c>
      <c r="D472" s="2" t="n">
        <v>302.135759408</v>
      </c>
      <c r="E472" s="2" t="n">
        <v>0.503471815717509</v>
      </c>
      <c r="F472" s="2" t="s">
        <v>12560</v>
      </c>
      <c r="G472" s="2" t="n">
        <v>209695</v>
      </c>
      <c r="H472" s="3" t="str">
        <f>HYPERLINK("http://funmeta.oebiotech.com/network/209695", "http://funmeta.oebiotech.com/network/209695")</f>
      </c>
      <c r="I472" s="2" t="s">
        <v>12561</v>
      </c>
      <c r="J472" s="2"/>
      <c r="K472" s="2"/>
      <c r="L472" s="2"/>
      <c r="M472" s="2"/>
      <c r="N472" s="2" t="s">
        <v>12562</v>
      </c>
      <c r="O472" s="2"/>
      <c r="P472" s="2" t="s">
        <v>12563</v>
      </c>
      <c r="Q472" s="2" t="s">
        <v>12564</v>
      </c>
      <c r="R472" s="2" t="s">
        <v>49</v>
      </c>
      <c r="S472" s="2" t="s">
        <v>165</v>
      </c>
      <c r="T472" s="2" t="s">
        <v>166</v>
      </c>
      <c r="U472" s="2" t="s">
        <v>3666</v>
      </c>
      <c r="V472" s="2" t="s">
        <v>110</v>
      </c>
      <c r="W472" s="2"/>
    </row>
    <row r="473">
      <c r="A473" s="2" t="n">
        <v>316</v>
      </c>
      <c r="B473" s="2" t="s">
        <v>12565</v>
      </c>
      <c r="C473" s="2" t="s">
        <v>3665</v>
      </c>
      <c r="D473" s="2" t="n">
        <v>302.135759408</v>
      </c>
      <c r="E473" s="2" t="n">
        <v>0.503471815717509</v>
      </c>
      <c r="F473" s="2" t="s">
        <v>12566</v>
      </c>
      <c r="G473" s="2" t="n">
        <v>209063</v>
      </c>
      <c r="H473" s="3" t="str">
        <f>HYPERLINK("http://funmeta.oebiotech.com/network/209063", "http://funmeta.oebiotech.com/network/209063")</f>
      </c>
      <c r="I473" s="2" t="s">
        <v>12567</v>
      </c>
      <c r="J473" s="2"/>
      <c r="K473" s="2"/>
      <c r="L473" s="2"/>
      <c r="M473" s="2" t="s">
        <v>12568</v>
      </c>
      <c r="N473" s="2" t="s">
        <v>12569</v>
      </c>
      <c r="O473" s="2"/>
      <c r="P473" s="2" t="s">
        <v>12570</v>
      </c>
      <c r="Q473" s="2" t="s">
        <v>12571</v>
      </c>
      <c r="R473" s="2" t="s">
        <v>49</v>
      </c>
      <c r="S473" s="2" t="s">
        <v>165</v>
      </c>
      <c r="T473" s="2" t="s">
        <v>166</v>
      </c>
      <c r="U473" s="2" t="s">
        <v>3666</v>
      </c>
      <c r="V473" s="2" t="s">
        <v>110</v>
      </c>
      <c r="W473" s="2"/>
    </row>
    <row r="474">
      <c r="A474" s="2" t="n">
        <v>316</v>
      </c>
      <c r="B474" s="2" t="s">
        <v>12572</v>
      </c>
      <c r="C474" s="2" t="s">
        <v>3665</v>
      </c>
      <c r="D474" s="2" t="n">
        <v>302.135759419</v>
      </c>
      <c r="E474" s="2" t="n">
        <v>0.503471815717509</v>
      </c>
      <c r="F474" s="2" t="s">
        <v>12573</v>
      </c>
      <c r="G474" s="2" t="n">
        <v>62700</v>
      </c>
      <c r="H474" s="3" t="str">
        <f>HYPERLINK("http://funmeta.oebiotech.com/network/62700", "http://funmeta.oebiotech.com/network/62700")</f>
      </c>
      <c r="I474" s="2" t="s">
        <v>12574</v>
      </c>
      <c r="J474" s="2" t="s">
        <v>12575</v>
      </c>
      <c r="K474" s="2"/>
      <c r="L474" s="2"/>
      <c r="M474" s="2" t="s">
        <v>12576</v>
      </c>
      <c r="N474" s="2" t="s">
        <v>12577</v>
      </c>
      <c r="O474" s="2" t="s">
        <v>12578</v>
      </c>
      <c r="P474" s="2" t="s">
        <v>12579</v>
      </c>
      <c r="Q474" s="2" t="s">
        <v>12580</v>
      </c>
      <c r="R474" s="2" t="s">
        <v>49</v>
      </c>
      <c r="S474" s="2" t="s">
        <v>165</v>
      </c>
      <c r="T474" s="2" t="s">
        <v>166</v>
      </c>
      <c r="U474" s="2" t="s">
        <v>3666</v>
      </c>
      <c r="V474" s="2" t="s">
        <v>110</v>
      </c>
      <c r="W474" s="2"/>
    </row>
    <row r="475">
      <c r="A475" s="2" t="n">
        <v>317</v>
      </c>
      <c r="B475" s="2" t="s">
        <v>12581</v>
      </c>
      <c r="C475" s="2" t="s">
        <v>3676</v>
      </c>
      <c r="D475" s="2" t="n">
        <v>303.038761292</v>
      </c>
      <c r="E475" s="2" t="n">
        <v>1.50620140075131</v>
      </c>
      <c r="F475" s="2" t="s">
        <v>3678</v>
      </c>
      <c r="G475" s="2" t="n">
        <v>47658</v>
      </c>
      <c r="H475" s="3" t="str">
        <f>HYPERLINK("http://funmeta.oebiotech.com/network/47658", "http://funmeta.oebiotech.com/network/47658")</f>
      </c>
      <c r="I475" s="2" t="s">
        <v>3680</v>
      </c>
      <c r="J475" s="2"/>
      <c r="K475" s="2"/>
      <c r="L475" s="2" t="s">
        <v>3681</v>
      </c>
      <c r="M475" s="2" t="s">
        <v>3682</v>
      </c>
      <c r="N475" s="2" t="s">
        <v>3683</v>
      </c>
      <c r="O475" s="2" t="s">
        <v>3684</v>
      </c>
      <c r="P475" s="2" t="s">
        <v>3685</v>
      </c>
      <c r="Q475" s="2" t="s">
        <v>3686</v>
      </c>
      <c r="R475" s="2" t="s">
        <v>355</v>
      </c>
      <c r="S475" s="2" t="s">
        <v>3687</v>
      </c>
      <c r="T475" s="2" t="s">
        <v>3688</v>
      </c>
      <c r="U475" s="2" t="s">
        <v>3677</v>
      </c>
      <c r="V475" s="2" t="s">
        <v>110</v>
      </c>
      <c r="W475" s="2" t="s">
        <v>39</v>
      </c>
    </row>
    <row r="476">
      <c r="A476" s="2" t="n">
        <v>318</v>
      </c>
      <c r="B476" s="2" t="s">
        <v>12582</v>
      </c>
      <c r="C476" s="2" t="s">
        <v>3689</v>
      </c>
      <c r="D476" s="2" t="n">
        <v>303.947614</v>
      </c>
      <c r="E476" s="2" t="n">
        <v>1.4091585491626</v>
      </c>
      <c r="F476" s="2" t="s">
        <v>12583</v>
      </c>
      <c r="G476" s="2" t="n">
        <v>207296</v>
      </c>
      <c r="H476" s="3" t="str">
        <f>HYPERLINK("http://funmeta.oebiotech.com/network/207296", "http://funmeta.oebiotech.com/network/207296")</f>
      </c>
      <c r="I476" s="2" t="s">
        <v>12584</v>
      </c>
      <c r="J476" s="2"/>
      <c r="K476" s="2"/>
      <c r="L476" s="2"/>
      <c r="M476" s="2"/>
      <c r="N476" s="2" t="s">
        <v>12585</v>
      </c>
      <c r="O476" s="2"/>
      <c r="P476" s="2" t="s">
        <v>12586</v>
      </c>
      <c r="Q476" s="2" t="s">
        <v>12587</v>
      </c>
      <c r="R476" s="2" t="s">
        <v>502</v>
      </c>
      <c r="S476" s="2" t="s">
        <v>503</v>
      </c>
      <c r="T476" s="2" t="s">
        <v>2174</v>
      </c>
      <c r="U476" s="2" t="s">
        <v>3690</v>
      </c>
      <c r="V476" s="2" t="s">
        <v>110</v>
      </c>
      <c r="W476" s="2"/>
    </row>
    <row r="477">
      <c r="A477" s="2" t="n">
        <v>318</v>
      </c>
      <c r="B477" s="2" t="s">
        <v>12588</v>
      </c>
      <c r="C477" s="2" t="s">
        <v>3689</v>
      </c>
      <c r="D477" s="2" t="n">
        <v>303.947614</v>
      </c>
      <c r="E477" s="2" t="n">
        <v>1.4091585491626</v>
      </c>
      <c r="F477" s="2" t="s">
        <v>12589</v>
      </c>
      <c r="G477" s="2" t="n">
        <v>200621</v>
      </c>
      <c r="H477" s="3" t="str">
        <f>HYPERLINK("http://funmeta.oebiotech.com/network/200621", "http://funmeta.oebiotech.com/network/200621")</f>
      </c>
      <c r="I477" s="2" t="s">
        <v>12590</v>
      </c>
      <c r="J477" s="2" t="s">
        <v>12591</v>
      </c>
      <c r="K477" s="2"/>
      <c r="L477" s="2"/>
      <c r="M477" s="2" t="s">
        <v>12592</v>
      </c>
      <c r="N477" s="2" t="s">
        <v>12593</v>
      </c>
      <c r="O477" s="2"/>
      <c r="P477" s="2" t="s">
        <v>12594</v>
      </c>
      <c r="Q477" s="2" t="s">
        <v>12595</v>
      </c>
      <c r="R477" s="2" t="s">
        <v>502</v>
      </c>
      <c r="S477" s="2" t="s">
        <v>503</v>
      </c>
      <c r="T477" s="2" t="s">
        <v>2174</v>
      </c>
      <c r="U477" s="2" t="s">
        <v>3690</v>
      </c>
      <c r="V477" s="2" t="s">
        <v>110</v>
      </c>
      <c r="W477" s="2"/>
    </row>
    <row r="478">
      <c r="A478" s="2" t="n">
        <v>318</v>
      </c>
      <c r="B478" s="2" t="s">
        <v>12596</v>
      </c>
      <c r="C478" s="2" t="s">
        <v>3689</v>
      </c>
      <c r="D478" s="2" t="n">
        <v>303.947614</v>
      </c>
      <c r="E478" s="2" t="n">
        <v>1.4091585491626</v>
      </c>
      <c r="F478" s="2" t="s">
        <v>12597</v>
      </c>
      <c r="G478" s="2" t="n">
        <v>208428</v>
      </c>
      <c r="H478" s="3" t="str">
        <f>HYPERLINK("http://funmeta.oebiotech.com/network/208428", "http://funmeta.oebiotech.com/network/208428")</f>
      </c>
      <c r="I478" s="2" t="s">
        <v>12598</v>
      </c>
      <c r="J478" s="2"/>
      <c r="K478" s="2"/>
      <c r="L478" s="2"/>
      <c r="M478" s="2"/>
      <c r="N478" s="2" t="s">
        <v>12599</v>
      </c>
      <c r="O478" s="2"/>
      <c r="P478" s="2" t="s">
        <v>12600</v>
      </c>
      <c r="Q478" s="2" t="s">
        <v>12601</v>
      </c>
      <c r="R478" s="2" t="s">
        <v>502</v>
      </c>
      <c r="S478" s="2" t="s">
        <v>503</v>
      </c>
      <c r="T478" s="2" t="s">
        <v>2174</v>
      </c>
      <c r="U478" s="2" t="s">
        <v>3690</v>
      </c>
      <c r="V478" s="2" t="s">
        <v>110</v>
      </c>
      <c r="W478" s="2"/>
    </row>
    <row r="479">
      <c r="A479" s="2" t="n">
        <v>319</v>
      </c>
      <c r="B479" s="2" t="s">
        <v>12602</v>
      </c>
      <c r="C479" s="2" t="s">
        <v>3702</v>
      </c>
      <c r="D479" s="2" t="n">
        <v>305.0352884</v>
      </c>
      <c r="E479" s="2" t="n">
        <v>2.73209370695167</v>
      </c>
      <c r="F479" s="2" t="s">
        <v>3704</v>
      </c>
      <c r="G479" s="2" t="n">
        <v>205896</v>
      </c>
      <c r="H479" s="3" t="str">
        <f>HYPERLINK("http://funmeta.oebiotech.com/network/205896", "http://funmeta.oebiotech.com/network/205896")</f>
      </c>
      <c r="I479" s="2" t="s">
        <v>3706</v>
      </c>
      <c r="J479" s="2"/>
      <c r="K479" s="2"/>
      <c r="L479" s="2"/>
      <c r="M479" s="2" t="s">
        <v>3707</v>
      </c>
      <c r="N479" s="2" t="s">
        <v>3708</v>
      </c>
      <c r="O479" s="2"/>
      <c r="P479" s="2" t="s">
        <v>3709</v>
      </c>
      <c r="Q479" s="2" t="s">
        <v>3710</v>
      </c>
      <c r="R479" s="2" t="s">
        <v>64</v>
      </c>
      <c r="S479" s="2" t="s">
        <v>65</v>
      </c>
      <c r="T479" s="2" t="s">
        <v>91</v>
      </c>
      <c r="U479" s="2" t="s">
        <v>3703</v>
      </c>
      <c r="V479" s="2" t="s">
        <v>110</v>
      </c>
      <c r="W479" s="2"/>
    </row>
    <row r="480">
      <c r="A480" s="2" t="n">
        <v>320</v>
      </c>
      <c r="B480" s="2" t="s">
        <v>12603</v>
      </c>
      <c r="C480" s="2" t="s">
        <v>3711</v>
      </c>
      <c r="D480" s="2" t="n">
        <v>305.075461091</v>
      </c>
      <c r="E480" s="2" t="n">
        <v>3.60578560158019</v>
      </c>
      <c r="F480" s="2" t="s">
        <v>3713</v>
      </c>
      <c r="G480" s="2" t="n">
        <v>205754</v>
      </c>
      <c r="H480" s="3" t="str">
        <f>HYPERLINK("http://funmeta.oebiotech.com/network/205754", "http://funmeta.oebiotech.com/network/205754")</f>
      </c>
      <c r="I480" s="2" t="s">
        <v>3715</v>
      </c>
      <c r="J480" s="2"/>
      <c r="K480" s="2"/>
      <c r="L480" s="2"/>
      <c r="M480" s="2"/>
      <c r="N480" s="2" t="s">
        <v>3716</v>
      </c>
      <c r="O480" s="2"/>
      <c r="P480" s="2" t="s">
        <v>3717</v>
      </c>
      <c r="Q480" s="2" t="s">
        <v>3718</v>
      </c>
      <c r="R480" s="2" t="s">
        <v>502</v>
      </c>
      <c r="S480" s="2" t="s">
        <v>503</v>
      </c>
      <c r="T480" s="2" t="s">
        <v>1421</v>
      </c>
      <c r="U480" s="2" t="s">
        <v>3712</v>
      </c>
      <c r="V480" s="2" t="s">
        <v>24</v>
      </c>
      <c r="W480" s="2"/>
    </row>
    <row r="481">
      <c r="A481" s="2" t="n">
        <v>321</v>
      </c>
      <c r="B481" s="2" t="s">
        <v>12604</v>
      </c>
      <c r="C481" s="2" t="s">
        <v>3719</v>
      </c>
      <c r="D481" s="2" t="n">
        <v>305.171806266</v>
      </c>
      <c r="E481" s="2" t="n">
        <v>1.449302179321</v>
      </c>
      <c r="F481" s="2" t="s">
        <v>3721</v>
      </c>
      <c r="G481" s="2" t="n">
        <v>52759</v>
      </c>
      <c r="H481" s="3" t="str">
        <f>HYPERLINK("http://funmeta.oebiotech.com/network/52759", "http://funmeta.oebiotech.com/network/52759")</f>
      </c>
      <c r="I481" s="2" t="s">
        <v>3723</v>
      </c>
      <c r="J481" s="2" t="s">
        <v>3724</v>
      </c>
      <c r="K481" s="2"/>
      <c r="L481" s="2" t="s">
        <v>3725</v>
      </c>
      <c r="M481" s="2" t="s">
        <v>3726</v>
      </c>
      <c r="N481" s="2" t="s">
        <v>3727</v>
      </c>
      <c r="O481" s="2" t="s">
        <v>3728</v>
      </c>
      <c r="P481" s="2" t="s">
        <v>3729</v>
      </c>
      <c r="Q481" s="2" t="s">
        <v>3730</v>
      </c>
      <c r="R481" s="2" t="s">
        <v>49</v>
      </c>
      <c r="S481" s="2" t="s">
        <v>165</v>
      </c>
      <c r="T481" s="2" t="s">
        <v>166</v>
      </c>
      <c r="U481" s="2" t="s">
        <v>3720</v>
      </c>
      <c r="V481" s="2" t="s">
        <v>24</v>
      </c>
      <c r="W481" s="2" t="s">
        <v>39</v>
      </c>
    </row>
    <row r="482">
      <c r="A482" s="2" t="n">
        <v>322</v>
      </c>
      <c r="B482" s="2" t="s">
        <v>12605</v>
      </c>
      <c r="C482" s="2" t="s">
        <v>3731</v>
      </c>
      <c r="D482" s="2" t="n">
        <v>305.246197396</v>
      </c>
      <c r="E482" s="2" t="n">
        <v>7.81575812911629</v>
      </c>
      <c r="F482" s="2" t="s">
        <v>3733</v>
      </c>
      <c r="G482" s="2" t="n">
        <v>64</v>
      </c>
      <c r="H482" s="3" t="str">
        <f>HYPERLINK("http://funmeta.oebiotech.com/network/64", "http://funmeta.oebiotech.com/network/64")</f>
      </c>
      <c r="I482" s="2" t="s">
        <v>3735</v>
      </c>
      <c r="J482" s="2" t="s">
        <v>3736</v>
      </c>
      <c r="K482" s="2" t="s">
        <v>3737</v>
      </c>
      <c r="L482" s="2" t="s">
        <v>3738</v>
      </c>
      <c r="M482" s="2" t="s">
        <v>3739</v>
      </c>
      <c r="N482" s="2" t="s">
        <v>3740</v>
      </c>
      <c r="O482" s="2" t="s">
        <v>3741</v>
      </c>
      <c r="P482" s="2" t="s">
        <v>3742</v>
      </c>
      <c r="Q482" s="2" t="s">
        <v>3743</v>
      </c>
      <c r="R482" s="2" t="s">
        <v>1490</v>
      </c>
      <c r="S482" s="2" t="s">
        <v>1491</v>
      </c>
      <c r="T482" s="2" t="s">
        <v>1492</v>
      </c>
      <c r="U482" s="2" t="s">
        <v>3732</v>
      </c>
      <c r="V482" s="2" t="s">
        <v>360</v>
      </c>
      <c r="W482" s="2" t="s">
        <v>39</v>
      </c>
    </row>
    <row r="483">
      <c r="A483" s="2" t="n">
        <v>323</v>
      </c>
      <c r="B483" s="2" t="s">
        <v>12606</v>
      </c>
      <c r="C483" s="2" t="s">
        <v>3744</v>
      </c>
      <c r="D483" s="2" t="n">
        <v>307.264254396</v>
      </c>
      <c r="E483" s="2" t="n">
        <v>3.60727757878502</v>
      </c>
      <c r="F483" s="2" t="s">
        <v>12607</v>
      </c>
      <c r="G483" s="2" t="n">
        <v>1397</v>
      </c>
      <c r="H483" s="3" t="str">
        <f>HYPERLINK("http://funmeta.oebiotech.com/network/1397", "http://funmeta.oebiotech.com/network/1397")</f>
      </c>
      <c r="I483" s="2" t="s">
        <v>12608</v>
      </c>
      <c r="J483" s="2" t="s">
        <v>12609</v>
      </c>
      <c r="K483" s="2" t="s">
        <v>12610</v>
      </c>
      <c r="L483" s="2" t="s">
        <v>12611</v>
      </c>
      <c r="M483" s="2" t="s">
        <v>12612</v>
      </c>
      <c r="N483" s="2" t="s">
        <v>12613</v>
      </c>
      <c r="O483" s="2" t="s">
        <v>12614</v>
      </c>
      <c r="P483" s="2" t="s">
        <v>12615</v>
      </c>
      <c r="Q483" s="2" t="s">
        <v>12616</v>
      </c>
      <c r="R483" s="2" t="s">
        <v>1490</v>
      </c>
      <c r="S483" s="2" t="s">
        <v>1491</v>
      </c>
      <c r="T483" s="2" t="s">
        <v>1492</v>
      </c>
      <c r="U483" s="2" t="s">
        <v>3745</v>
      </c>
      <c r="V483" s="2" t="s">
        <v>110</v>
      </c>
      <c r="W483" s="2" t="s">
        <v>39</v>
      </c>
    </row>
    <row r="484">
      <c r="A484" s="2" t="n">
        <v>323</v>
      </c>
      <c r="B484" s="2" t="s">
        <v>12617</v>
      </c>
      <c r="C484" s="2" t="s">
        <v>3744</v>
      </c>
      <c r="D484" s="2" t="n">
        <v>307.264254396</v>
      </c>
      <c r="E484" s="2" t="n">
        <v>3.60727757878502</v>
      </c>
      <c r="F484" s="2" t="s">
        <v>12618</v>
      </c>
      <c r="G484" s="2" t="n">
        <v>60500</v>
      </c>
      <c r="H484" s="3" t="str">
        <f>HYPERLINK("http://funmeta.oebiotech.com/network/60500", "http://funmeta.oebiotech.com/network/60500")</f>
      </c>
      <c r="I484" s="2" t="s">
        <v>12619</v>
      </c>
      <c r="J484" s="2"/>
      <c r="K484" s="2"/>
      <c r="L484" s="2" t="s">
        <v>12620</v>
      </c>
      <c r="M484" s="2" t="s">
        <v>12621</v>
      </c>
      <c r="N484" s="2" t="s">
        <v>12622</v>
      </c>
      <c r="O484" s="2" t="s">
        <v>12623</v>
      </c>
      <c r="P484" s="2" t="s">
        <v>12624</v>
      </c>
      <c r="Q484" s="2" t="s">
        <v>12625</v>
      </c>
      <c r="R484" s="2" t="s">
        <v>1490</v>
      </c>
      <c r="S484" s="2" t="s">
        <v>4971</v>
      </c>
      <c r="T484" s="2" t="s">
        <v>6983</v>
      </c>
      <c r="U484" s="2" t="s">
        <v>3745</v>
      </c>
      <c r="V484" s="2" t="s">
        <v>110</v>
      </c>
      <c r="W484" s="2" t="s">
        <v>39</v>
      </c>
    </row>
    <row r="485">
      <c r="A485" s="2" t="n">
        <v>324</v>
      </c>
      <c r="B485" s="2" t="s">
        <v>12626</v>
      </c>
      <c r="C485" s="2" t="s">
        <v>3759</v>
      </c>
      <c r="D485" s="2" t="n">
        <v>309.206583134</v>
      </c>
      <c r="E485" s="2" t="n">
        <v>4.25460235392235</v>
      </c>
      <c r="F485" s="2" t="s">
        <v>12627</v>
      </c>
      <c r="G485" s="2" t="n">
        <v>59738</v>
      </c>
      <c r="H485" s="3" t="str">
        <f>HYPERLINK("http://funmeta.oebiotech.com/network/59738", "http://funmeta.oebiotech.com/network/59738")</f>
      </c>
      <c r="I485" s="2" t="s">
        <v>12628</v>
      </c>
      <c r="J485" s="2" t="s">
        <v>12629</v>
      </c>
      <c r="K485" s="2"/>
      <c r="L485" s="2"/>
      <c r="M485" s="2" t="s">
        <v>12630</v>
      </c>
      <c r="N485" s="2" t="s">
        <v>12631</v>
      </c>
      <c r="O485" s="2" t="s">
        <v>12632</v>
      </c>
      <c r="P485" s="2" t="s">
        <v>12633</v>
      </c>
      <c r="Q485" s="2" t="s">
        <v>12634</v>
      </c>
      <c r="R485" s="2" t="s">
        <v>1490</v>
      </c>
      <c r="S485" s="2" t="s">
        <v>1491</v>
      </c>
      <c r="T485" s="2" t="s">
        <v>3437</v>
      </c>
      <c r="U485" s="2" t="s">
        <v>3760</v>
      </c>
      <c r="V485" s="2" t="s">
        <v>42</v>
      </c>
      <c r="W485" s="2"/>
    </row>
    <row r="486">
      <c r="A486" s="2" t="n">
        <v>324</v>
      </c>
      <c r="B486" s="2" t="s">
        <v>12635</v>
      </c>
      <c r="C486" s="2" t="s">
        <v>3759</v>
      </c>
      <c r="D486" s="2" t="n">
        <v>309.206583134</v>
      </c>
      <c r="E486" s="2" t="n">
        <v>4.25460235392235</v>
      </c>
      <c r="F486" s="2" t="s">
        <v>12636</v>
      </c>
      <c r="G486" s="2" t="n">
        <v>61862</v>
      </c>
      <c r="H486" s="3" t="str">
        <f>HYPERLINK("http://funmeta.oebiotech.com/network/61862", "http://funmeta.oebiotech.com/network/61862")</f>
      </c>
      <c r="I486" s="2" t="s">
        <v>12637</v>
      </c>
      <c r="J486" s="2" t="s">
        <v>12638</v>
      </c>
      <c r="K486" s="2"/>
      <c r="L486" s="2"/>
      <c r="M486" s="2" t="s">
        <v>12639</v>
      </c>
      <c r="N486" s="2" t="s">
        <v>12640</v>
      </c>
      <c r="O486" s="2"/>
      <c r="P486" s="2" t="s">
        <v>12641</v>
      </c>
      <c r="Q486" s="2" t="s">
        <v>12642</v>
      </c>
      <c r="R486" s="2" t="s">
        <v>1490</v>
      </c>
      <c r="S486" s="2" t="s">
        <v>4971</v>
      </c>
      <c r="T486" s="2" t="s">
        <v>6636</v>
      </c>
      <c r="U486" s="2" t="s">
        <v>3760</v>
      </c>
      <c r="V486" s="2" t="s">
        <v>42</v>
      </c>
      <c r="W486" s="2"/>
    </row>
    <row r="487">
      <c r="A487" s="2" t="n">
        <v>325</v>
      </c>
      <c r="B487" s="2" t="s">
        <v>12643</v>
      </c>
      <c r="C487" s="2" t="s">
        <v>3771</v>
      </c>
      <c r="D487" s="2" t="n">
        <v>309.27990446</v>
      </c>
      <c r="E487" s="2" t="n">
        <v>7.96660499287845</v>
      </c>
      <c r="F487" s="2" t="s">
        <v>12644</v>
      </c>
      <c r="G487" s="2" t="n">
        <v>593</v>
      </c>
      <c r="H487" s="3" t="str">
        <f>HYPERLINK("http://funmeta.oebiotech.com/network/593", "http://funmeta.oebiotech.com/network/593")</f>
      </c>
      <c r="I487" s="2" t="s">
        <v>12645</v>
      </c>
      <c r="J487" s="2" t="s">
        <v>12646</v>
      </c>
      <c r="K487" s="2" t="s">
        <v>12647</v>
      </c>
      <c r="L487" s="2" t="s">
        <v>12648</v>
      </c>
      <c r="M487" s="2" t="s">
        <v>12649</v>
      </c>
      <c r="N487" s="2" t="s">
        <v>12650</v>
      </c>
      <c r="O487" s="2" t="s">
        <v>12651</v>
      </c>
      <c r="P487" s="2" t="s">
        <v>12652</v>
      </c>
      <c r="Q487" s="2" t="s">
        <v>12653</v>
      </c>
      <c r="R487" s="2" t="s">
        <v>1490</v>
      </c>
      <c r="S487" s="2" t="s">
        <v>1491</v>
      </c>
      <c r="T487" s="2" t="s">
        <v>1492</v>
      </c>
      <c r="U487" s="2" t="s">
        <v>3772</v>
      </c>
      <c r="V487" s="2" t="s">
        <v>110</v>
      </c>
      <c r="W487" s="2" t="s">
        <v>39</v>
      </c>
    </row>
    <row r="488">
      <c r="A488" s="2" t="n">
        <v>325</v>
      </c>
      <c r="B488" s="2" t="s">
        <v>12654</v>
      </c>
      <c r="C488" s="2" t="s">
        <v>3771</v>
      </c>
      <c r="D488" s="2" t="n">
        <v>309.27990446</v>
      </c>
      <c r="E488" s="2" t="n">
        <v>7.96660499287845</v>
      </c>
      <c r="F488" s="2" t="s">
        <v>12655</v>
      </c>
      <c r="G488" s="2" t="n">
        <v>7546</v>
      </c>
      <c r="H488" s="3" t="str">
        <f>HYPERLINK("http://funmeta.oebiotech.com/network/7546", "http://funmeta.oebiotech.com/network/7546")</f>
      </c>
      <c r="I488" s="2" t="s">
        <v>12656</v>
      </c>
      <c r="J488" s="2" t="s">
        <v>12657</v>
      </c>
      <c r="K488" s="2" t="s">
        <v>12658</v>
      </c>
      <c r="L488" s="2" t="s">
        <v>12659</v>
      </c>
      <c r="M488" s="2"/>
      <c r="N488" s="2" t="s">
        <v>12660</v>
      </c>
      <c r="O488" s="2" t="s">
        <v>12661</v>
      </c>
      <c r="P488" s="2" t="s">
        <v>12662</v>
      </c>
      <c r="Q488" s="2" t="s">
        <v>12663</v>
      </c>
      <c r="R488" s="2" t="s">
        <v>1490</v>
      </c>
      <c r="S488" s="2" t="s">
        <v>1491</v>
      </c>
      <c r="T488" s="2" t="s">
        <v>3884</v>
      </c>
      <c r="U488" s="2" t="s">
        <v>3772</v>
      </c>
      <c r="V488" s="2" t="s">
        <v>110</v>
      </c>
      <c r="W488" s="2" t="s">
        <v>39</v>
      </c>
    </row>
    <row r="489">
      <c r="A489" s="2" t="n">
        <v>326</v>
      </c>
      <c r="B489" s="2" t="s">
        <v>12664</v>
      </c>
      <c r="C489" s="2" t="s">
        <v>3784</v>
      </c>
      <c r="D489" s="2" t="n">
        <v>310.965011653</v>
      </c>
      <c r="E489" s="2" t="n">
        <v>10.0437143732016</v>
      </c>
      <c r="F489" s="2" t="s">
        <v>3786</v>
      </c>
      <c r="G489" s="2" t="n">
        <v>83331</v>
      </c>
      <c r="H489" s="3" t="str">
        <f>HYPERLINK("http://funmeta.oebiotech.com/network/83331", "http://funmeta.oebiotech.com/network/83331")</f>
      </c>
      <c r="I489" s="2" t="s">
        <v>3788</v>
      </c>
      <c r="J489" s="2" t="s">
        <v>3789</v>
      </c>
      <c r="K489" s="2"/>
      <c r="L489" s="2"/>
      <c r="M489" s="2"/>
      <c r="N489" s="2" t="s">
        <v>3790</v>
      </c>
      <c r="O489" s="2"/>
      <c r="P489" s="2" t="s">
        <v>3791</v>
      </c>
      <c r="Q489" s="2" t="s">
        <v>3792</v>
      </c>
      <c r="R489" s="2" t="s">
        <v>502</v>
      </c>
      <c r="S489" s="2" t="s">
        <v>503</v>
      </c>
      <c r="T489" s="2" t="s">
        <v>3793</v>
      </c>
      <c r="U489" s="2" t="s">
        <v>3785</v>
      </c>
      <c r="V489" s="2" t="s">
        <v>24</v>
      </c>
      <c r="W489" s="2"/>
    </row>
    <row r="490">
      <c r="A490" s="2" t="n">
        <v>327</v>
      </c>
      <c r="B490" s="2" t="s">
        <v>12665</v>
      </c>
      <c r="C490" s="2" t="s">
        <v>3794</v>
      </c>
      <c r="D490" s="2" t="n">
        <v>311.103731003</v>
      </c>
      <c r="E490" s="2" t="n">
        <v>1.10808867535254</v>
      </c>
      <c r="F490" s="2" t="s">
        <v>12666</v>
      </c>
      <c r="G490" s="2" t="n">
        <v>210436</v>
      </c>
      <c r="H490" s="3" t="str">
        <f>HYPERLINK("http://funmeta.oebiotech.com/network/210436", "http://funmeta.oebiotech.com/network/210436")</f>
      </c>
      <c r="I490" s="2" t="s">
        <v>12667</v>
      </c>
      <c r="J490" s="2"/>
      <c r="K490" s="2"/>
      <c r="L490" s="2"/>
      <c r="M490" s="2"/>
      <c r="N490" s="2"/>
      <c r="O490" s="2"/>
      <c r="P490" s="2" t="s">
        <v>12668</v>
      </c>
      <c r="Q490" s="2" t="s">
        <v>12669</v>
      </c>
      <c r="R490" s="2" t="s">
        <v>355</v>
      </c>
      <c r="S490" s="2" t="s">
        <v>2424</v>
      </c>
      <c r="T490" s="2" t="s">
        <v>2425</v>
      </c>
      <c r="U490" s="2" t="s">
        <v>3795</v>
      </c>
      <c r="V490" s="2" t="s">
        <v>110</v>
      </c>
      <c r="W490" s="2"/>
    </row>
    <row r="491">
      <c r="A491" s="2" t="n">
        <v>327</v>
      </c>
      <c r="B491" s="2" t="s">
        <v>12670</v>
      </c>
      <c r="C491" s="2" t="s">
        <v>3794</v>
      </c>
      <c r="D491" s="2" t="n">
        <v>311.10373101</v>
      </c>
      <c r="E491" s="2" t="n">
        <v>1.10808867535254</v>
      </c>
      <c r="F491" s="2" t="s">
        <v>12671</v>
      </c>
      <c r="G491" s="2" t="n">
        <v>63605</v>
      </c>
      <c r="H491" s="3" t="str">
        <f>HYPERLINK("http://funmeta.oebiotech.com/network/63605", "http://funmeta.oebiotech.com/network/63605")</f>
      </c>
      <c r="I491" s="2" t="s">
        <v>12672</v>
      </c>
      <c r="J491" s="2" t="s">
        <v>12673</v>
      </c>
      <c r="K491" s="2"/>
      <c r="L491" s="2"/>
      <c r="M491" s="2" t="s">
        <v>12674</v>
      </c>
      <c r="N491" s="2" t="s">
        <v>12675</v>
      </c>
      <c r="O491" s="2"/>
      <c r="P491" s="2" t="s">
        <v>12676</v>
      </c>
      <c r="Q491" s="2" t="s">
        <v>12677</v>
      </c>
      <c r="R491" s="2" t="s">
        <v>355</v>
      </c>
      <c r="S491" s="2" t="s">
        <v>3533</v>
      </c>
      <c r="T491" s="2" t="s">
        <v>3534</v>
      </c>
      <c r="U491" s="2" t="s">
        <v>3795</v>
      </c>
      <c r="V491" s="2" t="s">
        <v>110</v>
      </c>
      <c r="W491" s="2"/>
    </row>
    <row r="492">
      <c r="A492" s="2" t="n">
        <v>328</v>
      </c>
      <c r="B492" s="2" t="s">
        <v>12678</v>
      </c>
      <c r="C492" s="2" t="s">
        <v>3806</v>
      </c>
      <c r="D492" s="2" t="n">
        <v>311.22278351</v>
      </c>
      <c r="E492" s="2" t="n">
        <v>8.81995588753946</v>
      </c>
      <c r="F492" s="2" t="s">
        <v>3808</v>
      </c>
      <c r="G492" s="2" t="n">
        <v>2972</v>
      </c>
      <c r="H492" s="3" t="str">
        <f>HYPERLINK("http://funmeta.oebiotech.com/network/2972", "http://funmeta.oebiotech.com/network/2972")</f>
      </c>
      <c r="I492" s="2" t="s">
        <v>3810</v>
      </c>
      <c r="J492" s="2" t="s">
        <v>3811</v>
      </c>
      <c r="K492" s="2" t="s">
        <v>3812</v>
      </c>
      <c r="L492" s="2" t="s">
        <v>3813</v>
      </c>
      <c r="M492" s="2" t="s">
        <v>3814</v>
      </c>
      <c r="N492" s="2" t="s">
        <v>3815</v>
      </c>
      <c r="O492" s="2" t="s">
        <v>3816</v>
      </c>
      <c r="P492" s="2" t="s">
        <v>3817</v>
      </c>
      <c r="Q492" s="2" t="s">
        <v>3818</v>
      </c>
      <c r="R492" s="2" t="s">
        <v>1490</v>
      </c>
      <c r="S492" s="2" t="s">
        <v>1491</v>
      </c>
      <c r="T492" s="2" t="s">
        <v>3437</v>
      </c>
      <c r="U492" s="2" t="s">
        <v>3807</v>
      </c>
      <c r="V492" s="2" t="s">
        <v>110</v>
      </c>
      <c r="W492" s="2" t="s">
        <v>39</v>
      </c>
    </row>
    <row r="493">
      <c r="A493" s="2" t="n">
        <v>329</v>
      </c>
      <c r="B493" s="2" t="s">
        <v>12679</v>
      </c>
      <c r="C493" s="2" t="s">
        <v>3819</v>
      </c>
      <c r="D493" s="2" t="n">
        <v>311.295554524</v>
      </c>
      <c r="E493" s="2" t="n">
        <v>1.64504180727418</v>
      </c>
      <c r="F493" s="2" t="s">
        <v>12680</v>
      </c>
      <c r="G493" s="2" t="n">
        <v>66</v>
      </c>
      <c r="H493" s="3" t="str">
        <f>HYPERLINK("http://funmeta.oebiotech.com/network/66", "http://funmeta.oebiotech.com/network/66")</f>
      </c>
      <c r="I493" s="2" t="s">
        <v>12681</v>
      </c>
      <c r="J493" s="2" t="s">
        <v>12682</v>
      </c>
      <c r="K493" s="2" t="s">
        <v>12683</v>
      </c>
      <c r="L493" s="2" t="s">
        <v>12684</v>
      </c>
      <c r="M493" s="2" t="s">
        <v>12685</v>
      </c>
      <c r="N493" s="2" t="s">
        <v>12686</v>
      </c>
      <c r="O493" s="2" t="s">
        <v>12687</v>
      </c>
      <c r="P493" s="2" t="s">
        <v>12688</v>
      </c>
      <c r="Q493" s="2" t="s">
        <v>12689</v>
      </c>
      <c r="R493" s="2" t="s">
        <v>1490</v>
      </c>
      <c r="S493" s="2" t="s">
        <v>1491</v>
      </c>
      <c r="T493" s="2" t="s">
        <v>1492</v>
      </c>
      <c r="U493" s="2" t="s">
        <v>3820</v>
      </c>
      <c r="V493" s="2" t="s">
        <v>110</v>
      </c>
      <c r="W493" s="2" t="s">
        <v>39</v>
      </c>
    </row>
    <row r="494">
      <c r="A494" s="2" t="n">
        <v>329</v>
      </c>
      <c r="B494" s="2" t="s">
        <v>12690</v>
      </c>
      <c r="C494" s="2" t="s">
        <v>3819</v>
      </c>
      <c r="D494" s="2" t="n">
        <v>311.295554524</v>
      </c>
      <c r="E494" s="2" t="n">
        <v>1.64504180727418</v>
      </c>
      <c r="F494" s="2" t="s">
        <v>12691</v>
      </c>
      <c r="G494" s="2" t="n">
        <v>47229</v>
      </c>
      <c r="H494" s="3" t="str">
        <f>HYPERLINK("http://funmeta.oebiotech.com/network/47229", "http://funmeta.oebiotech.com/network/47229")</f>
      </c>
      <c r="I494" s="2" t="s">
        <v>12692</v>
      </c>
      <c r="J494" s="2" t="s">
        <v>12693</v>
      </c>
      <c r="K494" s="2"/>
      <c r="L494" s="2" t="s">
        <v>12694</v>
      </c>
      <c r="M494" s="2" t="s">
        <v>12695</v>
      </c>
      <c r="N494" s="2" t="s">
        <v>12696</v>
      </c>
      <c r="O494" s="2" t="s">
        <v>12697</v>
      </c>
      <c r="P494" s="2" t="s">
        <v>12698</v>
      </c>
      <c r="Q494" s="2" t="s">
        <v>12699</v>
      </c>
      <c r="R494" s="2" t="s">
        <v>1490</v>
      </c>
      <c r="S494" s="2" t="s">
        <v>4971</v>
      </c>
      <c r="T494" s="2" t="s">
        <v>6983</v>
      </c>
      <c r="U494" s="2" t="s">
        <v>3820</v>
      </c>
      <c r="V494" s="2" t="s">
        <v>110</v>
      </c>
      <c r="W494" s="2" t="s">
        <v>39</v>
      </c>
    </row>
    <row r="495">
      <c r="A495" s="2" t="n">
        <v>329</v>
      </c>
      <c r="B495" s="2" t="s">
        <v>12700</v>
      </c>
      <c r="C495" s="2" t="s">
        <v>3819</v>
      </c>
      <c r="D495" s="2" t="n">
        <v>311.295554528</v>
      </c>
      <c r="E495" s="2" t="n">
        <v>1.64504180727418</v>
      </c>
      <c r="F495" s="2" t="s">
        <v>12701</v>
      </c>
      <c r="G495" s="2" t="n">
        <v>35827</v>
      </c>
      <c r="H495" s="3" t="str">
        <f>HYPERLINK("http://funmeta.oebiotech.com/network/35827", "http://funmeta.oebiotech.com/network/35827")</f>
      </c>
      <c r="I495" s="2" t="s">
        <v>12702</v>
      </c>
      <c r="J495" s="2" t="s">
        <v>12703</v>
      </c>
      <c r="K495" s="2" t="s">
        <v>12704</v>
      </c>
      <c r="L495" s="2" t="s">
        <v>12694</v>
      </c>
      <c r="M495" s="2"/>
      <c r="N495" s="2" t="s">
        <v>12705</v>
      </c>
      <c r="O495" s="2"/>
      <c r="P495" s="2" t="s">
        <v>12706</v>
      </c>
      <c r="Q495" s="2" t="s">
        <v>12707</v>
      </c>
      <c r="R495" s="2" t="s">
        <v>1490</v>
      </c>
      <c r="S495" s="2" t="s">
        <v>4971</v>
      </c>
      <c r="T495" s="2" t="s">
        <v>6983</v>
      </c>
      <c r="U495" s="2" t="s">
        <v>3820</v>
      </c>
      <c r="V495" s="2" t="s">
        <v>110</v>
      </c>
      <c r="W495" s="2" t="s">
        <v>39</v>
      </c>
    </row>
    <row r="496">
      <c r="A496" s="2" t="n">
        <v>330</v>
      </c>
      <c r="B496" s="2" t="s">
        <v>12708</v>
      </c>
      <c r="C496" s="2" t="s">
        <v>3834</v>
      </c>
      <c r="D496" s="2" t="n">
        <v>311.9649636</v>
      </c>
      <c r="E496" s="2" t="n">
        <v>18.4196779728325</v>
      </c>
      <c r="F496" s="2" t="s">
        <v>3836</v>
      </c>
      <c r="G496" s="2" t="n">
        <v>212500</v>
      </c>
      <c r="H496" s="3" t="str">
        <f>HYPERLINK("http://funmeta.oebiotech.com/network/212500", "http://funmeta.oebiotech.com/network/212500")</f>
      </c>
      <c r="I496" s="2" t="s">
        <v>3838</v>
      </c>
      <c r="J496" s="2"/>
      <c r="K496" s="2"/>
      <c r="L496" s="2"/>
      <c r="M496" s="2"/>
      <c r="N496" s="2"/>
      <c r="O496" s="2"/>
      <c r="P496" s="2" t="s">
        <v>3839</v>
      </c>
      <c r="Q496" s="2" t="s">
        <v>3840</v>
      </c>
      <c r="R496" s="2" t="s">
        <v>355</v>
      </c>
      <c r="S496" s="2" t="s">
        <v>588</v>
      </c>
      <c r="T496" s="2" t="s">
        <v>3841</v>
      </c>
      <c r="U496" s="2" t="s">
        <v>3835</v>
      </c>
      <c r="V496" s="2" t="s">
        <v>360</v>
      </c>
      <c r="W496" s="2"/>
    </row>
    <row r="497">
      <c r="A497" s="2" t="n">
        <v>331</v>
      </c>
      <c r="B497" s="2" t="s">
        <v>12709</v>
      </c>
      <c r="C497" s="2" t="s">
        <v>3842</v>
      </c>
      <c r="D497" s="2" t="n">
        <v>313.082445243</v>
      </c>
      <c r="E497" s="2" t="n">
        <v>5.1169108979323</v>
      </c>
      <c r="F497" s="2" t="s">
        <v>3844</v>
      </c>
      <c r="G497" s="2" t="n">
        <v>205713</v>
      </c>
      <c r="H497" s="3" t="str">
        <f>HYPERLINK("http://funmeta.oebiotech.com/network/205713", "http://funmeta.oebiotech.com/network/205713")</f>
      </c>
      <c r="I497" s="2" t="s">
        <v>3846</v>
      </c>
      <c r="J497" s="2"/>
      <c r="K497" s="2"/>
      <c r="L497" s="2"/>
      <c r="M497" s="2"/>
      <c r="N497" s="2" t="s">
        <v>3847</v>
      </c>
      <c r="O497" s="2"/>
      <c r="P497" s="2" t="s">
        <v>3848</v>
      </c>
      <c r="Q497" s="2" t="s">
        <v>3849</v>
      </c>
      <c r="R497" s="2" t="s">
        <v>49</v>
      </c>
      <c r="S497" s="2" t="s">
        <v>165</v>
      </c>
      <c r="T497" s="2" t="s">
        <v>166</v>
      </c>
      <c r="U497" s="2" t="s">
        <v>3843</v>
      </c>
      <c r="V497" s="2" t="s">
        <v>42</v>
      </c>
      <c r="W497" s="2"/>
    </row>
    <row r="498">
      <c r="A498" s="2" t="n">
        <v>332</v>
      </c>
      <c r="B498" s="2" t="s">
        <v>12710</v>
      </c>
      <c r="C498" s="2" t="s">
        <v>3850</v>
      </c>
      <c r="D498" s="2" t="n">
        <v>313.9394682</v>
      </c>
      <c r="E498" s="2" t="n">
        <v>1.85960088494927</v>
      </c>
      <c r="F498" s="2" t="s">
        <v>3852</v>
      </c>
      <c r="G498" s="2" t="n">
        <v>202224</v>
      </c>
      <c r="H498" s="3" t="str">
        <f>HYPERLINK("http://funmeta.oebiotech.com/network/202224", "http://funmeta.oebiotech.com/network/202224")</f>
      </c>
      <c r="I498" s="2" t="s">
        <v>3854</v>
      </c>
      <c r="J498" s="2"/>
      <c r="K498" s="2"/>
      <c r="L498" s="2"/>
      <c r="M498" s="2"/>
      <c r="N498" s="2" t="s">
        <v>3855</v>
      </c>
      <c r="O498" s="2"/>
      <c r="P498" s="2" t="s">
        <v>3856</v>
      </c>
      <c r="Q498" s="2" t="s">
        <v>3857</v>
      </c>
      <c r="R498" s="2" t="s">
        <v>502</v>
      </c>
      <c r="S498" s="2" t="s">
        <v>503</v>
      </c>
      <c r="T498" s="2" t="s">
        <v>2651</v>
      </c>
      <c r="U498" s="2" t="s">
        <v>3851</v>
      </c>
      <c r="V498" s="2" t="s">
        <v>250</v>
      </c>
      <c r="W498" s="2"/>
    </row>
    <row r="499">
      <c r="A499" s="2" t="n">
        <v>333</v>
      </c>
      <c r="B499" s="2" t="s">
        <v>12711</v>
      </c>
      <c r="C499" s="2" t="s">
        <v>3858</v>
      </c>
      <c r="D499" s="2" t="n">
        <v>314.081716967</v>
      </c>
      <c r="E499" s="2" t="n">
        <v>1.88235732316568</v>
      </c>
      <c r="F499" s="2" t="s">
        <v>3860</v>
      </c>
      <c r="G499" s="2" t="n">
        <v>209670</v>
      </c>
      <c r="H499" s="3" t="str">
        <f>HYPERLINK("http://funmeta.oebiotech.com/network/209670", "http://funmeta.oebiotech.com/network/209670")</f>
      </c>
      <c r="I499" s="2" t="s">
        <v>3862</v>
      </c>
      <c r="J499" s="2" t="s">
        <v>3863</v>
      </c>
      <c r="K499" s="2"/>
      <c r="L499" s="2" t="s">
        <v>3864</v>
      </c>
      <c r="M499" s="2"/>
      <c r="N499" s="2" t="s">
        <v>3865</v>
      </c>
      <c r="O499" s="2" t="s">
        <v>3866</v>
      </c>
      <c r="P499" s="2" t="s">
        <v>3867</v>
      </c>
      <c r="Q499" s="2" t="s">
        <v>3868</v>
      </c>
      <c r="R499" s="2" t="s">
        <v>355</v>
      </c>
      <c r="S499" s="2" t="s">
        <v>3869</v>
      </c>
      <c r="T499" s="2" t="s">
        <v>3870</v>
      </c>
      <c r="U499" s="2" t="s">
        <v>3859</v>
      </c>
      <c r="V499" s="2" t="s">
        <v>42</v>
      </c>
      <c r="W499" s="2" t="s">
        <v>39</v>
      </c>
    </row>
    <row r="500">
      <c r="A500" s="2" t="n">
        <v>334</v>
      </c>
      <c r="B500" s="2" t="s">
        <v>12712</v>
      </c>
      <c r="C500" s="2" t="s">
        <v>3871</v>
      </c>
      <c r="D500" s="2" t="n">
        <v>314.233682547</v>
      </c>
      <c r="E500" s="2" t="n">
        <v>16.7417164492228</v>
      </c>
      <c r="F500" s="2" t="s">
        <v>3873</v>
      </c>
      <c r="G500" s="2" t="n">
        <v>8288</v>
      </c>
      <c r="H500" s="3" t="str">
        <f>HYPERLINK("http://funmeta.oebiotech.com/network/8288", "http://funmeta.oebiotech.com/network/8288")</f>
      </c>
      <c r="I500" s="2" t="s">
        <v>3875</v>
      </c>
      <c r="J500" s="2" t="s">
        <v>3876</v>
      </c>
      <c r="K500" s="2" t="s">
        <v>3877</v>
      </c>
      <c r="L500" s="2" t="s">
        <v>3878</v>
      </c>
      <c r="M500" s="2" t="s">
        <v>3879</v>
      </c>
      <c r="N500" s="2" t="s">
        <v>3880</v>
      </c>
      <c r="O500" s="2" t="s">
        <v>3881</v>
      </c>
      <c r="P500" s="2" t="s">
        <v>3882</v>
      </c>
      <c r="Q500" s="2" t="s">
        <v>3883</v>
      </c>
      <c r="R500" s="2" t="s">
        <v>1490</v>
      </c>
      <c r="S500" s="2" t="s">
        <v>1491</v>
      </c>
      <c r="T500" s="2" t="s">
        <v>3884</v>
      </c>
      <c r="U500" s="2" t="s">
        <v>3872</v>
      </c>
      <c r="V500" s="2" t="s">
        <v>110</v>
      </c>
      <c r="W500" s="2" t="s">
        <v>39</v>
      </c>
    </row>
    <row r="501">
      <c r="A501" s="2" t="n">
        <v>335</v>
      </c>
      <c r="B501" s="2" t="s">
        <v>12713</v>
      </c>
      <c r="C501" s="2" t="s">
        <v>3885</v>
      </c>
      <c r="D501" s="2" t="n">
        <v>315.072156095</v>
      </c>
      <c r="E501" s="2" t="n">
        <v>2.28005812119794</v>
      </c>
      <c r="F501" s="2" t="s">
        <v>3887</v>
      </c>
      <c r="G501" s="2" t="n">
        <v>207167</v>
      </c>
      <c r="H501" s="3" t="str">
        <f>HYPERLINK("http://funmeta.oebiotech.com/network/207167", "http://funmeta.oebiotech.com/network/207167")</f>
      </c>
      <c r="I501" s="2" t="s">
        <v>3889</v>
      </c>
      <c r="J501" s="2"/>
      <c r="K501" s="2"/>
      <c r="L501" s="2"/>
      <c r="M501" s="2"/>
      <c r="N501" s="2" t="s">
        <v>3890</v>
      </c>
      <c r="O501" s="2"/>
      <c r="P501" s="2" t="s">
        <v>3891</v>
      </c>
      <c r="Q501" s="2" t="s">
        <v>3892</v>
      </c>
      <c r="R501" s="2" t="s">
        <v>502</v>
      </c>
      <c r="S501" s="2" t="s">
        <v>503</v>
      </c>
      <c r="T501" s="2" t="s">
        <v>2174</v>
      </c>
      <c r="U501" s="2" t="s">
        <v>3886</v>
      </c>
      <c r="V501" s="2" t="s">
        <v>110</v>
      </c>
      <c r="W501" s="2"/>
    </row>
    <row r="502">
      <c r="A502" s="2" t="n">
        <v>336</v>
      </c>
      <c r="B502" s="2" t="s">
        <v>12714</v>
      </c>
      <c r="C502" s="2" t="s">
        <v>3893</v>
      </c>
      <c r="D502" s="2" t="n">
        <v>316.07796665</v>
      </c>
      <c r="E502" s="2" t="n">
        <v>3.89751705996555</v>
      </c>
      <c r="F502" s="2" t="s">
        <v>3895</v>
      </c>
      <c r="G502" s="2" t="n">
        <v>210865</v>
      </c>
      <c r="H502" s="3" t="str">
        <f>HYPERLINK("http://funmeta.oebiotech.com/network/210865", "http://funmeta.oebiotech.com/network/210865")</f>
      </c>
      <c r="I502" s="2" t="s">
        <v>3897</v>
      </c>
      <c r="J502" s="2"/>
      <c r="K502" s="2"/>
      <c r="L502" s="2"/>
      <c r="M502" s="2"/>
      <c r="N502" s="2" t="s">
        <v>3898</v>
      </c>
      <c r="O502" s="2"/>
      <c r="P502" s="2" t="s">
        <v>3899</v>
      </c>
      <c r="Q502" s="2" t="s">
        <v>3900</v>
      </c>
      <c r="R502" s="2" t="s">
        <v>49</v>
      </c>
      <c r="S502" s="2" t="s">
        <v>165</v>
      </c>
      <c r="T502" s="2" t="s">
        <v>166</v>
      </c>
      <c r="U502" s="2" t="s">
        <v>3894</v>
      </c>
      <c r="V502" s="2" t="s">
        <v>522</v>
      </c>
      <c r="W502" s="2"/>
    </row>
    <row r="503">
      <c r="A503" s="2" t="n">
        <v>337</v>
      </c>
      <c r="B503" s="2" t="s">
        <v>12715</v>
      </c>
      <c r="C503" s="2" t="s">
        <v>3901</v>
      </c>
      <c r="D503" s="2" t="n">
        <v>317.056780818</v>
      </c>
      <c r="E503" s="2" t="n">
        <v>1.12439919429144</v>
      </c>
      <c r="F503" s="2" t="s">
        <v>3903</v>
      </c>
      <c r="G503" s="2" t="n">
        <v>48220</v>
      </c>
      <c r="H503" s="3" t="str">
        <f>HYPERLINK("http://funmeta.oebiotech.com/network/48220", "http://funmeta.oebiotech.com/network/48220")</f>
      </c>
      <c r="I503" s="2" t="s">
        <v>3905</v>
      </c>
      <c r="J503" s="2" t="s">
        <v>3906</v>
      </c>
      <c r="K503" s="2"/>
      <c r="L503" s="2" t="s">
        <v>3907</v>
      </c>
      <c r="M503" s="2" t="s">
        <v>3908</v>
      </c>
      <c r="N503" s="2" t="s">
        <v>3909</v>
      </c>
      <c r="O503" s="2" t="s">
        <v>3910</v>
      </c>
      <c r="P503" s="2" t="s">
        <v>3911</v>
      </c>
      <c r="Q503" s="2" t="s">
        <v>3912</v>
      </c>
      <c r="R503" s="2" t="s">
        <v>502</v>
      </c>
      <c r="S503" s="2" t="s">
        <v>3913</v>
      </c>
      <c r="T503" s="2" t="s">
        <v>205</v>
      </c>
      <c r="U503" s="2" t="s">
        <v>3902</v>
      </c>
      <c r="V503" s="2" t="s">
        <v>110</v>
      </c>
      <c r="W503" s="2" t="s">
        <v>39</v>
      </c>
    </row>
    <row r="504">
      <c r="A504" s="2" t="n">
        <v>338</v>
      </c>
      <c r="B504" s="2" t="s">
        <v>12716</v>
      </c>
      <c r="C504" s="2" t="s">
        <v>3914</v>
      </c>
      <c r="D504" s="2" t="n">
        <v>318.026409631</v>
      </c>
      <c r="E504" s="2" t="n">
        <v>7.90054832656971</v>
      </c>
      <c r="F504" s="2" t="s">
        <v>3916</v>
      </c>
      <c r="G504" s="2" t="n">
        <v>200411</v>
      </c>
      <c r="H504" s="3" t="str">
        <f>HYPERLINK("http://funmeta.oebiotech.com/network/200411", "http://funmeta.oebiotech.com/network/200411")</f>
      </c>
      <c r="I504" s="2" t="s">
        <v>3918</v>
      </c>
      <c r="J504" s="2"/>
      <c r="K504" s="2"/>
      <c r="L504" s="2"/>
      <c r="M504" s="2"/>
      <c r="N504" s="2" t="s">
        <v>3919</v>
      </c>
      <c r="O504" s="2"/>
      <c r="P504" s="2" t="s">
        <v>3920</v>
      </c>
      <c r="Q504" s="2" t="s">
        <v>3921</v>
      </c>
      <c r="R504" s="2" t="s">
        <v>49</v>
      </c>
      <c r="S504" s="2" t="s">
        <v>165</v>
      </c>
      <c r="T504" s="2" t="s">
        <v>166</v>
      </c>
      <c r="U504" s="2" t="s">
        <v>3915</v>
      </c>
      <c r="V504" s="2" t="s">
        <v>110</v>
      </c>
      <c r="W504" s="2"/>
    </row>
    <row r="505">
      <c r="A505" s="2" t="n">
        <v>339</v>
      </c>
      <c r="B505" s="2" t="s">
        <v>12717</v>
      </c>
      <c r="C505" s="2" t="s">
        <v>3922</v>
      </c>
      <c r="D505" s="2" t="n">
        <v>319.077234575</v>
      </c>
      <c r="E505" s="2" t="n">
        <v>0.850031000988327</v>
      </c>
      <c r="F505" s="2" t="s">
        <v>3924</v>
      </c>
      <c r="G505" s="2" t="n">
        <v>202650</v>
      </c>
      <c r="H505" s="3" t="str">
        <f>HYPERLINK("http://funmeta.oebiotech.com/network/202650", "http://funmeta.oebiotech.com/network/202650")</f>
      </c>
      <c r="I505" s="2" t="s">
        <v>3926</v>
      </c>
      <c r="J505" s="2"/>
      <c r="K505" s="2"/>
      <c r="L505" s="2"/>
      <c r="M505" s="2"/>
      <c r="N505" s="2" t="s">
        <v>3927</v>
      </c>
      <c r="O505" s="2"/>
      <c r="P505" s="2" t="s">
        <v>3928</v>
      </c>
      <c r="Q505" s="2" t="s">
        <v>3929</v>
      </c>
      <c r="R505" s="2" t="s">
        <v>205</v>
      </c>
      <c r="S505" s="2" t="s">
        <v>205</v>
      </c>
      <c r="T505" s="2" t="s">
        <v>205</v>
      </c>
      <c r="U505" s="2" t="s">
        <v>3923</v>
      </c>
      <c r="V505" s="2" t="s">
        <v>360</v>
      </c>
      <c r="W505" s="2"/>
    </row>
    <row r="506">
      <c r="A506" s="2" t="n">
        <v>340</v>
      </c>
      <c r="B506" s="2" t="s">
        <v>12718</v>
      </c>
      <c r="C506" s="2" t="s">
        <v>3930</v>
      </c>
      <c r="D506" s="2" t="n">
        <v>321.015464088</v>
      </c>
      <c r="E506" s="2" t="n">
        <v>7.58482420018487</v>
      </c>
      <c r="F506" s="2" t="s">
        <v>3932</v>
      </c>
      <c r="G506" s="2" t="n">
        <v>212092</v>
      </c>
      <c r="H506" s="3" t="str">
        <f>HYPERLINK("http://funmeta.oebiotech.com/network/212092", "http://funmeta.oebiotech.com/network/212092")</f>
      </c>
      <c r="I506" s="2" t="s">
        <v>3934</v>
      </c>
      <c r="J506" s="2" t="s">
        <v>3935</v>
      </c>
      <c r="K506" s="2"/>
      <c r="L506" s="2" t="s">
        <v>3936</v>
      </c>
      <c r="M506" s="2" t="s">
        <v>3937</v>
      </c>
      <c r="N506" s="2" t="s">
        <v>3938</v>
      </c>
      <c r="O506" s="2" t="s">
        <v>3939</v>
      </c>
      <c r="P506" s="2" t="s">
        <v>3940</v>
      </c>
      <c r="Q506" s="2" t="s">
        <v>3941</v>
      </c>
      <c r="R506" s="2" t="s">
        <v>49</v>
      </c>
      <c r="S506" s="2" t="s">
        <v>3605</v>
      </c>
      <c r="T506" s="2" t="s">
        <v>3606</v>
      </c>
      <c r="U506" s="2" t="s">
        <v>3931</v>
      </c>
      <c r="V506" s="2" t="s">
        <v>110</v>
      </c>
      <c r="W506" s="2" t="s">
        <v>39</v>
      </c>
    </row>
    <row r="507">
      <c r="A507" s="2" t="n">
        <v>341</v>
      </c>
      <c r="B507" s="2" t="s">
        <v>12719</v>
      </c>
      <c r="C507" s="2" t="s">
        <v>3942</v>
      </c>
      <c r="D507" s="2" t="n">
        <v>321.172085346</v>
      </c>
      <c r="E507" s="2" t="n">
        <v>1.00095570239244</v>
      </c>
      <c r="F507" s="2" t="s">
        <v>3944</v>
      </c>
      <c r="G507" s="2" t="n">
        <v>202789</v>
      </c>
      <c r="H507" s="3" t="str">
        <f>HYPERLINK("http://funmeta.oebiotech.com/network/202789", "http://funmeta.oebiotech.com/network/202789")</f>
      </c>
      <c r="I507" s="2" t="s">
        <v>3946</v>
      </c>
      <c r="J507" s="2"/>
      <c r="K507" s="2"/>
      <c r="L507" s="2"/>
      <c r="M507" s="2"/>
      <c r="N507" s="2"/>
      <c r="O507" s="2"/>
      <c r="P507" s="2" t="s">
        <v>3947</v>
      </c>
      <c r="Q507" s="2" t="s">
        <v>3948</v>
      </c>
      <c r="R507" s="2" t="s">
        <v>355</v>
      </c>
      <c r="S507" s="2" t="s">
        <v>3869</v>
      </c>
      <c r="T507" s="2" t="s">
        <v>3870</v>
      </c>
      <c r="U507" s="2" t="s">
        <v>3943</v>
      </c>
      <c r="V507" s="2" t="s">
        <v>110</v>
      </c>
      <c r="W507" s="2"/>
    </row>
    <row r="508">
      <c r="A508" s="2" t="n">
        <v>342</v>
      </c>
      <c r="B508" s="2" t="s">
        <v>12720</v>
      </c>
      <c r="C508" s="2" t="s">
        <v>3949</v>
      </c>
      <c r="D508" s="2" t="n">
        <v>322.052083791</v>
      </c>
      <c r="E508" s="2" t="n">
        <v>0.547588375934766</v>
      </c>
      <c r="F508" s="2" t="s">
        <v>3951</v>
      </c>
      <c r="G508" s="2" t="n">
        <v>53271</v>
      </c>
      <c r="H508" s="3" t="str">
        <f>HYPERLINK("http://funmeta.oebiotech.com/network/53271", "http://funmeta.oebiotech.com/network/53271")</f>
      </c>
      <c r="I508" s="2" t="s">
        <v>3953</v>
      </c>
      <c r="J508" s="2" t="s">
        <v>3954</v>
      </c>
      <c r="K508" s="2"/>
      <c r="L508" s="2" t="s">
        <v>3955</v>
      </c>
      <c r="M508" s="2" t="s">
        <v>3956</v>
      </c>
      <c r="N508" s="2" t="s">
        <v>3957</v>
      </c>
      <c r="O508" s="2" t="s">
        <v>3958</v>
      </c>
      <c r="P508" s="2" t="s">
        <v>3959</v>
      </c>
      <c r="Q508" s="2" t="s">
        <v>3960</v>
      </c>
      <c r="R508" s="2" t="s">
        <v>502</v>
      </c>
      <c r="S508" s="2" t="s">
        <v>503</v>
      </c>
      <c r="T508" s="2" t="s">
        <v>1964</v>
      </c>
      <c r="U508" s="2" t="s">
        <v>3950</v>
      </c>
      <c r="V508" s="2" t="s">
        <v>250</v>
      </c>
      <c r="W508" s="2" t="s">
        <v>39</v>
      </c>
    </row>
    <row r="509">
      <c r="A509" s="2" t="n">
        <v>343</v>
      </c>
      <c r="B509" s="2" t="s">
        <v>12721</v>
      </c>
      <c r="C509" s="2" t="s">
        <v>3961</v>
      </c>
      <c r="D509" s="2" t="n">
        <v>322.966380349</v>
      </c>
      <c r="E509" s="2" t="n">
        <v>2.53017955053988</v>
      </c>
      <c r="F509" s="2" t="s">
        <v>3963</v>
      </c>
      <c r="G509" s="2" t="n">
        <v>203804</v>
      </c>
      <c r="H509" s="3" t="str">
        <f>HYPERLINK("http://funmeta.oebiotech.com/network/203804", "http://funmeta.oebiotech.com/network/203804")</f>
      </c>
      <c r="I509" s="2" t="s">
        <v>3965</v>
      </c>
      <c r="J509" s="2" t="s">
        <v>3966</v>
      </c>
      <c r="K509" s="2"/>
      <c r="L509" s="2" t="s">
        <v>3967</v>
      </c>
      <c r="M509" s="2" t="s">
        <v>3968</v>
      </c>
      <c r="N509" s="2" t="s">
        <v>3969</v>
      </c>
      <c r="O509" s="2" t="s">
        <v>3970</v>
      </c>
      <c r="P509" s="2" t="s">
        <v>3971</v>
      </c>
      <c r="Q509" s="2" t="s">
        <v>3972</v>
      </c>
      <c r="R509" s="2" t="s">
        <v>355</v>
      </c>
      <c r="S509" s="2" t="s">
        <v>3973</v>
      </c>
      <c r="T509" s="2" t="s">
        <v>205</v>
      </c>
      <c r="U509" s="2" t="s">
        <v>3962</v>
      </c>
      <c r="V509" s="2" t="s">
        <v>110</v>
      </c>
      <c r="W509" s="2" t="s">
        <v>39</v>
      </c>
    </row>
    <row r="510">
      <c r="A510" s="2" t="n">
        <v>344</v>
      </c>
      <c r="B510" s="2" t="s">
        <v>12722</v>
      </c>
      <c r="C510" s="2" t="s">
        <v>3974</v>
      </c>
      <c r="D510" s="2" t="n">
        <v>323.025599848</v>
      </c>
      <c r="E510" s="2" t="n">
        <v>0.547393537339765</v>
      </c>
      <c r="F510" s="2" t="s">
        <v>12723</v>
      </c>
      <c r="G510" s="2" t="n">
        <v>47791</v>
      </c>
      <c r="H510" s="3" t="str">
        <f>HYPERLINK("http://funmeta.oebiotech.com/network/47791", "http://funmeta.oebiotech.com/network/47791")</f>
      </c>
      <c r="I510" s="2" t="s">
        <v>12724</v>
      </c>
      <c r="J510" s="2" t="s">
        <v>12725</v>
      </c>
      <c r="K510" s="2"/>
      <c r="L510" s="2" t="s">
        <v>12726</v>
      </c>
      <c r="M510" s="2" t="s">
        <v>12727</v>
      </c>
      <c r="N510" s="2" t="s">
        <v>12728</v>
      </c>
      <c r="O510" s="2" t="s">
        <v>12729</v>
      </c>
      <c r="P510" s="2" t="s">
        <v>12730</v>
      </c>
      <c r="Q510" s="2" t="s">
        <v>12731</v>
      </c>
      <c r="R510" s="2" t="s">
        <v>49</v>
      </c>
      <c r="S510" s="2" t="s">
        <v>396</v>
      </c>
      <c r="T510" s="2" t="s">
        <v>1861</v>
      </c>
      <c r="U510" s="2" t="s">
        <v>3975</v>
      </c>
      <c r="V510" s="2" t="s">
        <v>1019</v>
      </c>
      <c r="W510" s="2" t="s">
        <v>39</v>
      </c>
    </row>
    <row r="511">
      <c r="A511" s="2" t="n">
        <v>344</v>
      </c>
      <c r="B511" s="2" t="s">
        <v>12732</v>
      </c>
      <c r="C511" s="2" t="s">
        <v>3974</v>
      </c>
      <c r="D511" s="2" t="n">
        <v>323.025599848</v>
      </c>
      <c r="E511" s="2" t="n">
        <v>0.547393537339765</v>
      </c>
      <c r="F511" s="2" t="s">
        <v>12733</v>
      </c>
      <c r="G511" s="2" t="n">
        <v>82361</v>
      </c>
      <c r="H511" s="3" t="str">
        <f>HYPERLINK("http://funmeta.oebiotech.com/network/82361", "http://funmeta.oebiotech.com/network/82361")</f>
      </c>
      <c r="I511" s="2" t="s">
        <v>12734</v>
      </c>
      <c r="J511" s="2" t="s">
        <v>12735</v>
      </c>
      <c r="K511" s="2"/>
      <c r="L511" s="2" t="s">
        <v>12736</v>
      </c>
      <c r="M511" s="2" t="s">
        <v>2833</v>
      </c>
      <c r="N511" s="2" t="s">
        <v>12737</v>
      </c>
      <c r="O511" s="2"/>
      <c r="P511" s="2" t="s">
        <v>12738</v>
      </c>
      <c r="Q511" s="2" t="s">
        <v>12739</v>
      </c>
      <c r="R511" s="2" t="s">
        <v>49</v>
      </c>
      <c r="S511" s="2" t="s">
        <v>396</v>
      </c>
      <c r="T511" s="2" t="s">
        <v>1861</v>
      </c>
      <c r="U511" s="2" t="s">
        <v>3975</v>
      </c>
      <c r="V511" s="2" t="s">
        <v>1019</v>
      </c>
      <c r="W511" s="2" t="s">
        <v>39</v>
      </c>
    </row>
    <row r="512">
      <c r="A512" s="2" t="n">
        <v>345</v>
      </c>
      <c r="B512" s="2" t="s">
        <v>12740</v>
      </c>
      <c r="C512" s="2" t="s">
        <v>3988</v>
      </c>
      <c r="D512" s="2" t="n">
        <v>323.136089462</v>
      </c>
      <c r="E512" s="2" t="n">
        <v>2.06307282361242</v>
      </c>
      <c r="F512" s="2" t="s">
        <v>3990</v>
      </c>
      <c r="G512" s="2" t="n">
        <v>53089</v>
      </c>
      <c r="H512" s="3" t="str">
        <f>HYPERLINK("http://funmeta.oebiotech.com/network/53089", "http://funmeta.oebiotech.com/network/53089")</f>
      </c>
      <c r="I512" s="2" t="s">
        <v>3992</v>
      </c>
      <c r="J512" s="2" t="s">
        <v>3993</v>
      </c>
      <c r="K512" s="2"/>
      <c r="L512" s="2" t="s">
        <v>3994</v>
      </c>
      <c r="M512" s="2" t="s">
        <v>3995</v>
      </c>
      <c r="N512" s="2" t="s">
        <v>3996</v>
      </c>
      <c r="O512" s="2" t="s">
        <v>3997</v>
      </c>
      <c r="P512" s="2" t="s">
        <v>3998</v>
      </c>
      <c r="Q512" s="2" t="s">
        <v>3999</v>
      </c>
      <c r="R512" s="2" t="s">
        <v>355</v>
      </c>
      <c r="S512" s="2" t="s">
        <v>466</v>
      </c>
      <c r="T512" s="2" t="s">
        <v>467</v>
      </c>
      <c r="U512" s="2" t="s">
        <v>3989</v>
      </c>
      <c r="V512" s="2" t="s">
        <v>24</v>
      </c>
      <c r="W512" s="2" t="s">
        <v>39</v>
      </c>
    </row>
    <row r="513">
      <c r="A513" s="2" t="n">
        <v>346</v>
      </c>
      <c r="B513" s="2" t="s">
        <v>12741</v>
      </c>
      <c r="C513" s="2" t="s">
        <v>4000</v>
      </c>
      <c r="D513" s="2" t="n">
        <v>324.035188173</v>
      </c>
      <c r="E513" s="2" t="n">
        <v>0.292235813337499</v>
      </c>
      <c r="F513" s="2" t="s">
        <v>4002</v>
      </c>
      <c r="G513" s="2" t="n">
        <v>57916</v>
      </c>
      <c r="H513" s="3" t="str">
        <f>HYPERLINK("http://funmeta.oebiotech.com/network/57916", "http://funmeta.oebiotech.com/network/57916")</f>
      </c>
      <c r="I513" s="2" t="s">
        <v>4004</v>
      </c>
      <c r="J513" s="2" t="s">
        <v>4005</v>
      </c>
      <c r="K513" s="2"/>
      <c r="L513" s="2"/>
      <c r="M513" s="2"/>
      <c r="N513" s="2" t="s">
        <v>4006</v>
      </c>
      <c r="O513" s="2" t="s">
        <v>4007</v>
      </c>
      <c r="P513" s="2" t="s">
        <v>4008</v>
      </c>
      <c r="Q513" s="2" t="s">
        <v>4009</v>
      </c>
      <c r="R513" s="2" t="s">
        <v>64</v>
      </c>
      <c r="S513" s="2" t="s">
        <v>65</v>
      </c>
      <c r="T513" s="2" t="s">
        <v>66</v>
      </c>
      <c r="U513" s="2" t="s">
        <v>4001</v>
      </c>
      <c r="V513" s="2" t="s">
        <v>250</v>
      </c>
      <c r="W513" s="2"/>
    </row>
    <row r="514">
      <c r="A514" s="2" t="n">
        <v>347</v>
      </c>
      <c r="B514" s="2" t="s">
        <v>12742</v>
      </c>
      <c r="C514" s="2" t="s">
        <v>4010</v>
      </c>
      <c r="D514" s="2" t="n">
        <v>324.071635237</v>
      </c>
      <c r="E514" s="2" t="n">
        <v>0.483293181617703</v>
      </c>
      <c r="F514" s="2" t="s">
        <v>4012</v>
      </c>
      <c r="G514" s="2" t="n">
        <v>51859</v>
      </c>
      <c r="H514" s="3" t="str">
        <f>HYPERLINK("http://funmeta.oebiotech.com/network/51859", "http://funmeta.oebiotech.com/network/51859")</f>
      </c>
      <c r="I514" s="2" t="s">
        <v>4014</v>
      </c>
      <c r="J514" s="2" t="s">
        <v>4015</v>
      </c>
      <c r="K514" s="2"/>
      <c r="L514" s="2" t="s">
        <v>4016</v>
      </c>
      <c r="M514" s="2"/>
      <c r="N514" s="2" t="s">
        <v>4017</v>
      </c>
      <c r="O514" s="2"/>
      <c r="P514" s="2" t="s">
        <v>4018</v>
      </c>
      <c r="Q514" s="2" t="s">
        <v>4019</v>
      </c>
      <c r="R514" s="2" t="s">
        <v>355</v>
      </c>
      <c r="S514" s="2" t="s">
        <v>1477</v>
      </c>
      <c r="T514" s="2" t="s">
        <v>1478</v>
      </c>
      <c r="U514" s="2" t="s">
        <v>4011</v>
      </c>
      <c r="V514" s="2" t="s">
        <v>522</v>
      </c>
      <c r="W514" s="2" t="s">
        <v>39</v>
      </c>
    </row>
    <row r="515">
      <c r="A515" s="2" t="n">
        <v>348</v>
      </c>
      <c r="B515" s="2" t="s">
        <v>12743</v>
      </c>
      <c r="C515" s="2" t="s">
        <v>4020</v>
      </c>
      <c r="D515" s="2" t="n">
        <v>324.984054074</v>
      </c>
      <c r="E515" s="2" t="n">
        <v>2.06731322828954</v>
      </c>
      <c r="F515" s="2" t="s">
        <v>4022</v>
      </c>
      <c r="G515" s="2" t="n">
        <v>212108</v>
      </c>
      <c r="H515" s="3" t="str">
        <f>HYPERLINK("http://funmeta.oebiotech.com/network/212108", "http://funmeta.oebiotech.com/network/212108")</f>
      </c>
      <c r="I515" s="2" t="s">
        <v>4024</v>
      </c>
      <c r="J515" s="2"/>
      <c r="K515" s="2"/>
      <c r="L515" s="2"/>
      <c r="M515" s="2"/>
      <c r="N515" s="2"/>
      <c r="O515" s="2"/>
      <c r="P515" s="2" t="s">
        <v>4025</v>
      </c>
      <c r="Q515" s="2" t="s">
        <v>4026</v>
      </c>
      <c r="R515" s="2" t="s">
        <v>502</v>
      </c>
      <c r="S515" s="2" t="s">
        <v>503</v>
      </c>
      <c r="T515" s="2" t="s">
        <v>2613</v>
      </c>
      <c r="U515" s="2" t="s">
        <v>4021</v>
      </c>
      <c r="V515" s="2" t="s">
        <v>42</v>
      </c>
      <c r="W515" s="2"/>
    </row>
    <row r="516">
      <c r="A516" s="2" t="n">
        <v>349</v>
      </c>
      <c r="B516" s="2" t="s">
        <v>12744</v>
      </c>
      <c r="C516" s="2" t="s">
        <v>4027</v>
      </c>
      <c r="D516" s="2" t="n">
        <v>325.03559459</v>
      </c>
      <c r="E516" s="2" t="n">
        <v>0.586439838466581</v>
      </c>
      <c r="F516" s="2" t="s">
        <v>4029</v>
      </c>
      <c r="G516" s="2" t="n">
        <v>197190</v>
      </c>
      <c r="H516" s="3" t="str">
        <f>HYPERLINK("http://funmeta.oebiotech.com/network/197190", "http://funmeta.oebiotech.com/network/197190")</f>
      </c>
      <c r="I516" s="2" t="s">
        <v>4031</v>
      </c>
      <c r="J516" s="2"/>
      <c r="K516" s="2"/>
      <c r="L516" s="2"/>
      <c r="M516" s="2"/>
      <c r="N516" s="2" t="s">
        <v>4032</v>
      </c>
      <c r="O516" s="2"/>
      <c r="P516" s="2" t="s">
        <v>4033</v>
      </c>
      <c r="Q516" s="2" t="s">
        <v>4034</v>
      </c>
      <c r="R516" s="2" t="s">
        <v>49</v>
      </c>
      <c r="S516" s="2" t="s">
        <v>165</v>
      </c>
      <c r="T516" s="2" t="s">
        <v>166</v>
      </c>
      <c r="U516" s="2" t="s">
        <v>4028</v>
      </c>
      <c r="V516" s="2" t="s">
        <v>110</v>
      </c>
      <c r="W516" s="2"/>
    </row>
    <row r="517">
      <c r="A517" s="2" t="n">
        <v>350</v>
      </c>
      <c r="B517" s="2" t="s">
        <v>12745</v>
      </c>
      <c r="C517" s="2" t="s">
        <v>4035</v>
      </c>
      <c r="D517" s="2" t="n">
        <v>325.12458201</v>
      </c>
      <c r="E517" s="2" t="n">
        <v>5.9363493839403</v>
      </c>
      <c r="F517" s="2" t="s">
        <v>4037</v>
      </c>
      <c r="G517" s="2" t="n">
        <v>7513</v>
      </c>
      <c r="H517" s="3" t="str">
        <f>HYPERLINK("http://funmeta.oebiotech.com/network/7513", "http://funmeta.oebiotech.com/network/7513")</f>
      </c>
      <c r="I517" s="2" t="s">
        <v>4039</v>
      </c>
      <c r="J517" s="2" t="s">
        <v>4040</v>
      </c>
      <c r="K517" s="2" t="s">
        <v>4041</v>
      </c>
      <c r="L517" s="2"/>
      <c r="M517" s="2" t="s">
        <v>4042</v>
      </c>
      <c r="N517" s="2" t="s">
        <v>4043</v>
      </c>
      <c r="O517" s="2" t="s">
        <v>4044</v>
      </c>
      <c r="P517" s="2" t="s">
        <v>4045</v>
      </c>
      <c r="Q517" s="2" t="s">
        <v>4046</v>
      </c>
      <c r="R517" s="2" t="s">
        <v>1490</v>
      </c>
      <c r="S517" s="2" t="s">
        <v>1491</v>
      </c>
      <c r="T517" s="2" t="s">
        <v>3884</v>
      </c>
      <c r="U517" s="2" t="s">
        <v>4036</v>
      </c>
      <c r="V517" s="2" t="s">
        <v>522</v>
      </c>
      <c r="W517" s="2"/>
    </row>
    <row r="518">
      <c r="A518" s="2" t="n">
        <v>351</v>
      </c>
      <c r="B518" s="2" t="s">
        <v>12746</v>
      </c>
      <c r="C518" s="2" t="s">
        <v>4047</v>
      </c>
      <c r="D518" s="2" t="n">
        <v>325.20204807</v>
      </c>
      <c r="E518" s="2" t="n">
        <v>6.95106435325698</v>
      </c>
      <c r="F518" s="2" t="s">
        <v>12747</v>
      </c>
      <c r="G518" s="2" t="n">
        <v>56425</v>
      </c>
      <c r="H518" s="3" t="str">
        <f>HYPERLINK("http://funmeta.oebiotech.com/network/56425", "http://funmeta.oebiotech.com/network/56425")</f>
      </c>
      <c r="I518" s="2" t="s">
        <v>12748</v>
      </c>
      <c r="J518" s="2" t="s">
        <v>12749</v>
      </c>
      <c r="K518" s="2"/>
      <c r="L518" s="2"/>
      <c r="M518" s="2" t="s">
        <v>12750</v>
      </c>
      <c r="N518" s="2" t="s">
        <v>12751</v>
      </c>
      <c r="O518" s="2"/>
      <c r="P518" s="2" t="s">
        <v>12752</v>
      </c>
      <c r="Q518" s="2" t="s">
        <v>12753</v>
      </c>
      <c r="R518" s="2" t="s">
        <v>355</v>
      </c>
      <c r="S518" s="2" t="s">
        <v>12754</v>
      </c>
      <c r="T518" s="2" t="s">
        <v>205</v>
      </c>
      <c r="U518" s="2" t="s">
        <v>4048</v>
      </c>
      <c r="V518" s="2" t="s">
        <v>110</v>
      </c>
      <c r="W518" s="2"/>
    </row>
    <row r="519">
      <c r="A519" s="2" t="n">
        <v>351</v>
      </c>
      <c r="B519" s="2" t="s">
        <v>12755</v>
      </c>
      <c r="C519" s="2" t="s">
        <v>4047</v>
      </c>
      <c r="D519" s="2" t="n">
        <v>325.202048066</v>
      </c>
      <c r="E519" s="2" t="n">
        <v>6.95106435325698</v>
      </c>
      <c r="F519" s="2" t="s">
        <v>12756</v>
      </c>
      <c r="G519" s="2" t="n">
        <v>199859</v>
      </c>
      <c r="H519" s="3" t="str">
        <f>HYPERLINK("http://funmeta.oebiotech.com/network/199859", "http://funmeta.oebiotech.com/network/199859")</f>
      </c>
      <c r="I519" s="2" t="s">
        <v>12757</v>
      </c>
      <c r="J519" s="2"/>
      <c r="K519" s="2"/>
      <c r="L519" s="2"/>
      <c r="M519" s="2"/>
      <c r="N519" s="2"/>
      <c r="O519" s="2"/>
      <c r="P519" s="2" t="s">
        <v>12758</v>
      </c>
      <c r="Q519" s="2" t="s">
        <v>12759</v>
      </c>
      <c r="R519" s="2" t="s">
        <v>49</v>
      </c>
      <c r="S519" s="2" t="s">
        <v>383</v>
      </c>
      <c r="T519" s="2" t="s">
        <v>12760</v>
      </c>
      <c r="U519" s="2" t="s">
        <v>4048</v>
      </c>
      <c r="V519" s="2" t="s">
        <v>110</v>
      </c>
      <c r="W519" s="2"/>
    </row>
    <row r="520">
      <c r="A520" s="2" t="n">
        <v>352</v>
      </c>
      <c r="B520" s="2" t="s">
        <v>12761</v>
      </c>
      <c r="C520" s="2" t="s">
        <v>4060</v>
      </c>
      <c r="D520" s="2" t="n">
        <v>325.9790825</v>
      </c>
      <c r="E520" s="2" t="n">
        <v>2.0326621720383</v>
      </c>
      <c r="F520" s="2" t="s">
        <v>4062</v>
      </c>
      <c r="G520" s="2" t="n">
        <v>211631</v>
      </c>
      <c r="H520" s="3" t="str">
        <f>HYPERLINK("http://funmeta.oebiotech.com/network/211631", "http://funmeta.oebiotech.com/network/211631")</f>
      </c>
      <c r="I520" s="2" t="s">
        <v>4064</v>
      </c>
      <c r="J520" s="2"/>
      <c r="K520" s="2"/>
      <c r="L520" s="2"/>
      <c r="M520" s="2"/>
      <c r="N520" s="2" t="s">
        <v>4065</v>
      </c>
      <c r="O520" s="2"/>
      <c r="P520" s="2" t="s">
        <v>4066</v>
      </c>
      <c r="Q520" s="2" t="s">
        <v>4067</v>
      </c>
      <c r="R520" s="2" t="s">
        <v>502</v>
      </c>
      <c r="S520" s="2" t="s">
        <v>503</v>
      </c>
      <c r="T520" s="2" t="s">
        <v>2313</v>
      </c>
      <c r="U520" s="2" t="s">
        <v>4061</v>
      </c>
      <c r="V520" s="2" t="s">
        <v>522</v>
      </c>
      <c r="W520" s="2"/>
    </row>
    <row r="521">
      <c r="A521" s="2" t="n">
        <v>353</v>
      </c>
      <c r="B521" s="2" t="s">
        <v>12762</v>
      </c>
      <c r="C521" s="2" t="s">
        <v>4068</v>
      </c>
      <c r="D521" s="2" t="n">
        <v>326.0832653</v>
      </c>
      <c r="E521" s="2" t="n">
        <v>4.03679050776412</v>
      </c>
      <c r="F521" s="2" t="s">
        <v>4070</v>
      </c>
      <c r="G521" s="2" t="n">
        <v>202987</v>
      </c>
      <c r="H521" s="3" t="str">
        <f>HYPERLINK("http://funmeta.oebiotech.com/network/202987", "http://funmeta.oebiotech.com/network/202987")</f>
      </c>
      <c r="I521" s="2" t="s">
        <v>4072</v>
      </c>
      <c r="J521" s="2"/>
      <c r="K521" s="2"/>
      <c r="L521" s="2"/>
      <c r="M521" s="2"/>
      <c r="N521" s="2" t="s">
        <v>4073</v>
      </c>
      <c r="O521" s="2"/>
      <c r="P521" s="2" t="s">
        <v>4074</v>
      </c>
      <c r="Q521" s="2" t="s">
        <v>4075</v>
      </c>
      <c r="R521" s="2" t="s">
        <v>1490</v>
      </c>
      <c r="S521" s="2" t="s">
        <v>1491</v>
      </c>
      <c r="T521" s="2" t="s">
        <v>3884</v>
      </c>
      <c r="U521" s="2" t="s">
        <v>4069</v>
      </c>
      <c r="V521" s="2" t="s">
        <v>24</v>
      </c>
      <c r="W521" s="2"/>
    </row>
    <row r="522">
      <c r="A522" s="2" t="n">
        <v>354</v>
      </c>
      <c r="B522" s="2" t="s">
        <v>12763</v>
      </c>
      <c r="C522" s="2" t="s">
        <v>4076</v>
      </c>
      <c r="D522" s="2" t="n">
        <v>327.135031132</v>
      </c>
      <c r="E522" s="2" t="n">
        <v>8.06693168562374</v>
      </c>
      <c r="F522" s="2" t="s">
        <v>12764</v>
      </c>
      <c r="G522" s="2" t="n">
        <v>54024</v>
      </c>
      <c r="H522" s="3" t="str">
        <f>HYPERLINK("http://funmeta.oebiotech.com/network/54024", "http://funmeta.oebiotech.com/network/54024")</f>
      </c>
      <c r="I522" s="2" t="s">
        <v>12765</v>
      </c>
      <c r="J522" s="2" t="s">
        <v>12766</v>
      </c>
      <c r="K522" s="2"/>
      <c r="L522" s="2"/>
      <c r="M522" s="2" t="s">
        <v>12767</v>
      </c>
      <c r="N522" s="2" t="s">
        <v>12768</v>
      </c>
      <c r="O522" s="2" t="s">
        <v>12769</v>
      </c>
      <c r="P522" s="2" t="s">
        <v>12770</v>
      </c>
      <c r="Q522" s="2" t="s">
        <v>12771</v>
      </c>
      <c r="R522" s="2" t="s">
        <v>49</v>
      </c>
      <c r="S522" s="2" t="s">
        <v>165</v>
      </c>
      <c r="T522" s="2" t="s">
        <v>166</v>
      </c>
      <c r="U522" s="2" t="s">
        <v>4077</v>
      </c>
      <c r="V522" s="2" t="s">
        <v>110</v>
      </c>
      <c r="W522" s="2"/>
    </row>
    <row r="523">
      <c r="A523" s="2" t="n">
        <v>354</v>
      </c>
      <c r="B523" s="2" t="s">
        <v>12772</v>
      </c>
      <c r="C523" s="2" t="s">
        <v>4076</v>
      </c>
      <c r="D523" s="2" t="n">
        <v>327.135031138</v>
      </c>
      <c r="E523" s="2" t="n">
        <v>8.06693168562374</v>
      </c>
      <c r="F523" s="2" t="s">
        <v>12773</v>
      </c>
      <c r="G523" s="2" t="n">
        <v>54123</v>
      </c>
      <c r="H523" s="3" t="str">
        <f>HYPERLINK("http://funmeta.oebiotech.com/network/54123", "http://funmeta.oebiotech.com/network/54123")</f>
      </c>
      <c r="I523" s="2" t="s">
        <v>12774</v>
      </c>
      <c r="J523" s="2" t="s">
        <v>12775</v>
      </c>
      <c r="K523" s="2"/>
      <c r="L523" s="2"/>
      <c r="M523" s="2"/>
      <c r="N523" s="2" t="s">
        <v>12776</v>
      </c>
      <c r="O523" s="2"/>
      <c r="P523" s="2" t="s">
        <v>12777</v>
      </c>
      <c r="Q523" s="2" t="s">
        <v>12778</v>
      </c>
      <c r="R523" s="2" t="s">
        <v>49</v>
      </c>
      <c r="S523" s="2" t="s">
        <v>165</v>
      </c>
      <c r="T523" s="2" t="s">
        <v>166</v>
      </c>
      <c r="U523" s="2" t="s">
        <v>4077</v>
      </c>
      <c r="V523" s="2" t="s">
        <v>110</v>
      </c>
      <c r="W523" s="2"/>
    </row>
    <row r="524">
      <c r="A524" s="2" t="n">
        <v>354</v>
      </c>
      <c r="B524" s="2" t="s">
        <v>12779</v>
      </c>
      <c r="C524" s="2" t="s">
        <v>4076</v>
      </c>
      <c r="D524" s="2" t="n">
        <v>327.135031138</v>
      </c>
      <c r="E524" s="2" t="n">
        <v>8.06693168562374</v>
      </c>
      <c r="F524" s="2" t="s">
        <v>12780</v>
      </c>
      <c r="G524" s="2" t="n">
        <v>63608</v>
      </c>
      <c r="H524" s="3" t="str">
        <f>HYPERLINK("http://funmeta.oebiotech.com/network/63608", "http://funmeta.oebiotech.com/network/63608")</f>
      </c>
      <c r="I524" s="2" t="s">
        <v>12781</v>
      </c>
      <c r="J524" s="2" t="s">
        <v>12782</v>
      </c>
      <c r="K524" s="2"/>
      <c r="L524" s="2"/>
      <c r="M524" s="2" t="s">
        <v>12783</v>
      </c>
      <c r="N524" s="2" t="s">
        <v>12784</v>
      </c>
      <c r="O524" s="2"/>
      <c r="P524" s="2" t="s">
        <v>12785</v>
      </c>
      <c r="Q524" s="2" t="s">
        <v>12786</v>
      </c>
      <c r="R524" s="2" t="s">
        <v>355</v>
      </c>
      <c r="S524" s="2" t="s">
        <v>3533</v>
      </c>
      <c r="T524" s="2" t="s">
        <v>3534</v>
      </c>
      <c r="U524" s="2" t="s">
        <v>4077</v>
      </c>
      <c r="V524" s="2" t="s">
        <v>110</v>
      </c>
      <c r="W524" s="2"/>
    </row>
    <row r="525">
      <c r="A525" s="2" t="n">
        <v>355</v>
      </c>
      <c r="B525" s="2" t="s">
        <v>12787</v>
      </c>
      <c r="C525" s="2" t="s">
        <v>4090</v>
      </c>
      <c r="D525" s="2" t="n">
        <v>327.9678931</v>
      </c>
      <c r="E525" s="2" t="n">
        <v>9.67084573128206</v>
      </c>
      <c r="F525" s="2" t="s">
        <v>4092</v>
      </c>
      <c r="G525" s="2" t="n">
        <v>212395</v>
      </c>
      <c r="H525" s="3" t="str">
        <f>HYPERLINK("http://funmeta.oebiotech.com/network/212395", "http://funmeta.oebiotech.com/network/212395")</f>
      </c>
      <c r="I525" s="2" t="s">
        <v>4094</v>
      </c>
      <c r="J525" s="2"/>
      <c r="K525" s="2"/>
      <c r="L525" s="2"/>
      <c r="M525" s="2" t="s">
        <v>4095</v>
      </c>
      <c r="N525" s="2"/>
      <c r="O525" s="2"/>
      <c r="P525" s="2" t="s">
        <v>4096</v>
      </c>
      <c r="Q525" s="2" t="s">
        <v>4097</v>
      </c>
      <c r="R525" s="2" t="s">
        <v>355</v>
      </c>
      <c r="S525" s="2" t="s">
        <v>356</v>
      </c>
      <c r="T525" s="2" t="s">
        <v>814</v>
      </c>
      <c r="U525" s="2" t="s">
        <v>4091</v>
      </c>
      <c r="V525" s="2" t="s">
        <v>250</v>
      </c>
      <c r="W525" s="2"/>
    </row>
    <row r="526">
      <c r="A526" s="2" t="n">
        <v>356</v>
      </c>
      <c r="B526" s="2" t="s">
        <v>12788</v>
      </c>
      <c r="C526" s="2" t="s">
        <v>4098</v>
      </c>
      <c r="D526" s="2" t="n">
        <v>328.000958103</v>
      </c>
      <c r="E526" s="2" t="n">
        <v>4.17867812718029</v>
      </c>
      <c r="F526" s="2" t="s">
        <v>4100</v>
      </c>
      <c r="G526" s="2" t="n">
        <v>52853</v>
      </c>
      <c r="H526" s="3" t="str">
        <f>HYPERLINK("http://funmeta.oebiotech.com/network/52853", "http://funmeta.oebiotech.com/network/52853")</f>
      </c>
      <c r="I526" s="2" t="s">
        <v>4102</v>
      </c>
      <c r="J526" s="2" t="s">
        <v>4103</v>
      </c>
      <c r="K526" s="2"/>
      <c r="L526" s="2"/>
      <c r="M526" s="2" t="s">
        <v>4104</v>
      </c>
      <c r="N526" s="2" t="s">
        <v>4105</v>
      </c>
      <c r="O526" s="2" t="s">
        <v>4106</v>
      </c>
      <c r="P526" s="2" t="s">
        <v>4107</v>
      </c>
      <c r="Q526" s="2" t="s">
        <v>4108</v>
      </c>
      <c r="R526" s="2" t="s">
        <v>502</v>
      </c>
      <c r="S526" s="2" t="s">
        <v>503</v>
      </c>
      <c r="T526" s="2" t="s">
        <v>2174</v>
      </c>
      <c r="U526" s="2" t="s">
        <v>4099</v>
      </c>
      <c r="V526" s="2" t="s">
        <v>360</v>
      </c>
      <c r="W526" s="2"/>
    </row>
    <row r="527">
      <c r="A527" s="2" t="n">
        <v>357</v>
      </c>
      <c r="B527" s="2" t="s">
        <v>12789</v>
      </c>
      <c r="C527" s="2" t="s">
        <v>4109</v>
      </c>
      <c r="D527" s="2" t="n">
        <v>328.067405067</v>
      </c>
      <c r="E527" s="2" t="n">
        <v>1.97410778977302</v>
      </c>
      <c r="F527" s="2" t="s">
        <v>4111</v>
      </c>
      <c r="G527" s="2" t="n">
        <v>197193</v>
      </c>
      <c r="H527" s="3" t="str">
        <f>HYPERLINK("http://funmeta.oebiotech.com/network/197193", "http://funmeta.oebiotech.com/network/197193")</f>
      </c>
      <c r="I527" s="2" t="s">
        <v>4113</v>
      </c>
      <c r="J527" s="2"/>
      <c r="K527" s="2"/>
      <c r="L527" s="2"/>
      <c r="M527" s="2"/>
      <c r="N527" s="2"/>
      <c r="O527" s="2"/>
      <c r="P527" s="2" t="s">
        <v>4114</v>
      </c>
      <c r="Q527" s="2" t="s">
        <v>4115</v>
      </c>
      <c r="R527" s="2" t="s">
        <v>64</v>
      </c>
      <c r="S527" s="2" t="s">
        <v>65</v>
      </c>
      <c r="T527" s="2" t="s">
        <v>66</v>
      </c>
      <c r="U527" s="2" t="s">
        <v>4110</v>
      </c>
      <c r="V527" s="2" t="s">
        <v>110</v>
      </c>
      <c r="W527" s="2"/>
    </row>
    <row r="528">
      <c r="A528" s="2" t="n">
        <v>358</v>
      </c>
      <c r="B528" s="2" t="s">
        <v>12790</v>
      </c>
      <c r="C528" s="2" t="s">
        <v>4116</v>
      </c>
      <c r="D528" s="2" t="n">
        <v>328.101284345</v>
      </c>
      <c r="E528" s="2" t="n">
        <v>1.43899935196998</v>
      </c>
      <c r="F528" s="2" t="s">
        <v>4118</v>
      </c>
      <c r="G528" s="2" t="n">
        <v>202961</v>
      </c>
      <c r="H528" s="3" t="str">
        <f>HYPERLINK("http://funmeta.oebiotech.com/network/202961", "http://funmeta.oebiotech.com/network/202961")</f>
      </c>
      <c r="I528" s="2" t="s">
        <v>4120</v>
      </c>
      <c r="J528" s="2"/>
      <c r="K528" s="2"/>
      <c r="L528" s="2"/>
      <c r="M528" s="2"/>
      <c r="N528" s="2" t="s">
        <v>4121</v>
      </c>
      <c r="O528" s="2"/>
      <c r="P528" s="2" t="s">
        <v>4122</v>
      </c>
      <c r="Q528" s="2" t="s">
        <v>4123</v>
      </c>
      <c r="R528" s="2" t="s">
        <v>355</v>
      </c>
      <c r="S528" s="2" t="s">
        <v>4124</v>
      </c>
      <c r="T528" s="2" t="s">
        <v>205</v>
      </c>
      <c r="U528" s="2" t="s">
        <v>4117</v>
      </c>
      <c r="V528" s="2" t="s">
        <v>24</v>
      </c>
      <c r="W528" s="2"/>
    </row>
    <row r="529">
      <c r="A529" s="2" t="n">
        <v>359</v>
      </c>
      <c r="B529" s="2" t="s">
        <v>12791</v>
      </c>
      <c r="C529" s="2" t="s">
        <v>4125</v>
      </c>
      <c r="D529" s="2" t="n">
        <v>328.22418049</v>
      </c>
      <c r="E529" s="2" t="n">
        <v>3.07012877087323</v>
      </c>
      <c r="F529" s="2" t="s">
        <v>4127</v>
      </c>
      <c r="G529" s="2" t="n">
        <v>257552</v>
      </c>
      <c r="H529" s="3" t="str">
        <f>HYPERLINK("http://funmeta.oebiotech.com/network/257552", "http://funmeta.oebiotech.com/network/257552")</f>
      </c>
      <c r="I529" s="2" t="s">
        <v>4129</v>
      </c>
      <c r="J529" s="2"/>
      <c r="K529" s="2"/>
      <c r="L529" s="2"/>
      <c r="M529" s="2"/>
      <c r="N529" s="2" t="s">
        <v>4130</v>
      </c>
      <c r="O529" s="2"/>
      <c r="P529" s="2" t="s">
        <v>4131</v>
      </c>
      <c r="Q529" s="2" t="s">
        <v>4132</v>
      </c>
      <c r="R529" s="2" t="s">
        <v>49</v>
      </c>
      <c r="S529" s="2" t="s">
        <v>165</v>
      </c>
      <c r="T529" s="2" t="s">
        <v>166</v>
      </c>
      <c r="U529" s="2" t="s">
        <v>4126</v>
      </c>
      <c r="V529" s="2" t="s">
        <v>110</v>
      </c>
      <c r="W529" s="2"/>
    </row>
    <row r="530">
      <c r="A530" s="2" t="n">
        <v>360</v>
      </c>
      <c r="B530" s="2" t="s">
        <v>12792</v>
      </c>
      <c r="C530" s="2" t="s">
        <v>4133</v>
      </c>
      <c r="D530" s="2" t="n">
        <v>328.963253904</v>
      </c>
      <c r="E530" s="2" t="n">
        <v>6.80365241440647</v>
      </c>
      <c r="F530" s="2" t="s">
        <v>12793</v>
      </c>
      <c r="G530" s="2" t="n">
        <v>82563</v>
      </c>
      <c r="H530" s="3" t="str">
        <f>HYPERLINK("http://funmeta.oebiotech.com/network/82563", "http://funmeta.oebiotech.com/network/82563")</f>
      </c>
      <c r="I530" s="2" t="s">
        <v>12794</v>
      </c>
      <c r="J530" s="2" t="s">
        <v>12795</v>
      </c>
      <c r="K530" s="2"/>
      <c r="L530" s="2" t="s">
        <v>12796</v>
      </c>
      <c r="M530" s="2"/>
      <c r="N530" s="2" t="s">
        <v>12797</v>
      </c>
      <c r="O530" s="2" t="s">
        <v>12798</v>
      </c>
      <c r="P530" s="2" t="s">
        <v>12799</v>
      </c>
      <c r="Q530" s="2" t="s">
        <v>12800</v>
      </c>
      <c r="R530" s="2" t="s">
        <v>49</v>
      </c>
      <c r="S530" s="2" t="s">
        <v>771</v>
      </c>
      <c r="T530" s="2" t="s">
        <v>11479</v>
      </c>
      <c r="U530" s="2" t="s">
        <v>4134</v>
      </c>
      <c r="V530" s="2" t="s">
        <v>250</v>
      </c>
      <c r="W530" s="2" t="s">
        <v>39</v>
      </c>
    </row>
    <row r="531">
      <c r="A531" s="2" t="n">
        <v>360</v>
      </c>
      <c r="B531" s="2" t="s">
        <v>12801</v>
      </c>
      <c r="C531" s="2" t="s">
        <v>4133</v>
      </c>
      <c r="D531" s="2" t="n">
        <v>328.963253904</v>
      </c>
      <c r="E531" s="2" t="n">
        <v>6.80365241440647</v>
      </c>
      <c r="F531" s="2" t="s">
        <v>12802</v>
      </c>
      <c r="G531" s="2" t="n">
        <v>82344</v>
      </c>
      <c r="H531" s="3" t="str">
        <f>HYPERLINK("http://funmeta.oebiotech.com/network/82344", "http://funmeta.oebiotech.com/network/82344")</f>
      </c>
      <c r="I531" s="2" t="s">
        <v>12803</v>
      </c>
      <c r="J531" s="2" t="s">
        <v>12804</v>
      </c>
      <c r="K531" s="2"/>
      <c r="L531" s="2" t="s">
        <v>12805</v>
      </c>
      <c r="M531" s="2" t="s">
        <v>12806</v>
      </c>
      <c r="N531" s="2" t="s">
        <v>12807</v>
      </c>
      <c r="O531" s="2" t="s">
        <v>12808</v>
      </c>
      <c r="P531" s="2" t="s">
        <v>12809</v>
      </c>
      <c r="Q531" s="2" t="s">
        <v>12810</v>
      </c>
      <c r="R531" s="2" t="s">
        <v>36</v>
      </c>
      <c r="S531" s="2" t="s">
        <v>37</v>
      </c>
      <c r="T531" s="2" t="s">
        <v>12811</v>
      </c>
      <c r="U531" s="2" t="s">
        <v>4134</v>
      </c>
      <c r="V531" s="2" t="s">
        <v>250</v>
      </c>
      <c r="W531" s="2" t="s">
        <v>39</v>
      </c>
    </row>
    <row r="532">
      <c r="A532" s="2" t="n">
        <v>361</v>
      </c>
      <c r="B532" s="2" t="s">
        <v>12812</v>
      </c>
      <c r="C532" s="2" t="s">
        <v>4148</v>
      </c>
      <c r="D532" s="2" t="n">
        <v>328.9923785</v>
      </c>
      <c r="E532" s="2" t="n">
        <v>3.97353837656721</v>
      </c>
      <c r="F532" s="2" t="s">
        <v>4150</v>
      </c>
      <c r="G532" s="2" t="n">
        <v>209746</v>
      </c>
      <c r="H532" s="3" t="str">
        <f>HYPERLINK("http://funmeta.oebiotech.com/network/209746", "http://funmeta.oebiotech.com/network/209746")</f>
      </c>
      <c r="I532" s="2" t="s">
        <v>4152</v>
      </c>
      <c r="J532" s="2" t="s">
        <v>4153</v>
      </c>
      <c r="K532" s="2"/>
      <c r="L532" s="2"/>
      <c r="M532" s="2"/>
      <c r="N532" s="2" t="s">
        <v>4154</v>
      </c>
      <c r="O532" s="2"/>
      <c r="P532" s="2" t="s">
        <v>4155</v>
      </c>
      <c r="Q532" s="2" t="s">
        <v>4156</v>
      </c>
      <c r="R532" s="2" t="s">
        <v>355</v>
      </c>
      <c r="S532" s="2" t="s">
        <v>3687</v>
      </c>
      <c r="T532" s="2" t="s">
        <v>3688</v>
      </c>
      <c r="U532" s="2" t="s">
        <v>4149</v>
      </c>
      <c r="V532" s="2" t="s">
        <v>522</v>
      </c>
      <c r="W532" s="2"/>
    </row>
    <row r="533">
      <c r="A533" s="2" t="n">
        <v>362</v>
      </c>
      <c r="B533" s="2" t="s">
        <v>12813</v>
      </c>
      <c r="C533" s="2" t="s">
        <v>4157</v>
      </c>
      <c r="D533" s="2" t="n">
        <v>329.081281482</v>
      </c>
      <c r="E533" s="2" t="n">
        <v>8.64119084284817</v>
      </c>
      <c r="F533" s="2" t="s">
        <v>4159</v>
      </c>
      <c r="G533" s="2" t="n">
        <v>200702</v>
      </c>
      <c r="H533" s="3" t="str">
        <f>HYPERLINK("http://funmeta.oebiotech.com/network/200702", "http://funmeta.oebiotech.com/network/200702")</f>
      </c>
      <c r="I533" s="2" t="s">
        <v>4161</v>
      </c>
      <c r="J533" s="2" t="s">
        <v>4162</v>
      </c>
      <c r="K533" s="2"/>
      <c r="L533" s="2"/>
      <c r="M533" s="2"/>
      <c r="N533" s="2" t="s">
        <v>4163</v>
      </c>
      <c r="O533" s="2"/>
      <c r="P533" s="2" t="s">
        <v>4164</v>
      </c>
      <c r="Q533" s="2" t="s">
        <v>4165</v>
      </c>
      <c r="R533" s="2" t="s">
        <v>502</v>
      </c>
      <c r="S533" s="2" t="s">
        <v>503</v>
      </c>
      <c r="T533" s="2" t="s">
        <v>2174</v>
      </c>
      <c r="U533" s="2" t="s">
        <v>4158</v>
      </c>
      <c r="V533" s="2" t="s">
        <v>110</v>
      </c>
      <c r="W533" s="2"/>
    </row>
    <row r="534">
      <c r="A534" s="2" t="n">
        <v>363</v>
      </c>
      <c r="B534" s="2" t="s">
        <v>12814</v>
      </c>
      <c r="C534" s="2" t="s">
        <v>4166</v>
      </c>
      <c r="D534" s="2" t="n">
        <v>329.233348198</v>
      </c>
      <c r="E534" s="2" t="n">
        <v>3.00204522302622</v>
      </c>
      <c r="F534" s="2" t="s">
        <v>4168</v>
      </c>
      <c r="G534" s="2" t="n">
        <v>2974</v>
      </c>
      <c r="H534" s="3" t="str">
        <f>HYPERLINK("http://funmeta.oebiotech.com/network/2974", "http://funmeta.oebiotech.com/network/2974")</f>
      </c>
      <c r="I534" s="2" t="s">
        <v>4170</v>
      </c>
      <c r="J534" s="2" t="s">
        <v>4171</v>
      </c>
      <c r="K534" s="2" t="s">
        <v>4172</v>
      </c>
      <c r="L534" s="2" t="s">
        <v>4173</v>
      </c>
      <c r="M534" s="2" t="s">
        <v>4174</v>
      </c>
      <c r="N534" s="2" t="s">
        <v>4175</v>
      </c>
      <c r="O534" s="2"/>
      <c r="P534" s="2" t="s">
        <v>4176</v>
      </c>
      <c r="Q534" s="2" t="s">
        <v>4177</v>
      </c>
      <c r="R534" s="2" t="s">
        <v>1490</v>
      </c>
      <c r="S534" s="2" t="s">
        <v>1491</v>
      </c>
      <c r="T534" s="2" t="s">
        <v>1492</v>
      </c>
      <c r="U534" s="2" t="s">
        <v>4167</v>
      </c>
      <c r="V534" s="2" t="s">
        <v>110</v>
      </c>
      <c r="W534" s="2" t="s">
        <v>39</v>
      </c>
    </row>
    <row r="535">
      <c r="A535" s="2" t="n">
        <v>364</v>
      </c>
      <c r="B535" s="2" t="s">
        <v>12815</v>
      </c>
      <c r="C535" s="2" t="s">
        <v>4178</v>
      </c>
      <c r="D535" s="2" t="n">
        <v>330.134696787</v>
      </c>
      <c r="E535" s="2" t="n">
        <v>2.64871047962706</v>
      </c>
      <c r="F535" s="2" t="s">
        <v>4180</v>
      </c>
      <c r="G535" s="2" t="n">
        <v>255647</v>
      </c>
      <c r="H535" s="3" t="str">
        <f>HYPERLINK("http://funmeta.oebiotech.com/network/255647", "http://funmeta.oebiotech.com/network/255647")</f>
      </c>
      <c r="I535" s="2" t="s">
        <v>4182</v>
      </c>
      <c r="J535" s="2" t="s">
        <v>4183</v>
      </c>
      <c r="K535" s="2"/>
      <c r="L535" s="2" t="s">
        <v>4184</v>
      </c>
      <c r="M535" s="2"/>
      <c r="N535" s="2" t="s">
        <v>4185</v>
      </c>
      <c r="O535" s="2" t="s">
        <v>4186</v>
      </c>
      <c r="P535" s="2" t="s">
        <v>4187</v>
      </c>
      <c r="Q535" s="2" t="s">
        <v>4188</v>
      </c>
      <c r="R535" s="2" t="s">
        <v>4189</v>
      </c>
      <c r="S535" s="2" t="s">
        <v>4190</v>
      </c>
      <c r="T535" s="2" t="s">
        <v>4191</v>
      </c>
      <c r="U535" s="2" t="s">
        <v>4179</v>
      </c>
      <c r="V535" s="2" t="s">
        <v>110</v>
      </c>
      <c r="W535" s="2" t="s">
        <v>39</v>
      </c>
    </row>
    <row r="536">
      <c r="A536" s="2" t="n">
        <v>365</v>
      </c>
      <c r="B536" s="2" t="s">
        <v>12816</v>
      </c>
      <c r="C536" s="2" t="s">
        <v>4192</v>
      </c>
      <c r="D536" s="2" t="n">
        <v>330.908530357</v>
      </c>
      <c r="E536" s="2" t="n">
        <v>3.64977990594704</v>
      </c>
      <c r="F536" s="2" t="s">
        <v>4194</v>
      </c>
      <c r="G536" s="2" t="n">
        <v>212076</v>
      </c>
      <c r="H536" s="3" t="str">
        <f>HYPERLINK("http://funmeta.oebiotech.com/network/212076", "http://funmeta.oebiotech.com/network/212076")</f>
      </c>
      <c r="I536" s="2" t="s">
        <v>4196</v>
      </c>
      <c r="J536" s="2"/>
      <c r="K536" s="2"/>
      <c r="L536" s="2"/>
      <c r="M536" s="2"/>
      <c r="N536" s="2" t="s">
        <v>4197</v>
      </c>
      <c r="O536" s="2"/>
      <c r="P536" s="2" t="s">
        <v>4198</v>
      </c>
      <c r="Q536" s="2" t="s">
        <v>4199</v>
      </c>
      <c r="R536" s="2" t="s">
        <v>502</v>
      </c>
      <c r="S536" s="2" t="s">
        <v>503</v>
      </c>
      <c r="T536" s="2" t="s">
        <v>2174</v>
      </c>
      <c r="U536" s="2" t="s">
        <v>4193</v>
      </c>
      <c r="V536" s="2" t="s">
        <v>250</v>
      </c>
      <c r="W536" s="2"/>
    </row>
    <row r="537">
      <c r="A537" s="2" t="n">
        <v>366</v>
      </c>
      <c r="B537" s="2" t="s">
        <v>12817</v>
      </c>
      <c r="C537" s="2" t="s">
        <v>4200</v>
      </c>
      <c r="D537" s="2" t="n">
        <v>331.045941346</v>
      </c>
      <c r="E537" s="2" t="n">
        <v>0.575688228124717</v>
      </c>
      <c r="F537" s="2" t="s">
        <v>12818</v>
      </c>
      <c r="G537" s="2" t="n">
        <v>32567</v>
      </c>
      <c r="H537" s="3" t="str">
        <f>HYPERLINK("http://funmeta.oebiotech.com/network/32567", "http://funmeta.oebiotech.com/network/32567")</f>
      </c>
      <c r="I537" s="2" t="s">
        <v>12819</v>
      </c>
      <c r="J537" s="2" t="s">
        <v>12820</v>
      </c>
      <c r="K537" s="2" t="s">
        <v>12821</v>
      </c>
      <c r="L537" s="2" t="s">
        <v>12822</v>
      </c>
      <c r="M537" s="2" t="s">
        <v>12823</v>
      </c>
      <c r="N537" s="2" t="s">
        <v>12824</v>
      </c>
      <c r="O537" s="2" t="s">
        <v>12825</v>
      </c>
      <c r="P537" s="2" t="s">
        <v>12826</v>
      </c>
      <c r="Q537" s="2" t="s">
        <v>12827</v>
      </c>
      <c r="R537" s="2" t="s">
        <v>2509</v>
      </c>
      <c r="S537" s="2" t="s">
        <v>5520</v>
      </c>
      <c r="T537" s="2" t="s">
        <v>12828</v>
      </c>
      <c r="U537" s="2" t="s">
        <v>4201</v>
      </c>
      <c r="V537" s="2" t="s">
        <v>110</v>
      </c>
      <c r="W537" s="2" t="s">
        <v>39</v>
      </c>
    </row>
    <row r="538">
      <c r="A538" s="2" t="n">
        <v>366</v>
      </c>
      <c r="B538" s="2" t="s">
        <v>12829</v>
      </c>
      <c r="C538" s="2" t="s">
        <v>4200</v>
      </c>
      <c r="D538" s="2" t="n">
        <v>331.04594136</v>
      </c>
      <c r="E538" s="2" t="n">
        <v>0.575688228124717</v>
      </c>
      <c r="F538" s="2" t="s">
        <v>12830</v>
      </c>
      <c r="G538" s="2" t="n">
        <v>33071</v>
      </c>
      <c r="H538" s="3" t="str">
        <f>HYPERLINK("http://funmeta.oebiotech.com/network/33071", "http://funmeta.oebiotech.com/network/33071")</f>
      </c>
      <c r="I538" s="2" t="s">
        <v>12831</v>
      </c>
      <c r="J538" s="2" t="s">
        <v>12832</v>
      </c>
      <c r="K538" s="2" t="s">
        <v>12833</v>
      </c>
      <c r="L538" s="2" t="s">
        <v>12834</v>
      </c>
      <c r="M538" s="2" t="s">
        <v>12835</v>
      </c>
      <c r="N538" s="2" t="s">
        <v>12836</v>
      </c>
      <c r="O538" s="2" t="s">
        <v>12837</v>
      </c>
      <c r="P538" s="2" t="s">
        <v>12838</v>
      </c>
      <c r="Q538" s="2" t="s">
        <v>12839</v>
      </c>
      <c r="R538" s="2" t="s">
        <v>2509</v>
      </c>
      <c r="S538" s="2" t="s">
        <v>5520</v>
      </c>
      <c r="T538" s="2" t="s">
        <v>12828</v>
      </c>
      <c r="U538" s="2" t="s">
        <v>4201</v>
      </c>
      <c r="V538" s="2" t="s">
        <v>110</v>
      </c>
      <c r="W538" s="2" t="s">
        <v>39</v>
      </c>
    </row>
    <row r="539">
      <c r="A539" s="2" t="n">
        <v>367</v>
      </c>
      <c r="B539" s="2" t="s">
        <v>12840</v>
      </c>
      <c r="C539" s="2" t="s">
        <v>4215</v>
      </c>
      <c r="D539" s="2" t="n">
        <v>331.14117914</v>
      </c>
      <c r="E539" s="2" t="n">
        <v>3.4969117471553</v>
      </c>
      <c r="F539" s="2" t="s">
        <v>4217</v>
      </c>
      <c r="G539" s="2" t="n">
        <v>53844</v>
      </c>
      <c r="H539" s="3" t="str">
        <f>HYPERLINK("http://funmeta.oebiotech.com/network/53844", "http://funmeta.oebiotech.com/network/53844")</f>
      </c>
      <c r="I539" s="2" t="s">
        <v>4219</v>
      </c>
      <c r="J539" s="2" t="s">
        <v>4220</v>
      </c>
      <c r="K539" s="2"/>
      <c r="L539" s="2"/>
      <c r="M539" s="2" t="s">
        <v>4221</v>
      </c>
      <c r="N539" s="2" t="s">
        <v>4222</v>
      </c>
      <c r="O539" s="2" t="s">
        <v>4223</v>
      </c>
      <c r="P539" s="2" t="s">
        <v>4224</v>
      </c>
      <c r="Q539" s="2" t="s">
        <v>4225</v>
      </c>
      <c r="R539" s="2" t="s">
        <v>49</v>
      </c>
      <c r="S539" s="2" t="s">
        <v>165</v>
      </c>
      <c r="T539" s="2" t="s">
        <v>166</v>
      </c>
      <c r="U539" s="2" t="s">
        <v>4216</v>
      </c>
      <c r="V539" s="2" t="s">
        <v>110</v>
      </c>
      <c r="W539" s="2"/>
    </row>
    <row r="540">
      <c r="A540" s="2" t="n">
        <v>368</v>
      </c>
      <c r="B540" s="2" t="s">
        <v>12841</v>
      </c>
      <c r="C540" s="2" t="s">
        <v>4226</v>
      </c>
      <c r="D540" s="2" t="n">
        <v>333.059221962</v>
      </c>
      <c r="E540" s="2" t="n">
        <v>0.581018663546833</v>
      </c>
      <c r="F540" s="2" t="s">
        <v>4228</v>
      </c>
      <c r="G540" s="2" t="n">
        <v>51437</v>
      </c>
      <c r="H540" s="3" t="str">
        <f>HYPERLINK("http://funmeta.oebiotech.com/network/51437", "http://funmeta.oebiotech.com/network/51437")</f>
      </c>
      <c r="I540" s="2" t="s">
        <v>4230</v>
      </c>
      <c r="J540" s="2"/>
      <c r="K540" s="2"/>
      <c r="L540" s="2" t="s">
        <v>4231</v>
      </c>
      <c r="M540" s="2" t="s">
        <v>4232</v>
      </c>
      <c r="N540" s="2"/>
      <c r="O540" s="2" t="s">
        <v>4233</v>
      </c>
      <c r="P540" s="2" t="s">
        <v>4234</v>
      </c>
      <c r="Q540" s="2" t="s">
        <v>4235</v>
      </c>
      <c r="R540" s="2" t="s">
        <v>1490</v>
      </c>
      <c r="S540" s="2" t="s">
        <v>4236</v>
      </c>
      <c r="T540" s="2" t="s">
        <v>4237</v>
      </c>
      <c r="U540" s="2" t="s">
        <v>4227</v>
      </c>
      <c r="V540" s="2" t="s">
        <v>110</v>
      </c>
      <c r="W540" s="2" t="s">
        <v>39</v>
      </c>
    </row>
    <row r="541">
      <c r="A541" s="2" t="n">
        <v>369</v>
      </c>
      <c r="B541" s="2" t="s">
        <v>12842</v>
      </c>
      <c r="C541" s="2" t="s">
        <v>4238</v>
      </c>
      <c r="D541" s="2" t="n">
        <v>334.177225993</v>
      </c>
      <c r="E541" s="2" t="n">
        <v>0.848658396449429</v>
      </c>
      <c r="F541" s="2" t="s">
        <v>4240</v>
      </c>
      <c r="G541" s="2" t="n">
        <v>199155</v>
      </c>
      <c r="H541" s="3" t="str">
        <f>HYPERLINK("http://funmeta.oebiotech.com/network/199155", "http://funmeta.oebiotech.com/network/199155")</f>
      </c>
      <c r="I541" s="2" t="s">
        <v>4242</v>
      </c>
      <c r="J541" s="2"/>
      <c r="K541" s="2"/>
      <c r="L541" s="2"/>
      <c r="M541" s="2"/>
      <c r="N541" s="2" t="s">
        <v>4243</v>
      </c>
      <c r="O541" s="2"/>
      <c r="P541" s="2" t="s">
        <v>4244</v>
      </c>
      <c r="Q541" s="2" t="s">
        <v>4245</v>
      </c>
      <c r="R541" s="2" t="s">
        <v>355</v>
      </c>
      <c r="S541" s="2" t="s">
        <v>2424</v>
      </c>
      <c r="T541" s="2" t="s">
        <v>4246</v>
      </c>
      <c r="U541" s="2" t="s">
        <v>4239</v>
      </c>
      <c r="V541" s="2" t="s">
        <v>24</v>
      </c>
      <c r="W541" s="2"/>
    </row>
    <row r="542">
      <c r="A542" s="2" t="n">
        <v>370</v>
      </c>
      <c r="B542" s="2" t="s">
        <v>12843</v>
      </c>
      <c r="C542" s="2" t="s">
        <v>4247</v>
      </c>
      <c r="D542" s="2" t="n">
        <v>335.044222492</v>
      </c>
      <c r="E542" s="2" t="n">
        <v>1.50124350999192</v>
      </c>
      <c r="F542" s="2" t="s">
        <v>12844</v>
      </c>
      <c r="G542" s="2" t="n">
        <v>81994</v>
      </c>
      <c r="H542" s="3" t="str">
        <f>HYPERLINK("http://funmeta.oebiotech.com/network/81994", "http://funmeta.oebiotech.com/network/81994")</f>
      </c>
      <c r="I542" s="2" t="s">
        <v>12845</v>
      </c>
      <c r="J542" s="2"/>
      <c r="K542" s="2"/>
      <c r="L542" s="2"/>
      <c r="M542" s="2" t="s">
        <v>12846</v>
      </c>
      <c r="N542" s="2" t="s">
        <v>12847</v>
      </c>
      <c r="O542" s="2"/>
      <c r="P542" s="2" t="s">
        <v>12848</v>
      </c>
      <c r="Q542" s="2" t="s">
        <v>12849</v>
      </c>
      <c r="R542" s="2" t="s">
        <v>1490</v>
      </c>
      <c r="S542" s="2" t="s">
        <v>1491</v>
      </c>
      <c r="T542" s="2" t="s">
        <v>1492</v>
      </c>
      <c r="U542" s="2" t="s">
        <v>4248</v>
      </c>
      <c r="V542" s="2" t="s">
        <v>24</v>
      </c>
      <c r="W542" s="2"/>
    </row>
    <row r="543">
      <c r="A543" s="2" t="n">
        <v>370</v>
      </c>
      <c r="B543" s="2" t="s">
        <v>12850</v>
      </c>
      <c r="C543" s="2" t="s">
        <v>4247</v>
      </c>
      <c r="D543" s="2" t="n">
        <v>335.044222492</v>
      </c>
      <c r="E543" s="2" t="n">
        <v>1.50124350999192</v>
      </c>
      <c r="F543" s="2" t="s">
        <v>12851</v>
      </c>
      <c r="G543" s="2" t="n">
        <v>81993</v>
      </c>
      <c r="H543" s="3" t="str">
        <f>HYPERLINK("http://funmeta.oebiotech.com/network/81993", "http://funmeta.oebiotech.com/network/81993")</f>
      </c>
      <c r="I543" s="2" t="s">
        <v>12852</v>
      </c>
      <c r="J543" s="2"/>
      <c r="K543" s="2"/>
      <c r="L543" s="2"/>
      <c r="M543" s="2" t="s">
        <v>12853</v>
      </c>
      <c r="N543" s="2" t="s">
        <v>12854</v>
      </c>
      <c r="O543" s="2"/>
      <c r="P543" s="2" t="s">
        <v>12855</v>
      </c>
      <c r="Q543" s="2" t="s">
        <v>12856</v>
      </c>
      <c r="R543" s="2" t="s">
        <v>1490</v>
      </c>
      <c r="S543" s="2" t="s">
        <v>1491</v>
      </c>
      <c r="T543" s="2" t="s">
        <v>1492</v>
      </c>
      <c r="U543" s="2" t="s">
        <v>4248</v>
      </c>
      <c r="V543" s="2" t="s">
        <v>24</v>
      </c>
      <c r="W543" s="2"/>
    </row>
    <row r="544">
      <c r="A544" s="2" t="n">
        <v>370</v>
      </c>
      <c r="B544" s="2" t="s">
        <v>12857</v>
      </c>
      <c r="C544" s="2" t="s">
        <v>4247</v>
      </c>
      <c r="D544" s="2" t="n">
        <v>335.044222965</v>
      </c>
      <c r="E544" s="2" t="n">
        <v>1.50124350999192</v>
      </c>
      <c r="F544" s="2" t="s">
        <v>12858</v>
      </c>
      <c r="G544" s="2" t="n">
        <v>197111</v>
      </c>
      <c r="H544" s="3" t="str">
        <f>HYPERLINK("http://funmeta.oebiotech.com/network/197111", "http://funmeta.oebiotech.com/network/197111")</f>
      </c>
      <c r="I544" s="2" t="s">
        <v>12859</v>
      </c>
      <c r="J544" s="2"/>
      <c r="K544" s="2"/>
      <c r="L544" s="2"/>
      <c r="M544" s="2"/>
      <c r="N544" s="2"/>
      <c r="O544" s="2"/>
      <c r="P544" s="2" t="s">
        <v>12860</v>
      </c>
      <c r="Q544" s="2" t="s">
        <v>12861</v>
      </c>
      <c r="R544" s="2" t="s">
        <v>1490</v>
      </c>
      <c r="S544" s="2" t="s">
        <v>1491</v>
      </c>
      <c r="T544" s="2" t="s">
        <v>1492</v>
      </c>
      <c r="U544" s="2" t="s">
        <v>4248</v>
      </c>
      <c r="V544" s="2" t="s">
        <v>24</v>
      </c>
      <c r="W544" s="2"/>
    </row>
    <row r="545">
      <c r="A545" s="2" t="n">
        <v>371</v>
      </c>
      <c r="B545" s="2" t="s">
        <v>12862</v>
      </c>
      <c r="C545" s="2" t="s">
        <v>4256</v>
      </c>
      <c r="D545" s="2" t="n">
        <v>337.089187849</v>
      </c>
      <c r="E545" s="2" t="n">
        <v>5.10246735523457</v>
      </c>
      <c r="F545" s="2" t="s">
        <v>4258</v>
      </c>
      <c r="G545" s="2" t="n">
        <v>211263</v>
      </c>
      <c r="H545" s="3" t="str">
        <f>HYPERLINK("http://funmeta.oebiotech.com/network/211263", "http://funmeta.oebiotech.com/network/211263")</f>
      </c>
      <c r="I545" s="2" t="s">
        <v>4260</v>
      </c>
      <c r="J545" s="2"/>
      <c r="K545" s="2"/>
      <c r="L545" s="2"/>
      <c r="M545" s="2"/>
      <c r="N545" s="2" t="s">
        <v>4261</v>
      </c>
      <c r="O545" s="2"/>
      <c r="P545" s="2" t="s">
        <v>4262</v>
      </c>
      <c r="Q545" s="2" t="s">
        <v>4263</v>
      </c>
      <c r="R545" s="2" t="s">
        <v>49</v>
      </c>
      <c r="S545" s="2" t="s">
        <v>4264</v>
      </c>
      <c r="T545" s="2" t="s">
        <v>4265</v>
      </c>
      <c r="U545" s="2" t="s">
        <v>4257</v>
      </c>
      <c r="V545" s="2" t="s">
        <v>42</v>
      </c>
      <c r="W545" s="2"/>
    </row>
    <row r="546">
      <c r="A546" s="2" t="n">
        <v>372</v>
      </c>
      <c r="B546" s="2" t="s">
        <v>12863</v>
      </c>
      <c r="C546" s="2" t="s">
        <v>4266</v>
      </c>
      <c r="D546" s="2" t="n">
        <v>337.20204807</v>
      </c>
      <c r="E546" s="2" t="n">
        <v>3.57516198589654</v>
      </c>
      <c r="F546" s="2" t="s">
        <v>4268</v>
      </c>
      <c r="G546" s="2" t="n">
        <v>210409</v>
      </c>
      <c r="H546" s="3" t="str">
        <f>HYPERLINK("http://funmeta.oebiotech.com/network/210409", "http://funmeta.oebiotech.com/network/210409")</f>
      </c>
      <c r="I546" s="2" t="s">
        <v>4270</v>
      </c>
      <c r="J546" s="2" t="s">
        <v>4271</v>
      </c>
      <c r="K546" s="2"/>
      <c r="L546" s="2" t="s">
        <v>4272</v>
      </c>
      <c r="M546" s="2" t="s">
        <v>4273</v>
      </c>
      <c r="N546" s="2" t="s">
        <v>4274</v>
      </c>
      <c r="O546" s="2" t="s">
        <v>4275</v>
      </c>
      <c r="P546" s="2" t="s">
        <v>4276</v>
      </c>
      <c r="Q546" s="2" t="s">
        <v>4277</v>
      </c>
      <c r="R546" s="2" t="s">
        <v>355</v>
      </c>
      <c r="S546" s="2" t="s">
        <v>4278</v>
      </c>
      <c r="T546" s="2" t="s">
        <v>205</v>
      </c>
      <c r="U546" s="2" t="s">
        <v>4267</v>
      </c>
      <c r="V546" s="2" t="s">
        <v>110</v>
      </c>
      <c r="W546" s="2" t="s">
        <v>39</v>
      </c>
    </row>
    <row r="547">
      <c r="A547" s="2" t="n">
        <v>373</v>
      </c>
      <c r="B547" s="2" t="s">
        <v>12864</v>
      </c>
      <c r="C547" s="2" t="s">
        <v>4279</v>
      </c>
      <c r="D547" s="2" t="n">
        <v>337.311204588</v>
      </c>
      <c r="E547" s="2" t="n">
        <v>4.47080130685046</v>
      </c>
      <c r="F547" s="2" t="s">
        <v>4281</v>
      </c>
      <c r="G547" s="2" t="n">
        <v>597</v>
      </c>
      <c r="H547" s="3" t="str">
        <f>HYPERLINK("http://funmeta.oebiotech.com/network/597", "http://funmeta.oebiotech.com/network/597")</f>
      </c>
      <c r="I547" s="2" t="s">
        <v>4283</v>
      </c>
      <c r="J547" s="2" t="s">
        <v>4284</v>
      </c>
      <c r="K547" s="2" t="s">
        <v>4285</v>
      </c>
      <c r="L547" s="2" t="s">
        <v>4286</v>
      </c>
      <c r="M547" s="2" t="s">
        <v>4287</v>
      </c>
      <c r="N547" s="2" t="s">
        <v>4288</v>
      </c>
      <c r="O547" s="2" t="s">
        <v>4289</v>
      </c>
      <c r="P547" s="2" t="s">
        <v>4290</v>
      </c>
      <c r="Q547" s="2" t="s">
        <v>4291</v>
      </c>
      <c r="R547" s="2" t="s">
        <v>1490</v>
      </c>
      <c r="S547" s="2" t="s">
        <v>1491</v>
      </c>
      <c r="T547" s="2" t="s">
        <v>1492</v>
      </c>
      <c r="U547" s="2" t="s">
        <v>4280</v>
      </c>
      <c r="V547" s="2" t="s">
        <v>110</v>
      </c>
      <c r="W547" s="2" t="s">
        <v>39</v>
      </c>
    </row>
    <row r="548">
      <c r="A548" s="2" t="n">
        <v>374</v>
      </c>
      <c r="B548" s="2" t="s">
        <v>12865</v>
      </c>
      <c r="C548" s="2" t="s">
        <v>4292</v>
      </c>
      <c r="D548" s="2" t="n">
        <v>338.99218763</v>
      </c>
      <c r="E548" s="2" t="n">
        <v>0.255296826194574</v>
      </c>
      <c r="F548" s="2" t="s">
        <v>4294</v>
      </c>
      <c r="G548" s="2" t="n">
        <v>255275</v>
      </c>
      <c r="H548" s="3" t="str">
        <f>HYPERLINK("http://funmeta.oebiotech.com/network/255275", "http://funmeta.oebiotech.com/network/255275")</f>
      </c>
      <c r="I548" s="2" t="s">
        <v>4296</v>
      </c>
      <c r="J548" s="2"/>
      <c r="K548" s="2"/>
      <c r="L548" s="2"/>
      <c r="M548" s="2"/>
      <c r="N548" s="2"/>
      <c r="O548" s="2"/>
      <c r="P548" s="2" t="s">
        <v>4297</v>
      </c>
      <c r="Q548" s="2" t="s">
        <v>4298</v>
      </c>
      <c r="R548" s="2" t="s">
        <v>355</v>
      </c>
      <c r="S548" s="2" t="s">
        <v>3042</v>
      </c>
      <c r="T548" s="2" t="s">
        <v>205</v>
      </c>
      <c r="U548" s="2" t="s">
        <v>4293</v>
      </c>
      <c r="V548" s="2" t="s">
        <v>522</v>
      </c>
      <c r="W548" s="2"/>
    </row>
    <row r="549">
      <c r="A549" s="2" t="n">
        <v>375</v>
      </c>
      <c r="B549" s="2" t="s">
        <v>12866</v>
      </c>
      <c r="C549" s="2" t="s">
        <v>4299</v>
      </c>
      <c r="D549" s="2" t="n">
        <v>339.192541705</v>
      </c>
      <c r="E549" s="2" t="n">
        <v>1.30235976645894</v>
      </c>
      <c r="F549" s="2" t="s">
        <v>12867</v>
      </c>
      <c r="G549" s="2" t="n">
        <v>210631</v>
      </c>
      <c r="H549" s="3" t="str">
        <f>HYPERLINK("http://funmeta.oebiotech.com/network/210631", "http://funmeta.oebiotech.com/network/210631")</f>
      </c>
      <c r="I549" s="2" t="s">
        <v>12868</v>
      </c>
      <c r="J549" s="2" t="s">
        <v>12869</v>
      </c>
      <c r="K549" s="2"/>
      <c r="L549" s="2" t="s">
        <v>12870</v>
      </c>
      <c r="M549" s="2"/>
      <c r="N549" s="2" t="s">
        <v>12871</v>
      </c>
      <c r="O549" s="2"/>
      <c r="P549" s="2" t="s">
        <v>12872</v>
      </c>
      <c r="Q549" s="2" t="s">
        <v>12873</v>
      </c>
      <c r="R549" s="2" t="s">
        <v>502</v>
      </c>
      <c r="S549" s="2" t="s">
        <v>503</v>
      </c>
      <c r="T549" s="2" t="s">
        <v>2174</v>
      </c>
      <c r="U549" s="2" t="s">
        <v>4300</v>
      </c>
      <c r="V549" s="2" t="s">
        <v>24</v>
      </c>
      <c r="W549" s="2" t="s">
        <v>39</v>
      </c>
    </row>
    <row r="550">
      <c r="A550" s="2" t="n">
        <v>375</v>
      </c>
      <c r="B550" s="2" t="s">
        <v>12874</v>
      </c>
      <c r="C550" s="2" t="s">
        <v>4299</v>
      </c>
      <c r="D550" s="2" t="n">
        <v>339.192541708</v>
      </c>
      <c r="E550" s="2" t="n">
        <v>1.30235976645894</v>
      </c>
      <c r="F550" s="2" t="s">
        <v>12875</v>
      </c>
      <c r="G550" s="2" t="n">
        <v>53090</v>
      </c>
      <c r="H550" s="3" t="str">
        <f>HYPERLINK("http://funmeta.oebiotech.com/network/53090", "http://funmeta.oebiotech.com/network/53090")</f>
      </c>
      <c r="I550" s="2" t="s">
        <v>12876</v>
      </c>
      <c r="J550" s="2" t="s">
        <v>12877</v>
      </c>
      <c r="K550" s="2"/>
      <c r="L550" s="2" t="s">
        <v>12878</v>
      </c>
      <c r="M550" s="2" t="s">
        <v>12879</v>
      </c>
      <c r="N550" s="2" t="s">
        <v>12880</v>
      </c>
      <c r="O550" s="2" t="s">
        <v>12881</v>
      </c>
      <c r="P550" s="2" t="s">
        <v>12882</v>
      </c>
      <c r="Q550" s="2" t="s">
        <v>12883</v>
      </c>
      <c r="R550" s="2" t="s">
        <v>502</v>
      </c>
      <c r="S550" s="2" t="s">
        <v>503</v>
      </c>
      <c r="T550" s="2" t="s">
        <v>2174</v>
      </c>
      <c r="U550" s="2" t="s">
        <v>4300</v>
      </c>
      <c r="V550" s="2" t="s">
        <v>24</v>
      </c>
      <c r="W550" s="2" t="s">
        <v>39</v>
      </c>
    </row>
    <row r="551">
      <c r="A551" s="2" t="n">
        <v>376</v>
      </c>
      <c r="B551" s="2" t="s">
        <v>12884</v>
      </c>
      <c r="C551" s="2" t="s">
        <v>4312</v>
      </c>
      <c r="D551" s="2" t="n">
        <v>339.326854652</v>
      </c>
      <c r="E551" s="2" t="n">
        <v>4.64732829608594</v>
      </c>
      <c r="F551" s="2" t="s">
        <v>4314</v>
      </c>
      <c r="G551" s="2" t="n">
        <v>68</v>
      </c>
      <c r="H551" s="3" t="str">
        <f>HYPERLINK("http://funmeta.oebiotech.com/network/68", "http://funmeta.oebiotech.com/network/68")</f>
      </c>
      <c r="I551" s="2" t="s">
        <v>4316</v>
      </c>
      <c r="J551" s="2" t="s">
        <v>4317</v>
      </c>
      <c r="K551" s="2" t="s">
        <v>4318</v>
      </c>
      <c r="L551" s="2" t="s">
        <v>4319</v>
      </c>
      <c r="M551" s="2" t="s">
        <v>4320</v>
      </c>
      <c r="N551" s="2" t="s">
        <v>4321</v>
      </c>
      <c r="O551" s="2" t="s">
        <v>4322</v>
      </c>
      <c r="P551" s="2" t="s">
        <v>4323</v>
      </c>
      <c r="Q551" s="2" t="s">
        <v>4324</v>
      </c>
      <c r="R551" s="2" t="s">
        <v>1490</v>
      </c>
      <c r="S551" s="2" t="s">
        <v>1491</v>
      </c>
      <c r="T551" s="2" t="s">
        <v>1492</v>
      </c>
      <c r="U551" s="2" t="s">
        <v>4313</v>
      </c>
      <c r="V551" s="2" t="s">
        <v>110</v>
      </c>
      <c r="W551" s="2" t="s">
        <v>39</v>
      </c>
    </row>
    <row r="552">
      <c r="A552" s="2" t="n">
        <v>377</v>
      </c>
      <c r="B552" s="2" t="s">
        <v>12885</v>
      </c>
      <c r="C552" s="2" t="s">
        <v>4325</v>
      </c>
      <c r="D552" s="2" t="n">
        <v>341.196962686</v>
      </c>
      <c r="E552" s="2" t="n">
        <v>10.447771590507</v>
      </c>
      <c r="F552" s="2" t="s">
        <v>12886</v>
      </c>
      <c r="G552" s="2" t="n">
        <v>3709</v>
      </c>
      <c r="H552" s="3" t="str">
        <f>HYPERLINK("http://funmeta.oebiotech.com/network/3709", "http://funmeta.oebiotech.com/network/3709")</f>
      </c>
      <c r="I552" s="2" t="s">
        <v>12887</v>
      </c>
      <c r="J552" s="2"/>
      <c r="K552" s="2" t="s">
        <v>12888</v>
      </c>
      <c r="L552" s="2"/>
      <c r="M552" s="2" t="s">
        <v>12889</v>
      </c>
      <c r="N552" s="2" t="s">
        <v>12890</v>
      </c>
      <c r="O552" s="2" t="s">
        <v>12891</v>
      </c>
      <c r="P552" s="2" t="s">
        <v>12892</v>
      </c>
      <c r="Q552" s="2" t="s">
        <v>12893</v>
      </c>
      <c r="R552" s="2" t="s">
        <v>1490</v>
      </c>
      <c r="S552" s="2" t="s">
        <v>1491</v>
      </c>
      <c r="T552" s="2" t="s">
        <v>6576</v>
      </c>
      <c r="U552" s="2" t="s">
        <v>4326</v>
      </c>
      <c r="V552" s="2" t="s">
        <v>110</v>
      </c>
      <c r="W552" s="2"/>
    </row>
    <row r="553">
      <c r="A553" s="2" t="n">
        <v>377</v>
      </c>
      <c r="B553" s="2" t="s">
        <v>12894</v>
      </c>
      <c r="C553" s="2" t="s">
        <v>4325</v>
      </c>
      <c r="D553" s="2" t="n">
        <v>341.196962692</v>
      </c>
      <c r="E553" s="2" t="n">
        <v>10.447771590507</v>
      </c>
      <c r="F553" s="2" t="s">
        <v>12895</v>
      </c>
      <c r="G553" s="2" t="n">
        <v>3911</v>
      </c>
      <c r="H553" s="3" t="str">
        <f>HYPERLINK("http://funmeta.oebiotech.com/network/3911", "http://funmeta.oebiotech.com/network/3911")</f>
      </c>
      <c r="I553" s="2" t="s">
        <v>12896</v>
      </c>
      <c r="J553" s="2" t="s">
        <v>12897</v>
      </c>
      <c r="K553" s="2" t="s">
        <v>12898</v>
      </c>
      <c r="L553" s="2"/>
      <c r="M553" s="2" t="s">
        <v>12899</v>
      </c>
      <c r="N553" s="2" t="s">
        <v>12900</v>
      </c>
      <c r="O553" s="2" t="s">
        <v>12901</v>
      </c>
      <c r="P553" s="2" t="s">
        <v>12902</v>
      </c>
      <c r="Q553" s="2" t="s">
        <v>12903</v>
      </c>
      <c r="R553" s="2" t="s">
        <v>1490</v>
      </c>
      <c r="S553" s="2" t="s">
        <v>1491</v>
      </c>
      <c r="T553" s="2" t="s">
        <v>6576</v>
      </c>
      <c r="U553" s="2" t="s">
        <v>4326</v>
      </c>
      <c r="V553" s="2" t="s">
        <v>110</v>
      </c>
      <c r="W553" s="2"/>
    </row>
    <row r="554">
      <c r="A554" s="2" t="n">
        <v>378</v>
      </c>
      <c r="B554" s="2" t="s">
        <v>12904</v>
      </c>
      <c r="C554" s="2" t="s">
        <v>4338</v>
      </c>
      <c r="D554" s="2" t="n">
        <v>342.931523205</v>
      </c>
      <c r="E554" s="2" t="n">
        <v>4.27113696772437</v>
      </c>
      <c r="F554" s="2" t="s">
        <v>4340</v>
      </c>
      <c r="G554" s="2" t="n">
        <v>56205</v>
      </c>
      <c r="H554" s="3" t="str">
        <f>HYPERLINK("http://funmeta.oebiotech.com/network/56205", "http://funmeta.oebiotech.com/network/56205")</f>
      </c>
      <c r="I554" s="2" t="s">
        <v>4342</v>
      </c>
      <c r="J554" s="2"/>
      <c r="K554" s="2"/>
      <c r="L554" s="2"/>
      <c r="M554" s="2"/>
      <c r="N554" s="2" t="s">
        <v>4343</v>
      </c>
      <c r="O554" s="2" t="s">
        <v>4344</v>
      </c>
      <c r="P554" s="2" t="s">
        <v>4345</v>
      </c>
      <c r="Q554" s="2" t="s">
        <v>4346</v>
      </c>
      <c r="R554" s="2" t="s">
        <v>64</v>
      </c>
      <c r="S554" s="2" t="s">
        <v>65</v>
      </c>
      <c r="T554" s="2" t="s">
        <v>66</v>
      </c>
      <c r="U554" s="2" t="s">
        <v>4339</v>
      </c>
      <c r="V554" s="2" t="s">
        <v>522</v>
      </c>
      <c r="W554" s="2"/>
    </row>
    <row r="555">
      <c r="A555" s="2" t="n">
        <v>379</v>
      </c>
      <c r="B555" s="2" t="s">
        <v>12905</v>
      </c>
      <c r="C555" s="2" t="s">
        <v>4347</v>
      </c>
      <c r="D555" s="2" t="n">
        <v>342.986993918</v>
      </c>
      <c r="E555" s="2" t="n">
        <v>0.448548394973021</v>
      </c>
      <c r="F555" s="2" t="s">
        <v>4349</v>
      </c>
      <c r="G555" s="2" t="n">
        <v>52802</v>
      </c>
      <c r="H555" s="3" t="str">
        <f>HYPERLINK("http://funmeta.oebiotech.com/network/52802", "http://funmeta.oebiotech.com/network/52802")</f>
      </c>
      <c r="I555" s="2" t="s">
        <v>4351</v>
      </c>
      <c r="J555" s="2" t="s">
        <v>4352</v>
      </c>
      <c r="K555" s="2"/>
      <c r="L555" s="2" t="s">
        <v>4353</v>
      </c>
      <c r="M555" s="2" t="s">
        <v>4354</v>
      </c>
      <c r="N555" s="2" t="s">
        <v>4355</v>
      </c>
      <c r="O555" s="2" t="s">
        <v>4356</v>
      </c>
      <c r="P555" s="2" t="s">
        <v>4357</v>
      </c>
      <c r="Q555" s="2" t="s">
        <v>4358</v>
      </c>
      <c r="R555" s="2" t="s">
        <v>502</v>
      </c>
      <c r="S555" s="2" t="s">
        <v>503</v>
      </c>
      <c r="T555" s="2" t="s">
        <v>504</v>
      </c>
      <c r="U555" s="2" t="s">
        <v>4348</v>
      </c>
      <c r="V555" s="2" t="s">
        <v>360</v>
      </c>
      <c r="W555" s="2" t="s">
        <v>39</v>
      </c>
    </row>
    <row r="556">
      <c r="A556" s="2" t="n">
        <v>380</v>
      </c>
      <c r="B556" s="2" t="s">
        <v>12906</v>
      </c>
      <c r="C556" s="2" t="s">
        <v>4359</v>
      </c>
      <c r="D556" s="2" t="n">
        <v>343.170354013</v>
      </c>
      <c r="E556" s="2" t="n">
        <v>0.160051107503584</v>
      </c>
      <c r="F556" s="2" t="s">
        <v>4361</v>
      </c>
      <c r="G556" s="2" t="n">
        <v>212168</v>
      </c>
      <c r="H556" s="3" t="str">
        <f>HYPERLINK("http://funmeta.oebiotech.com/network/212168", "http://funmeta.oebiotech.com/network/212168")</f>
      </c>
      <c r="I556" s="2" t="s">
        <v>4363</v>
      </c>
      <c r="J556" s="2"/>
      <c r="K556" s="2"/>
      <c r="L556" s="2"/>
      <c r="M556" s="2"/>
      <c r="N556" s="2" t="s">
        <v>4364</v>
      </c>
      <c r="O556" s="2"/>
      <c r="P556" s="2" t="s">
        <v>4365</v>
      </c>
      <c r="Q556" s="2" t="s">
        <v>4366</v>
      </c>
      <c r="R556" s="2" t="s">
        <v>2509</v>
      </c>
      <c r="S556" s="2" t="s">
        <v>4367</v>
      </c>
      <c r="T556" s="2" t="s">
        <v>205</v>
      </c>
      <c r="U556" s="2" t="s">
        <v>4360</v>
      </c>
      <c r="V556" s="2" t="s">
        <v>110</v>
      </c>
      <c r="W556" s="2"/>
    </row>
    <row r="557">
      <c r="A557" s="2" t="n">
        <v>381</v>
      </c>
      <c r="B557" s="2" t="s">
        <v>12907</v>
      </c>
      <c r="C557" s="2" t="s">
        <v>4368</v>
      </c>
      <c r="D557" s="2" t="n">
        <v>345.046335271</v>
      </c>
      <c r="E557" s="2" t="n">
        <v>2.67979372886475</v>
      </c>
      <c r="F557" s="2" t="s">
        <v>12908</v>
      </c>
      <c r="G557" s="2" t="n">
        <v>144390</v>
      </c>
      <c r="H557" s="3" t="str">
        <f>HYPERLINK("http://funmeta.oebiotech.com/network/144390", "http://funmeta.oebiotech.com/network/144390")</f>
      </c>
      <c r="I557" s="2" t="s">
        <v>12909</v>
      </c>
      <c r="J557" s="2"/>
      <c r="K557" s="2"/>
      <c r="L557" s="2"/>
      <c r="M557" s="2"/>
      <c r="N557" s="2" t="s">
        <v>12910</v>
      </c>
      <c r="O557" s="2"/>
      <c r="P557" s="2" t="s">
        <v>12911</v>
      </c>
      <c r="Q557" s="2" t="s">
        <v>12912</v>
      </c>
      <c r="R557" s="2" t="s">
        <v>64</v>
      </c>
      <c r="S557" s="2" t="s">
        <v>65</v>
      </c>
      <c r="T557" s="2" t="s">
        <v>66</v>
      </c>
      <c r="U557" s="2" t="s">
        <v>4369</v>
      </c>
      <c r="V557" s="2" t="s">
        <v>110</v>
      </c>
      <c r="W557" s="2"/>
    </row>
    <row r="558">
      <c r="A558" s="2" t="n">
        <v>381</v>
      </c>
      <c r="B558" s="2" t="s">
        <v>12913</v>
      </c>
      <c r="C558" s="2" t="s">
        <v>4368</v>
      </c>
      <c r="D558" s="2" t="n">
        <v>345.046335271</v>
      </c>
      <c r="E558" s="2" t="n">
        <v>2.67979372886475</v>
      </c>
      <c r="F558" s="2" t="s">
        <v>12914</v>
      </c>
      <c r="G558" s="2" t="n">
        <v>144391</v>
      </c>
      <c r="H558" s="3" t="str">
        <f>HYPERLINK("http://funmeta.oebiotech.com/network/144391", "http://funmeta.oebiotech.com/network/144391")</f>
      </c>
      <c r="I558" s="2" t="s">
        <v>12915</v>
      </c>
      <c r="J558" s="2"/>
      <c r="K558" s="2"/>
      <c r="L558" s="2"/>
      <c r="M558" s="2"/>
      <c r="N558" s="2" t="s">
        <v>12916</v>
      </c>
      <c r="O558" s="2"/>
      <c r="P558" s="2" t="s">
        <v>12917</v>
      </c>
      <c r="Q558" s="2" t="s">
        <v>12918</v>
      </c>
      <c r="R558" s="2" t="s">
        <v>2509</v>
      </c>
      <c r="S558" s="2" t="s">
        <v>4949</v>
      </c>
      <c r="T558" s="2" t="s">
        <v>4950</v>
      </c>
      <c r="U558" s="2" t="s">
        <v>4369</v>
      </c>
      <c r="V558" s="2" t="s">
        <v>110</v>
      </c>
      <c r="W558" s="2"/>
    </row>
    <row r="559">
      <c r="A559" s="2" t="n">
        <v>382</v>
      </c>
      <c r="B559" s="2" t="s">
        <v>12919</v>
      </c>
      <c r="C559" s="2" t="s">
        <v>4379</v>
      </c>
      <c r="D559" s="2" t="n">
        <v>345.185453762</v>
      </c>
      <c r="E559" s="2" t="n">
        <v>4.08900604753779</v>
      </c>
      <c r="F559" s="2" t="s">
        <v>12920</v>
      </c>
      <c r="G559" s="2" t="n">
        <v>211947</v>
      </c>
      <c r="H559" s="3" t="str">
        <f>HYPERLINK("http://funmeta.oebiotech.com/network/211947", "http://funmeta.oebiotech.com/network/211947")</f>
      </c>
      <c r="I559" s="2" t="s">
        <v>12921</v>
      </c>
      <c r="J559" s="2"/>
      <c r="K559" s="2"/>
      <c r="L559" s="2"/>
      <c r="M559" s="2"/>
      <c r="N559" s="2" t="s">
        <v>12922</v>
      </c>
      <c r="O559" s="2"/>
      <c r="P559" s="2" t="s">
        <v>12923</v>
      </c>
      <c r="Q559" s="2" t="s">
        <v>12924</v>
      </c>
      <c r="R559" s="2" t="s">
        <v>1490</v>
      </c>
      <c r="S559" s="2" t="s">
        <v>3546</v>
      </c>
      <c r="T559" s="2" t="s">
        <v>8600</v>
      </c>
      <c r="U559" s="2" t="s">
        <v>4380</v>
      </c>
      <c r="V559" s="2" t="s">
        <v>42</v>
      </c>
      <c r="W559" s="2"/>
    </row>
    <row r="560">
      <c r="A560" s="2" t="n">
        <v>382</v>
      </c>
      <c r="B560" s="2" t="s">
        <v>12925</v>
      </c>
      <c r="C560" s="2" t="s">
        <v>4379</v>
      </c>
      <c r="D560" s="2" t="n">
        <v>345.185453762</v>
      </c>
      <c r="E560" s="2" t="n">
        <v>4.08900604753779</v>
      </c>
      <c r="F560" s="2" t="s">
        <v>12926</v>
      </c>
      <c r="G560" s="2" t="n">
        <v>55480</v>
      </c>
      <c r="H560" s="3" t="str">
        <f>HYPERLINK("http://funmeta.oebiotech.com/network/55480", "http://funmeta.oebiotech.com/network/55480")</f>
      </c>
      <c r="I560" s="2" t="s">
        <v>12927</v>
      </c>
      <c r="J560" s="2" t="s">
        <v>12928</v>
      </c>
      <c r="K560" s="2"/>
      <c r="L560" s="2"/>
      <c r="M560" s="2" t="s">
        <v>12929</v>
      </c>
      <c r="N560" s="2" t="s">
        <v>12930</v>
      </c>
      <c r="O560" s="2" t="s">
        <v>12931</v>
      </c>
      <c r="P560" s="2" t="s">
        <v>12932</v>
      </c>
      <c r="Q560" s="2" t="s">
        <v>12933</v>
      </c>
      <c r="R560" s="2" t="s">
        <v>2509</v>
      </c>
      <c r="S560" s="2" t="s">
        <v>2840</v>
      </c>
      <c r="T560" s="2" t="s">
        <v>8589</v>
      </c>
      <c r="U560" s="2" t="s">
        <v>4380</v>
      </c>
      <c r="V560" s="2" t="s">
        <v>42</v>
      </c>
      <c r="W560" s="2"/>
    </row>
    <row r="561">
      <c r="A561" s="2" t="n">
        <v>383</v>
      </c>
      <c r="B561" s="2" t="s">
        <v>12934</v>
      </c>
      <c r="C561" s="2" t="s">
        <v>4393</v>
      </c>
      <c r="D561" s="2" t="n">
        <v>346.055808339</v>
      </c>
      <c r="E561" s="2" t="n">
        <v>2.12330763772156</v>
      </c>
      <c r="F561" s="2" t="s">
        <v>12935</v>
      </c>
      <c r="G561" s="2" t="n">
        <v>46841</v>
      </c>
      <c r="H561" s="3" t="str">
        <f>HYPERLINK("http://funmeta.oebiotech.com/network/46841", "http://funmeta.oebiotech.com/network/46841")</f>
      </c>
      <c r="I561" s="2" t="s">
        <v>12936</v>
      </c>
      <c r="J561" s="2" t="s">
        <v>12937</v>
      </c>
      <c r="K561" s="2"/>
      <c r="L561" s="2" t="s">
        <v>12938</v>
      </c>
      <c r="M561" s="2" t="s">
        <v>12939</v>
      </c>
      <c r="N561" s="2" t="s">
        <v>12940</v>
      </c>
      <c r="O561" s="2" t="s">
        <v>12941</v>
      </c>
      <c r="P561" s="2" t="s">
        <v>12942</v>
      </c>
      <c r="Q561" s="2" t="s">
        <v>12943</v>
      </c>
      <c r="R561" s="2" t="s">
        <v>2590</v>
      </c>
      <c r="S561" s="2" t="s">
        <v>6120</v>
      </c>
      <c r="T561" s="2" t="s">
        <v>7366</v>
      </c>
      <c r="U561" s="2" t="s">
        <v>4394</v>
      </c>
      <c r="V561" s="2" t="s">
        <v>110</v>
      </c>
      <c r="W561" s="2" t="s">
        <v>39</v>
      </c>
    </row>
    <row r="562">
      <c r="A562" s="2" t="n">
        <v>383</v>
      </c>
      <c r="B562" s="2" t="s">
        <v>12944</v>
      </c>
      <c r="C562" s="2" t="s">
        <v>4393</v>
      </c>
      <c r="D562" s="2" t="n">
        <v>346.055808339</v>
      </c>
      <c r="E562" s="2" t="n">
        <v>2.12330763772156</v>
      </c>
      <c r="F562" s="2" t="s">
        <v>12945</v>
      </c>
      <c r="G562" s="2" t="n">
        <v>47359</v>
      </c>
      <c r="H562" s="3" t="str">
        <f>HYPERLINK("http://funmeta.oebiotech.com/network/47359", "http://funmeta.oebiotech.com/network/47359")</f>
      </c>
      <c r="I562" s="2" t="s">
        <v>12946</v>
      </c>
      <c r="J562" s="2"/>
      <c r="K562" s="2"/>
      <c r="L562" s="2" t="s">
        <v>12947</v>
      </c>
      <c r="M562" s="2" t="s">
        <v>12948</v>
      </c>
      <c r="N562" s="2" t="s">
        <v>12949</v>
      </c>
      <c r="O562" s="2" t="s">
        <v>12950</v>
      </c>
      <c r="P562" s="2" t="s">
        <v>12951</v>
      </c>
      <c r="Q562" s="2" t="s">
        <v>12952</v>
      </c>
      <c r="R562" s="2" t="s">
        <v>2590</v>
      </c>
      <c r="S562" s="2" t="s">
        <v>6120</v>
      </c>
      <c r="T562" s="2" t="s">
        <v>12953</v>
      </c>
      <c r="U562" s="2" t="s">
        <v>4394</v>
      </c>
      <c r="V562" s="2" t="s">
        <v>110</v>
      </c>
      <c r="W562" s="2" t="s">
        <v>39</v>
      </c>
    </row>
    <row r="563">
      <c r="A563" s="2" t="n">
        <v>384</v>
      </c>
      <c r="B563" s="2" t="s">
        <v>12954</v>
      </c>
      <c r="C563" s="2" t="s">
        <v>4408</v>
      </c>
      <c r="D563" s="2" t="n">
        <v>347.047394797</v>
      </c>
      <c r="E563" s="2" t="n">
        <v>2.25191694139716</v>
      </c>
      <c r="F563" s="2" t="s">
        <v>4410</v>
      </c>
      <c r="G563" s="2" t="n">
        <v>198639</v>
      </c>
      <c r="H563" s="3" t="str">
        <f>HYPERLINK("http://funmeta.oebiotech.com/network/198639", "http://funmeta.oebiotech.com/network/198639")</f>
      </c>
      <c r="I563" s="2" t="s">
        <v>4412</v>
      </c>
      <c r="J563" s="2"/>
      <c r="K563" s="2"/>
      <c r="L563" s="2"/>
      <c r="M563" s="2" t="s">
        <v>4413</v>
      </c>
      <c r="N563" s="2" t="s">
        <v>4414</v>
      </c>
      <c r="O563" s="2"/>
      <c r="P563" s="2" t="s">
        <v>4415</v>
      </c>
      <c r="Q563" s="2" t="s">
        <v>4416</v>
      </c>
      <c r="R563" s="2" t="s">
        <v>49</v>
      </c>
      <c r="S563" s="2" t="s">
        <v>165</v>
      </c>
      <c r="T563" s="2" t="s">
        <v>166</v>
      </c>
      <c r="U563" s="2" t="s">
        <v>4409</v>
      </c>
      <c r="V563" s="2" t="s">
        <v>522</v>
      </c>
      <c r="W563" s="2"/>
    </row>
    <row r="564">
      <c r="A564" s="2" t="n">
        <v>385</v>
      </c>
      <c r="B564" s="2" t="s">
        <v>12955</v>
      </c>
      <c r="C564" s="2" t="s">
        <v>4417</v>
      </c>
      <c r="D564" s="2" t="n">
        <v>347.197631394</v>
      </c>
      <c r="E564" s="2" t="n">
        <v>1.5844544433376</v>
      </c>
      <c r="F564" s="2" t="s">
        <v>4419</v>
      </c>
      <c r="G564" s="2" t="n">
        <v>53713</v>
      </c>
      <c r="H564" s="3" t="str">
        <f>HYPERLINK("http://funmeta.oebiotech.com/network/53713", "http://funmeta.oebiotech.com/network/53713")</f>
      </c>
      <c r="I564" s="2" t="s">
        <v>4421</v>
      </c>
      <c r="J564" s="2" t="s">
        <v>4422</v>
      </c>
      <c r="K564" s="2"/>
      <c r="L564" s="2"/>
      <c r="M564" s="2" t="s">
        <v>4423</v>
      </c>
      <c r="N564" s="2" t="s">
        <v>4424</v>
      </c>
      <c r="O564" s="2" t="s">
        <v>4425</v>
      </c>
      <c r="P564" s="2" t="s">
        <v>4426</v>
      </c>
      <c r="Q564" s="2" t="s">
        <v>4427</v>
      </c>
      <c r="R564" s="2" t="s">
        <v>355</v>
      </c>
      <c r="S564" s="2" t="s">
        <v>1580</v>
      </c>
      <c r="T564" s="2" t="s">
        <v>4428</v>
      </c>
      <c r="U564" s="2" t="s">
        <v>4418</v>
      </c>
      <c r="V564" s="2" t="s">
        <v>110</v>
      </c>
      <c r="W564" s="2"/>
    </row>
    <row r="565">
      <c r="A565" s="2" t="n">
        <v>386</v>
      </c>
      <c r="B565" s="2" t="s">
        <v>12956</v>
      </c>
      <c r="C565" s="2" t="s">
        <v>4429</v>
      </c>
      <c r="D565" s="2" t="n">
        <v>348.053876683</v>
      </c>
      <c r="E565" s="2" t="n">
        <v>1.7787131469911</v>
      </c>
      <c r="F565" s="2" t="s">
        <v>12957</v>
      </c>
      <c r="G565" s="2" t="n">
        <v>57872</v>
      </c>
      <c r="H565" s="3" t="str">
        <f>HYPERLINK("http://funmeta.oebiotech.com/network/57872", "http://funmeta.oebiotech.com/network/57872")</f>
      </c>
      <c r="I565" s="2" t="s">
        <v>12958</v>
      </c>
      <c r="J565" s="2" t="s">
        <v>12959</v>
      </c>
      <c r="K565" s="2"/>
      <c r="L565" s="2"/>
      <c r="M565" s="2" t="s">
        <v>12960</v>
      </c>
      <c r="N565" s="2" t="s">
        <v>12961</v>
      </c>
      <c r="O565" s="2" t="s">
        <v>12962</v>
      </c>
      <c r="P565" s="2" t="s">
        <v>12963</v>
      </c>
      <c r="Q565" s="2" t="s">
        <v>12964</v>
      </c>
      <c r="R565" s="2" t="s">
        <v>2590</v>
      </c>
      <c r="S565" s="2" t="s">
        <v>12965</v>
      </c>
      <c r="T565" s="2" t="s">
        <v>205</v>
      </c>
      <c r="U565" s="2" t="s">
        <v>4430</v>
      </c>
      <c r="V565" s="2" t="s">
        <v>522</v>
      </c>
      <c r="W565" s="2"/>
    </row>
    <row r="566">
      <c r="A566" s="2" t="n">
        <v>386</v>
      </c>
      <c r="B566" s="2" t="s">
        <v>12966</v>
      </c>
      <c r="C566" s="2" t="s">
        <v>4429</v>
      </c>
      <c r="D566" s="2" t="n">
        <v>348.053877157</v>
      </c>
      <c r="E566" s="2" t="n">
        <v>1.7787131469911</v>
      </c>
      <c r="F566" s="2" t="s">
        <v>12967</v>
      </c>
      <c r="G566" s="2" t="n">
        <v>200680</v>
      </c>
      <c r="H566" s="3" t="str">
        <f>HYPERLINK("http://funmeta.oebiotech.com/network/200680", "http://funmeta.oebiotech.com/network/200680")</f>
      </c>
      <c r="I566" s="2" t="s">
        <v>12968</v>
      </c>
      <c r="J566" s="2"/>
      <c r="K566" s="2"/>
      <c r="L566" s="2"/>
      <c r="M566" s="2"/>
      <c r="N566" s="2" t="s">
        <v>12969</v>
      </c>
      <c r="O566" s="2"/>
      <c r="P566" s="2" t="s">
        <v>12970</v>
      </c>
      <c r="Q566" s="2" t="s">
        <v>12971</v>
      </c>
      <c r="R566" s="2" t="s">
        <v>2590</v>
      </c>
      <c r="S566" s="2" t="s">
        <v>3279</v>
      </c>
      <c r="T566" s="2" t="s">
        <v>205</v>
      </c>
      <c r="U566" s="2" t="s">
        <v>4430</v>
      </c>
      <c r="V566" s="2" t="s">
        <v>522</v>
      </c>
      <c r="W566" s="2"/>
    </row>
    <row r="567">
      <c r="A567" s="2" t="n">
        <v>387</v>
      </c>
      <c r="B567" s="2" t="s">
        <v>12972</v>
      </c>
      <c r="C567" s="2" t="s">
        <v>4441</v>
      </c>
      <c r="D567" s="2" t="n">
        <v>348.152467796</v>
      </c>
      <c r="E567" s="2" t="n">
        <v>1.82361310287855</v>
      </c>
      <c r="F567" s="2" t="s">
        <v>12973</v>
      </c>
      <c r="G567" s="2" t="n">
        <v>53747</v>
      </c>
      <c r="H567" s="3" t="str">
        <f>HYPERLINK("http://funmeta.oebiotech.com/network/53747", "http://funmeta.oebiotech.com/network/53747")</f>
      </c>
      <c r="I567" s="2" t="s">
        <v>12974</v>
      </c>
      <c r="J567" s="2"/>
      <c r="K567" s="2"/>
      <c r="L567" s="2"/>
      <c r="M567" s="2" t="s">
        <v>12975</v>
      </c>
      <c r="N567" s="2" t="s">
        <v>12976</v>
      </c>
      <c r="O567" s="2" t="s">
        <v>12977</v>
      </c>
      <c r="P567" s="2" t="s">
        <v>12978</v>
      </c>
      <c r="Q567" s="2" t="s">
        <v>12979</v>
      </c>
      <c r="R567" s="2" t="s">
        <v>49</v>
      </c>
      <c r="S567" s="2" t="s">
        <v>165</v>
      </c>
      <c r="T567" s="2" t="s">
        <v>166</v>
      </c>
      <c r="U567" s="2" t="s">
        <v>4442</v>
      </c>
      <c r="V567" s="2" t="s">
        <v>24</v>
      </c>
      <c r="W567" s="2"/>
    </row>
    <row r="568">
      <c r="A568" s="2" t="n">
        <v>387</v>
      </c>
      <c r="B568" s="2" t="s">
        <v>12980</v>
      </c>
      <c r="C568" s="2" t="s">
        <v>4441</v>
      </c>
      <c r="D568" s="2" t="n">
        <v>348.152467796</v>
      </c>
      <c r="E568" s="2" t="n">
        <v>1.82361310287855</v>
      </c>
      <c r="F568" s="2" t="s">
        <v>12981</v>
      </c>
      <c r="G568" s="2" t="n">
        <v>53848</v>
      </c>
      <c r="H568" s="3" t="str">
        <f>HYPERLINK("http://funmeta.oebiotech.com/network/53848", "http://funmeta.oebiotech.com/network/53848")</f>
      </c>
      <c r="I568" s="2" t="s">
        <v>12982</v>
      </c>
      <c r="J568" s="2"/>
      <c r="K568" s="2"/>
      <c r="L568" s="2"/>
      <c r="M568" s="2" t="s">
        <v>12983</v>
      </c>
      <c r="N568" s="2" t="s">
        <v>12984</v>
      </c>
      <c r="O568" s="2" t="s">
        <v>12985</v>
      </c>
      <c r="P568" s="2" t="s">
        <v>12986</v>
      </c>
      <c r="Q568" s="2" t="s">
        <v>12987</v>
      </c>
      <c r="R568" s="2" t="s">
        <v>49</v>
      </c>
      <c r="S568" s="2" t="s">
        <v>165</v>
      </c>
      <c r="T568" s="2" t="s">
        <v>166</v>
      </c>
      <c r="U568" s="2" t="s">
        <v>4442</v>
      </c>
      <c r="V568" s="2" t="s">
        <v>24</v>
      </c>
      <c r="W568" s="2"/>
    </row>
    <row r="569">
      <c r="A569" s="2" t="n">
        <v>387</v>
      </c>
      <c r="B569" s="2" t="s">
        <v>12988</v>
      </c>
      <c r="C569" s="2" t="s">
        <v>4441</v>
      </c>
      <c r="D569" s="2" t="n">
        <v>348.152467807</v>
      </c>
      <c r="E569" s="2" t="n">
        <v>1.82361310287855</v>
      </c>
      <c r="F569" s="2" t="s">
        <v>12989</v>
      </c>
      <c r="G569" s="2" t="n">
        <v>54153</v>
      </c>
      <c r="H569" s="3" t="str">
        <f>HYPERLINK("http://funmeta.oebiotech.com/network/54153", "http://funmeta.oebiotech.com/network/54153")</f>
      </c>
      <c r="I569" s="2" t="s">
        <v>12990</v>
      </c>
      <c r="J569" s="2"/>
      <c r="K569" s="2"/>
      <c r="L569" s="2"/>
      <c r="M569" s="2"/>
      <c r="N569" s="2" t="s">
        <v>12991</v>
      </c>
      <c r="O569" s="2" t="s">
        <v>12992</v>
      </c>
      <c r="P569" s="2" t="s">
        <v>12993</v>
      </c>
      <c r="Q569" s="2" t="s">
        <v>12994</v>
      </c>
      <c r="R569" s="2" t="s">
        <v>49</v>
      </c>
      <c r="S569" s="2" t="s">
        <v>165</v>
      </c>
      <c r="T569" s="2" t="s">
        <v>166</v>
      </c>
      <c r="U569" s="2" t="s">
        <v>4442</v>
      </c>
      <c r="V569" s="2" t="s">
        <v>24</v>
      </c>
      <c r="W569" s="2"/>
    </row>
    <row r="570">
      <c r="A570" s="2" t="n">
        <v>388</v>
      </c>
      <c r="B570" s="2" t="s">
        <v>12995</v>
      </c>
      <c r="C570" s="2" t="s">
        <v>4451</v>
      </c>
      <c r="D570" s="2" t="n">
        <v>348.912802484</v>
      </c>
      <c r="E570" s="2" t="n">
        <v>4.0361331933108</v>
      </c>
      <c r="F570" s="2" t="s">
        <v>4453</v>
      </c>
      <c r="G570" s="2" t="n">
        <v>53364</v>
      </c>
      <c r="H570" s="3" t="str">
        <f>HYPERLINK("http://funmeta.oebiotech.com/network/53364", "http://funmeta.oebiotech.com/network/53364")</f>
      </c>
      <c r="I570" s="2" t="s">
        <v>4455</v>
      </c>
      <c r="J570" s="2" t="s">
        <v>4456</v>
      </c>
      <c r="K570" s="2"/>
      <c r="L570" s="2" t="s">
        <v>4457</v>
      </c>
      <c r="M570" s="2" t="s">
        <v>4458</v>
      </c>
      <c r="N570" s="2" t="s">
        <v>4459</v>
      </c>
      <c r="O570" s="2" t="s">
        <v>4460</v>
      </c>
      <c r="P570" s="2" t="s">
        <v>4461</v>
      </c>
      <c r="Q570" s="2" t="s">
        <v>4462</v>
      </c>
      <c r="R570" s="2" t="s">
        <v>502</v>
      </c>
      <c r="S570" s="2" t="s">
        <v>503</v>
      </c>
      <c r="T570" s="2" t="s">
        <v>1964</v>
      </c>
      <c r="U570" s="2" t="s">
        <v>4452</v>
      </c>
      <c r="V570" s="2" t="s">
        <v>24</v>
      </c>
      <c r="W570" s="2" t="s">
        <v>39</v>
      </c>
    </row>
    <row r="571">
      <c r="A571" s="2" t="n">
        <v>389</v>
      </c>
      <c r="B571" s="2" t="s">
        <v>12996</v>
      </c>
      <c r="C571" s="2" t="s">
        <v>4463</v>
      </c>
      <c r="D571" s="2" t="n">
        <v>349.067735114</v>
      </c>
      <c r="E571" s="2" t="n">
        <v>1.32135429848464</v>
      </c>
      <c r="F571" s="2" t="s">
        <v>4465</v>
      </c>
      <c r="G571" s="2" t="n">
        <v>213410</v>
      </c>
      <c r="H571" s="3" t="str">
        <f>HYPERLINK("http://funmeta.oebiotech.com/network/213410", "http://funmeta.oebiotech.com/network/213410")</f>
      </c>
      <c r="I571" s="2" t="s">
        <v>4467</v>
      </c>
      <c r="J571" s="2"/>
      <c r="K571" s="2"/>
      <c r="L571" s="2"/>
      <c r="M571" s="2"/>
      <c r="N571" s="2" t="s">
        <v>4468</v>
      </c>
      <c r="O571" s="2"/>
      <c r="P571" s="2" t="s">
        <v>4469</v>
      </c>
      <c r="Q571" s="2" t="s">
        <v>4470</v>
      </c>
      <c r="R571" s="2" t="s">
        <v>355</v>
      </c>
      <c r="S571" s="2" t="s">
        <v>874</v>
      </c>
      <c r="T571" s="2" t="s">
        <v>205</v>
      </c>
      <c r="U571" s="2" t="s">
        <v>4464</v>
      </c>
      <c r="V571" s="2" t="s">
        <v>24</v>
      </c>
      <c r="W571" s="2"/>
    </row>
    <row r="572">
      <c r="A572" s="2" t="n">
        <v>390</v>
      </c>
      <c r="B572" s="2" t="s">
        <v>12997</v>
      </c>
      <c r="C572" s="2" t="s">
        <v>4471</v>
      </c>
      <c r="D572" s="2" t="n">
        <v>350.907412823</v>
      </c>
      <c r="E572" s="2" t="n">
        <v>12.8707839450775</v>
      </c>
      <c r="F572" s="2" t="s">
        <v>12998</v>
      </c>
      <c r="G572" s="2" t="n">
        <v>198682</v>
      </c>
      <c r="H572" s="3" t="str">
        <f>HYPERLINK("http://funmeta.oebiotech.com/network/198682", "http://funmeta.oebiotech.com/network/198682")</f>
      </c>
      <c r="I572" s="2" t="s">
        <v>12999</v>
      </c>
      <c r="J572" s="2" t="s">
        <v>13000</v>
      </c>
      <c r="K572" s="2"/>
      <c r="L572" s="2" t="s">
        <v>13001</v>
      </c>
      <c r="M572" s="2"/>
      <c r="N572" s="2" t="s">
        <v>13002</v>
      </c>
      <c r="O572" s="2" t="s">
        <v>13003</v>
      </c>
      <c r="P572" s="2" t="s">
        <v>13004</v>
      </c>
      <c r="Q572" s="2" t="s">
        <v>13005</v>
      </c>
      <c r="R572" s="2" t="s">
        <v>502</v>
      </c>
      <c r="S572" s="2" t="s">
        <v>503</v>
      </c>
      <c r="T572" s="2" t="s">
        <v>5166</v>
      </c>
      <c r="U572" s="2" t="s">
        <v>4472</v>
      </c>
      <c r="V572" s="2" t="s">
        <v>110</v>
      </c>
      <c r="W572" s="2" t="s">
        <v>39</v>
      </c>
    </row>
    <row r="573">
      <c r="A573" s="2" t="n">
        <v>390</v>
      </c>
      <c r="B573" s="2" t="s">
        <v>13006</v>
      </c>
      <c r="C573" s="2" t="s">
        <v>4471</v>
      </c>
      <c r="D573" s="2" t="n">
        <v>350.907412823</v>
      </c>
      <c r="E573" s="2" t="n">
        <v>12.8707839450775</v>
      </c>
      <c r="F573" s="2" t="s">
        <v>13007</v>
      </c>
      <c r="G573" s="2" t="n">
        <v>56574</v>
      </c>
      <c r="H573" s="3" t="str">
        <f>HYPERLINK("http://funmeta.oebiotech.com/network/56574", "http://funmeta.oebiotech.com/network/56574")</f>
      </c>
      <c r="I573" s="2" t="s">
        <v>13008</v>
      </c>
      <c r="J573" s="2" t="s">
        <v>13009</v>
      </c>
      <c r="K573" s="2"/>
      <c r="L573" s="2" t="s">
        <v>13010</v>
      </c>
      <c r="M573" s="2" t="s">
        <v>13011</v>
      </c>
      <c r="N573" s="2" t="s">
        <v>13012</v>
      </c>
      <c r="O573" s="2" t="s">
        <v>13013</v>
      </c>
      <c r="P573" s="2" t="s">
        <v>13014</v>
      </c>
      <c r="Q573" s="2" t="s">
        <v>13015</v>
      </c>
      <c r="R573" s="2" t="s">
        <v>502</v>
      </c>
      <c r="S573" s="2" t="s">
        <v>503</v>
      </c>
      <c r="T573" s="2" t="s">
        <v>5166</v>
      </c>
      <c r="U573" s="2" t="s">
        <v>4472</v>
      </c>
      <c r="V573" s="2" t="s">
        <v>110</v>
      </c>
      <c r="W573" s="2" t="s">
        <v>39</v>
      </c>
    </row>
    <row r="574">
      <c r="A574" s="2" t="n">
        <v>391</v>
      </c>
      <c r="B574" s="2" t="s">
        <v>13016</v>
      </c>
      <c r="C574" s="2" t="s">
        <v>4484</v>
      </c>
      <c r="D574" s="2" t="n">
        <v>351.072841586</v>
      </c>
      <c r="E574" s="2" t="n">
        <v>1.77551925806074</v>
      </c>
      <c r="F574" s="2" t="s">
        <v>4486</v>
      </c>
      <c r="G574" s="2" t="n">
        <v>63369</v>
      </c>
      <c r="H574" s="3" t="str">
        <f>HYPERLINK("http://funmeta.oebiotech.com/network/63369", "http://funmeta.oebiotech.com/network/63369")</f>
      </c>
      <c r="I574" s="2" t="s">
        <v>4488</v>
      </c>
      <c r="J574" s="2" t="s">
        <v>4489</v>
      </c>
      <c r="K574" s="2"/>
      <c r="L574" s="2"/>
      <c r="M574" s="2" t="s">
        <v>4490</v>
      </c>
      <c r="N574" s="2" t="s">
        <v>4491</v>
      </c>
      <c r="O574" s="2" t="s">
        <v>4492</v>
      </c>
      <c r="P574" s="2" t="s">
        <v>4493</v>
      </c>
      <c r="Q574" s="2" t="s">
        <v>4494</v>
      </c>
      <c r="R574" s="2" t="s">
        <v>2509</v>
      </c>
      <c r="S574" s="2" t="s">
        <v>4495</v>
      </c>
      <c r="T574" s="2" t="s">
        <v>205</v>
      </c>
      <c r="U574" s="2" t="s">
        <v>4485</v>
      </c>
      <c r="V574" s="2" t="s">
        <v>110</v>
      </c>
      <c r="W574" s="2"/>
    </row>
    <row r="575">
      <c r="A575" s="2" t="n">
        <v>392</v>
      </c>
      <c r="B575" s="2" t="s">
        <v>13017</v>
      </c>
      <c r="C575" s="2" t="s">
        <v>4496</v>
      </c>
      <c r="D575" s="2" t="n">
        <v>351.199940064</v>
      </c>
      <c r="E575" s="2" t="n">
        <v>0.299004855381526</v>
      </c>
      <c r="F575" s="2" t="s">
        <v>4498</v>
      </c>
      <c r="G575" s="2" t="n">
        <v>205759</v>
      </c>
      <c r="H575" s="3" t="str">
        <f>HYPERLINK("http://funmeta.oebiotech.com/network/205759", "http://funmeta.oebiotech.com/network/205759")</f>
      </c>
      <c r="I575" s="2" t="s">
        <v>4500</v>
      </c>
      <c r="J575" s="2"/>
      <c r="K575" s="2"/>
      <c r="L575" s="2"/>
      <c r="M575" s="2"/>
      <c r="N575" s="2" t="s">
        <v>4501</v>
      </c>
      <c r="O575" s="2"/>
      <c r="P575" s="2" t="s">
        <v>4502</v>
      </c>
      <c r="Q575" s="2" t="s">
        <v>4503</v>
      </c>
      <c r="R575" s="2" t="s">
        <v>502</v>
      </c>
      <c r="S575" s="2" t="s">
        <v>503</v>
      </c>
      <c r="T575" s="2" t="s">
        <v>4504</v>
      </c>
      <c r="U575" s="2" t="s">
        <v>4497</v>
      </c>
      <c r="V575" s="2" t="s">
        <v>110</v>
      </c>
      <c r="W575" s="2"/>
    </row>
    <row r="576">
      <c r="A576" s="2" t="n">
        <v>393</v>
      </c>
      <c r="B576" s="2" t="s">
        <v>13018</v>
      </c>
      <c r="C576" s="2" t="s">
        <v>4505</v>
      </c>
      <c r="D576" s="2" t="n">
        <v>352.066373025</v>
      </c>
      <c r="E576" s="2" t="n">
        <v>5.88376273027088</v>
      </c>
      <c r="F576" s="2" t="s">
        <v>4507</v>
      </c>
      <c r="G576" s="2" t="n">
        <v>256870</v>
      </c>
      <c r="H576" s="3" t="str">
        <f>HYPERLINK("http://funmeta.oebiotech.com/network/256870", "http://funmeta.oebiotech.com/network/256870")</f>
      </c>
      <c r="I576" s="2" t="s">
        <v>4509</v>
      </c>
      <c r="J576" s="2" t="s">
        <v>4510</v>
      </c>
      <c r="K576" s="2"/>
      <c r="L576" s="2" t="s">
        <v>4511</v>
      </c>
      <c r="M576" s="2" t="s">
        <v>4512</v>
      </c>
      <c r="N576" s="2" t="s">
        <v>4513</v>
      </c>
      <c r="O576" s="2" t="s">
        <v>4514</v>
      </c>
      <c r="P576" s="2" t="s">
        <v>4515</v>
      </c>
      <c r="Q576" s="2" t="s">
        <v>4516</v>
      </c>
      <c r="R576" s="2" t="s">
        <v>64</v>
      </c>
      <c r="S576" s="2" t="s">
        <v>65</v>
      </c>
      <c r="T576" s="2" t="s">
        <v>66</v>
      </c>
      <c r="U576" s="2" t="s">
        <v>4506</v>
      </c>
      <c r="V576" s="2" t="s">
        <v>110</v>
      </c>
      <c r="W576" s="2" t="s">
        <v>39</v>
      </c>
    </row>
    <row r="577">
      <c r="A577" s="2" t="n">
        <v>394</v>
      </c>
      <c r="B577" s="2" t="s">
        <v>13019</v>
      </c>
      <c r="C577" s="2" t="s">
        <v>4517</v>
      </c>
      <c r="D577" s="2" t="n">
        <v>353.051420668</v>
      </c>
      <c r="E577" s="2" t="n">
        <v>9.90413010772545</v>
      </c>
      <c r="F577" s="2" t="s">
        <v>4519</v>
      </c>
      <c r="G577" s="2" t="n">
        <v>63719</v>
      </c>
      <c r="H577" s="3" t="str">
        <f>HYPERLINK("http://funmeta.oebiotech.com/network/63719", "http://funmeta.oebiotech.com/network/63719")</f>
      </c>
      <c r="I577" s="2" t="s">
        <v>4521</v>
      </c>
      <c r="J577" s="2" t="s">
        <v>4522</v>
      </c>
      <c r="K577" s="2"/>
      <c r="L577" s="2"/>
      <c r="M577" s="2" t="s">
        <v>4523</v>
      </c>
      <c r="N577" s="2" t="s">
        <v>4524</v>
      </c>
      <c r="O577" s="2" t="s">
        <v>4525</v>
      </c>
      <c r="P577" s="2" t="s">
        <v>4526</v>
      </c>
      <c r="Q577" s="2" t="s">
        <v>4527</v>
      </c>
      <c r="R577" s="2" t="s">
        <v>2509</v>
      </c>
      <c r="S577" s="2" t="s">
        <v>4528</v>
      </c>
      <c r="T577" s="2" t="s">
        <v>4529</v>
      </c>
      <c r="U577" s="2" t="s">
        <v>4518</v>
      </c>
      <c r="V577" s="2" t="s">
        <v>110</v>
      </c>
      <c r="W577" s="2"/>
    </row>
    <row r="578">
      <c r="A578" s="2" t="n">
        <v>395</v>
      </c>
      <c r="B578" s="2" t="s">
        <v>13020</v>
      </c>
      <c r="C578" s="2" t="s">
        <v>4530</v>
      </c>
      <c r="D578" s="2" t="n">
        <v>353.088529035</v>
      </c>
      <c r="E578" s="2" t="n">
        <v>0.073186912290785</v>
      </c>
      <c r="F578" s="2" t="s">
        <v>4532</v>
      </c>
      <c r="G578" s="2" t="n">
        <v>82799</v>
      </c>
      <c r="H578" s="3" t="str">
        <f>HYPERLINK("http://funmeta.oebiotech.com/network/82799", "http://funmeta.oebiotech.com/network/82799")</f>
      </c>
      <c r="I578" s="2" t="s">
        <v>4534</v>
      </c>
      <c r="J578" s="2" t="s">
        <v>4535</v>
      </c>
      <c r="K578" s="2"/>
      <c r="L578" s="2"/>
      <c r="M578" s="2"/>
      <c r="N578" s="2" t="s">
        <v>4536</v>
      </c>
      <c r="O578" s="2" t="s">
        <v>4537</v>
      </c>
      <c r="P578" s="2" t="s">
        <v>4538</v>
      </c>
      <c r="Q578" s="2" t="s">
        <v>4539</v>
      </c>
      <c r="R578" s="2" t="s">
        <v>502</v>
      </c>
      <c r="S578" s="2" t="s">
        <v>503</v>
      </c>
      <c r="T578" s="2" t="s">
        <v>1421</v>
      </c>
      <c r="U578" s="2" t="s">
        <v>4531</v>
      </c>
      <c r="V578" s="2" t="s">
        <v>522</v>
      </c>
      <c r="W578" s="2"/>
    </row>
    <row r="579">
      <c r="A579" s="2" t="n">
        <v>396</v>
      </c>
      <c r="B579" s="2" t="s">
        <v>13021</v>
      </c>
      <c r="C579" s="2" t="s">
        <v>4540</v>
      </c>
      <c r="D579" s="2" t="n">
        <v>353.2019601</v>
      </c>
      <c r="E579" s="2" t="n">
        <v>0.904443959384025</v>
      </c>
      <c r="F579" s="2" t="s">
        <v>4542</v>
      </c>
      <c r="G579" s="2" t="n">
        <v>2451</v>
      </c>
      <c r="H579" s="3" t="str">
        <f>HYPERLINK("http://funmeta.oebiotech.com/network/2451", "http://funmeta.oebiotech.com/network/2451")</f>
      </c>
      <c r="I579" s="2" t="s">
        <v>4544</v>
      </c>
      <c r="J579" s="2"/>
      <c r="K579" s="2" t="s">
        <v>4545</v>
      </c>
      <c r="L579" s="2"/>
      <c r="M579" s="2"/>
      <c r="N579" s="2" t="s">
        <v>4546</v>
      </c>
      <c r="O579" s="2"/>
      <c r="P579" s="2" t="s">
        <v>4547</v>
      </c>
      <c r="Q579" s="2" t="s">
        <v>4548</v>
      </c>
      <c r="R579" s="2" t="s">
        <v>1490</v>
      </c>
      <c r="S579" s="2" t="s">
        <v>1491</v>
      </c>
      <c r="T579" s="2" t="s">
        <v>1492</v>
      </c>
      <c r="U579" s="2" t="s">
        <v>4541</v>
      </c>
      <c r="V579" s="2" t="s">
        <v>522</v>
      </c>
      <c r="W579" s="2"/>
    </row>
    <row r="580">
      <c r="A580" s="2" t="n">
        <v>397</v>
      </c>
      <c r="B580" s="2" t="s">
        <v>13022</v>
      </c>
      <c r="C580" s="2" t="s">
        <v>4549</v>
      </c>
      <c r="D580" s="2" t="n">
        <v>354.082023089</v>
      </c>
      <c r="E580" s="2" t="n">
        <v>6.36106701300014</v>
      </c>
      <c r="F580" s="2" t="s">
        <v>4551</v>
      </c>
      <c r="G580" s="2" t="n">
        <v>256869</v>
      </c>
      <c r="H580" s="3" t="str">
        <f>HYPERLINK("http://funmeta.oebiotech.com/network/256869", "http://funmeta.oebiotech.com/network/256869")</f>
      </c>
      <c r="I580" s="2" t="s">
        <v>4553</v>
      </c>
      <c r="J580" s="2" t="s">
        <v>4554</v>
      </c>
      <c r="K580" s="2"/>
      <c r="L580" s="2" t="s">
        <v>4555</v>
      </c>
      <c r="M580" s="2" t="s">
        <v>4556</v>
      </c>
      <c r="N580" s="2" t="s">
        <v>4557</v>
      </c>
      <c r="O580" s="2"/>
      <c r="P580" s="2" t="s">
        <v>4558</v>
      </c>
      <c r="Q580" s="2" t="s">
        <v>4559</v>
      </c>
      <c r="R580" s="2" t="s">
        <v>64</v>
      </c>
      <c r="S580" s="2" t="s">
        <v>65</v>
      </c>
      <c r="T580" s="2" t="s">
        <v>66</v>
      </c>
      <c r="U580" s="2" t="s">
        <v>4550</v>
      </c>
      <c r="V580" s="2" t="s">
        <v>110</v>
      </c>
      <c r="W580" s="2" t="s">
        <v>39</v>
      </c>
    </row>
    <row r="581">
      <c r="A581" s="2" t="n">
        <v>398</v>
      </c>
      <c r="B581" s="2" t="s">
        <v>13023</v>
      </c>
      <c r="C581" s="2" t="s">
        <v>4560</v>
      </c>
      <c r="D581" s="2" t="n">
        <v>354.987726026</v>
      </c>
      <c r="E581" s="2" t="n">
        <v>1.89832424394947</v>
      </c>
      <c r="F581" s="2" t="s">
        <v>4562</v>
      </c>
      <c r="G581" s="2" t="n">
        <v>57458</v>
      </c>
      <c r="H581" s="3" t="str">
        <f>HYPERLINK("http://funmeta.oebiotech.com/network/57458", "http://funmeta.oebiotech.com/network/57458")</f>
      </c>
      <c r="I581" s="2" t="s">
        <v>4564</v>
      </c>
      <c r="J581" s="2" t="s">
        <v>4565</v>
      </c>
      <c r="K581" s="2"/>
      <c r="L581" s="2" t="s">
        <v>4566</v>
      </c>
      <c r="M581" s="2"/>
      <c r="N581" s="2" t="s">
        <v>4567</v>
      </c>
      <c r="O581" s="2" t="s">
        <v>4568</v>
      </c>
      <c r="P581" s="2" t="s">
        <v>4569</v>
      </c>
      <c r="Q581" s="2" t="s">
        <v>4570</v>
      </c>
      <c r="R581" s="2" t="s">
        <v>851</v>
      </c>
      <c r="S581" s="2" t="s">
        <v>852</v>
      </c>
      <c r="T581" s="2" t="s">
        <v>853</v>
      </c>
      <c r="U581" s="2" t="s">
        <v>4561</v>
      </c>
      <c r="V581" s="2" t="s">
        <v>1019</v>
      </c>
      <c r="W581" s="2" t="s">
        <v>39</v>
      </c>
    </row>
    <row r="582">
      <c r="A582" s="2" t="n">
        <v>399</v>
      </c>
      <c r="B582" s="2" t="s">
        <v>13024</v>
      </c>
      <c r="C582" s="2" t="s">
        <v>4571</v>
      </c>
      <c r="D582" s="2" t="n">
        <v>355.9765839</v>
      </c>
      <c r="E582" s="2" t="n">
        <v>8.64322891795129</v>
      </c>
      <c r="F582" s="2" t="s">
        <v>4573</v>
      </c>
      <c r="G582" s="2" t="n">
        <v>208343</v>
      </c>
      <c r="H582" s="3" t="str">
        <f>HYPERLINK("http://funmeta.oebiotech.com/network/208343", "http://funmeta.oebiotech.com/network/208343")</f>
      </c>
      <c r="I582" s="2" t="s">
        <v>4575</v>
      </c>
      <c r="J582" s="2"/>
      <c r="K582" s="2"/>
      <c r="L582" s="2"/>
      <c r="M582" s="2"/>
      <c r="N582" s="2" t="s">
        <v>4576</v>
      </c>
      <c r="O582" s="2"/>
      <c r="P582" s="2" t="s">
        <v>4577</v>
      </c>
      <c r="Q582" s="2" t="s">
        <v>4578</v>
      </c>
      <c r="R582" s="2" t="s">
        <v>355</v>
      </c>
      <c r="S582" s="2" t="s">
        <v>4579</v>
      </c>
      <c r="T582" s="2" t="s">
        <v>205</v>
      </c>
      <c r="U582" s="2" t="s">
        <v>4572</v>
      </c>
      <c r="V582" s="2" t="s">
        <v>522</v>
      </c>
      <c r="W582" s="2"/>
    </row>
    <row r="583">
      <c r="A583" s="2" t="n">
        <v>400</v>
      </c>
      <c r="B583" s="2" t="s">
        <v>13025</v>
      </c>
      <c r="C583" s="2" t="s">
        <v>4580</v>
      </c>
      <c r="D583" s="2" t="n">
        <v>356.093806345</v>
      </c>
      <c r="E583" s="2" t="n">
        <v>4.52453894756575</v>
      </c>
      <c r="F583" s="2" t="s">
        <v>4582</v>
      </c>
      <c r="G583" s="2" t="n">
        <v>203973</v>
      </c>
      <c r="H583" s="3" t="str">
        <f>HYPERLINK("http://funmeta.oebiotech.com/network/203973", "http://funmeta.oebiotech.com/network/203973")</f>
      </c>
      <c r="I583" s="2" t="s">
        <v>4584</v>
      </c>
      <c r="J583" s="2" t="s">
        <v>4585</v>
      </c>
      <c r="K583" s="2"/>
      <c r="L583" s="2"/>
      <c r="M583" s="2"/>
      <c r="N583" s="2" t="s">
        <v>4586</v>
      </c>
      <c r="O583" s="2"/>
      <c r="P583" s="2" t="s">
        <v>4587</v>
      </c>
      <c r="Q583" s="2" t="s">
        <v>4588</v>
      </c>
      <c r="R583" s="2" t="s">
        <v>355</v>
      </c>
      <c r="S583" s="2" t="s">
        <v>1396</v>
      </c>
      <c r="T583" s="2" t="s">
        <v>205</v>
      </c>
      <c r="U583" s="2" t="s">
        <v>4581</v>
      </c>
      <c r="V583" s="2" t="s">
        <v>110</v>
      </c>
      <c r="W583" s="2"/>
    </row>
    <row r="584">
      <c r="A584" s="2" t="n">
        <v>401</v>
      </c>
      <c r="B584" s="2" t="s">
        <v>13026</v>
      </c>
      <c r="C584" s="2" t="s">
        <v>4589</v>
      </c>
      <c r="D584" s="2" t="n">
        <v>357.026003978</v>
      </c>
      <c r="E584" s="2" t="n">
        <v>4.75730414596108</v>
      </c>
      <c r="F584" s="2" t="s">
        <v>4591</v>
      </c>
      <c r="G584" s="2" t="n">
        <v>47461</v>
      </c>
      <c r="H584" s="3" t="str">
        <f>HYPERLINK("http://funmeta.oebiotech.com/network/47461", "http://funmeta.oebiotech.com/network/47461")</f>
      </c>
      <c r="I584" s="2" t="s">
        <v>4593</v>
      </c>
      <c r="J584" s="2" t="s">
        <v>4594</v>
      </c>
      <c r="K584" s="2"/>
      <c r="L584" s="2" t="s">
        <v>3681</v>
      </c>
      <c r="M584" s="2" t="s">
        <v>3682</v>
      </c>
      <c r="N584" s="2" t="s">
        <v>4595</v>
      </c>
      <c r="O584" s="2" t="s">
        <v>4596</v>
      </c>
      <c r="P584" s="2" t="s">
        <v>4597</v>
      </c>
      <c r="Q584" s="2" t="s">
        <v>4598</v>
      </c>
      <c r="R584" s="2" t="s">
        <v>2590</v>
      </c>
      <c r="S584" s="2" t="s">
        <v>4599</v>
      </c>
      <c r="T584" s="2" t="s">
        <v>4600</v>
      </c>
      <c r="U584" s="2" t="s">
        <v>4590</v>
      </c>
      <c r="V584" s="2" t="s">
        <v>522</v>
      </c>
      <c r="W584" s="2" t="s">
        <v>39</v>
      </c>
    </row>
    <row r="585">
      <c r="A585" s="2" t="n">
        <v>402</v>
      </c>
      <c r="B585" s="2" t="s">
        <v>13027</v>
      </c>
      <c r="C585" s="2" t="s">
        <v>4601</v>
      </c>
      <c r="D585" s="2" t="n">
        <v>357.993764235</v>
      </c>
      <c r="E585" s="2" t="n">
        <v>2.34462558399241</v>
      </c>
      <c r="F585" s="2" t="s">
        <v>13028</v>
      </c>
      <c r="G585" s="2" t="n">
        <v>52819</v>
      </c>
      <c r="H585" s="3" t="str">
        <f>HYPERLINK("http://funmeta.oebiotech.com/network/52819", "http://funmeta.oebiotech.com/network/52819")</f>
      </c>
      <c r="I585" s="2" t="s">
        <v>13029</v>
      </c>
      <c r="J585" s="2"/>
      <c r="K585" s="2"/>
      <c r="L585" s="2"/>
      <c r="M585" s="2" t="s">
        <v>13030</v>
      </c>
      <c r="N585" s="2" t="s">
        <v>13031</v>
      </c>
      <c r="O585" s="2" t="s">
        <v>13032</v>
      </c>
      <c r="P585" s="2" t="s">
        <v>13033</v>
      </c>
      <c r="Q585" s="2" t="s">
        <v>13034</v>
      </c>
      <c r="R585" s="2" t="s">
        <v>355</v>
      </c>
      <c r="S585" s="2" t="s">
        <v>4732</v>
      </c>
      <c r="T585" s="2" t="s">
        <v>205</v>
      </c>
      <c r="U585" s="2" t="s">
        <v>4602</v>
      </c>
      <c r="V585" s="2" t="s">
        <v>360</v>
      </c>
      <c r="W585" s="2"/>
    </row>
    <row r="586">
      <c r="A586" s="2" t="n">
        <v>402</v>
      </c>
      <c r="B586" s="2" t="s">
        <v>13035</v>
      </c>
      <c r="C586" s="2" t="s">
        <v>4601</v>
      </c>
      <c r="D586" s="2" t="n">
        <v>357.993765194</v>
      </c>
      <c r="E586" s="2" t="n">
        <v>2.34462558399241</v>
      </c>
      <c r="F586" s="2" t="s">
        <v>13036</v>
      </c>
      <c r="G586" s="2" t="n">
        <v>212050</v>
      </c>
      <c r="H586" s="3" t="str">
        <f>HYPERLINK("http://funmeta.oebiotech.com/network/212050", "http://funmeta.oebiotech.com/network/212050")</f>
      </c>
      <c r="I586" s="2" t="s">
        <v>13037</v>
      </c>
      <c r="J586" s="2"/>
      <c r="K586" s="2"/>
      <c r="L586" s="2"/>
      <c r="M586" s="2"/>
      <c r="N586" s="2"/>
      <c r="O586" s="2"/>
      <c r="P586" s="2" t="s">
        <v>13038</v>
      </c>
      <c r="Q586" s="2" t="s">
        <v>13039</v>
      </c>
      <c r="R586" s="2" t="s">
        <v>355</v>
      </c>
      <c r="S586" s="2" t="s">
        <v>13040</v>
      </c>
      <c r="T586" s="2" t="s">
        <v>205</v>
      </c>
      <c r="U586" s="2" t="s">
        <v>4602</v>
      </c>
      <c r="V586" s="2" t="s">
        <v>360</v>
      </c>
      <c r="W586" s="2"/>
    </row>
    <row r="587">
      <c r="A587" s="2" t="n">
        <v>402</v>
      </c>
      <c r="B587" s="2" t="s">
        <v>13041</v>
      </c>
      <c r="C587" s="2" t="s">
        <v>4601</v>
      </c>
      <c r="D587" s="2" t="n">
        <v>357.993765194</v>
      </c>
      <c r="E587" s="2" t="n">
        <v>2.34462558399241</v>
      </c>
      <c r="F587" s="2" t="s">
        <v>13042</v>
      </c>
      <c r="G587" s="2" t="n">
        <v>213407</v>
      </c>
      <c r="H587" s="3" t="str">
        <f>HYPERLINK("http://funmeta.oebiotech.com/network/213407", "http://funmeta.oebiotech.com/network/213407")</f>
      </c>
      <c r="I587" s="2" t="s">
        <v>13043</v>
      </c>
      <c r="J587" s="2"/>
      <c r="K587" s="2"/>
      <c r="L587" s="2"/>
      <c r="M587" s="2"/>
      <c r="N587" s="2" t="s">
        <v>13044</v>
      </c>
      <c r="O587" s="2"/>
      <c r="P587" s="2" t="s">
        <v>13045</v>
      </c>
      <c r="Q587" s="2" t="s">
        <v>13046</v>
      </c>
      <c r="R587" s="2" t="s">
        <v>355</v>
      </c>
      <c r="S587" s="2" t="s">
        <v>13047</v>
      </c>
      <c r="T587" s="2" t="s">
        <v>13048</v>
      </c>
      <c r="U587" s="2" t="s">
        <v>4602</v>
      </c>
      <c r="V587" s="2" t="s">
        <v>360</v>
      </c>
      <c r="W587" s="2"/>
    </row>
    <row r="588">
      <c r="A588" s="2" t="n">
        <v>403</v>
      </c>
      <c r="B588" s="2" t="s">
        <v>13049</v>
      </c>
      <c r="C588" s="2" t="s">
        <v>4613</v>
      </c>
      <c r="D588" s="2" t="n">
        <v>359.055460657</v>
      </c>
      <c r="E588" s="2" t="n">
        <v>8.91342662582848</v>
      </c>
      <c r="F588" s="2" t="s">
        <v>4615</v>
      </c>
      <c r="G588" s="2" t="n">
        <v>212885</v>
      </c>
      <c r="H588" s="3" t="str">
        <f>HYPERLINK("http://funmeta.oebiotech.com/network/212885", "http://funmeta.oebiotech.com/network/212885")</f>
      </c>
      <c r="I588" s="2" t="s">
        <v>4617</v>
      </c>
      <c r="J588" s="2"/>
      <c r="K588" s="2"/>
      <c r="L588" s="2"/>
      <c r="M588" s="2"/>
      <c r="N588" s="2" t="s">
        <v>4618</v>
      </c>
      <c r="O588" s="2"/>
      <c r="P588" s="2" t="s">
        <v>4619</v>
      </c>
      <c r="Q588" s="2" t="s">
        <v>4620</v>
      </c>
      <c r="R588" s="2" t="s">
        <v>49</v>
      </c>
      <c r="S588" s="2" t="s">
        <v>165</v>
      </c>
      <c r="T588" s="2" t="s">
        <v>166</v>
      </c>
      <c r="U588" s="2" t="s">
        <v>4614</v>
      </c>
      <c r="V588" s="2" t="s">
        <v>110</v>
      </c>
      <c r="W588" s="2"/>
    </row>
    <row r="589">
      <c r="A589" s="2" t="n">
        <v>404</v>
      </c>
      <c r="B589" s="2" t="s">
        <v>13050</v>
      </c>
      <c r="C589" s="2" t="s">
        <v>4621</v>
      </c>
      <c r="D589" s="2" t="n">
        <v>361.06956954</v>
      </c>
      <c r="E589" s="2" t="n">
        <v>2.00888875004845</v>
      </c>
      <c r="F589" s="2" t="s">
        <v>13051</v>
      </c>
      <c r="G589" s="2" t="n">
        <v>57797</v>
      </c>
      <c r="H589" s="3" t="str">
        <f>HYPERLINK("http://funmeta.oebiotech.com/network/57797", "http://funmeta.oebiotech.com/network/57797")</f>
      </c>
      <c r="I589" s="2" t="s">
        <v>13052</v>
      </c>
      <c r="J589" s="2" t="s">
        <v>13053</v>
      </c>
      <c r="K589" s="2"/>
      <c r="L589" s="2" t="s">
        <v>13054</v>
      </c>
      <c r="M589" s="2" t="s">
        <v>13055</v>
      </c>
      <c r="N589" s="2" t="s">
        <v>13056</v>
      </c>
      <c r="O589" s="2" t="s">
        <v>13057</v>
      </c>
      <c r="P589" s="2" t="s">
        <v>13058</v>
      </c>
      <c r="Q589" s="2" t="s">
        <v>13059</v>
      </c>
      <c r="R589" s="2" t="s">
        <v>64</v>
      </c>
      <c r="S589" s="2" t="s">
        <v>65</v>
      </c>
      <c r="T589" s="2" t="s">
        <v>66</v>
      </c>
      <c r="U589" s="2" t="s">
        <v>4622</v>
      </c>
      <c r="V589" s="2" t="s">
        <v>522</v>
      </c>
      <c r="W589" s="2" t="s">
        <v>39</v>
      </c>
    </row>
    <row r="590">
      <c r="A590" s="2" t="n">
        <v>404</v>
      </c>
      <c r="B590" s="2" t="s">
        <v>13060</v>
      </c>
      <c r="C590" s="2" t="s">
        <v>4621</v>
      </c>
      <c r="D590" s="2" t="n">
        <v>361.069569552</v>
      </c>
      <c r="E590" s="2" t="n">
        <v>2.00888875004845</v>
      </c>
      <c r="F590" s="2" t="s">
        <v>13061</v>
      </c>
      <c r="G590" s="2" t="n">
        <v>60411</v>
      </c>
      <c r="H590" s="3" t="str">
        <f>HYPERLINK("http://funmeta.oebiotech.com/network/60411", "http://funmeta.oebiotech.com/network/60411")</f>
      </c>
      <c r="I590" s="2" t="s">
        <v>13062</v>
      </c>
      <c r="J590" s="2"/>
      <c r="K590" s="2"/>
      <c r="L590" s="2" t="s">
        <v>13063</v>
      </c>
      <c r="M590" s="2"/>
      <c r="N590" s="2" t="s">
        <v>13064</v>
      </c>
      <c r="O590" s="2" t="s">
        <v>13065</v>
      </c>
      <c r="P590" s="2" t="s">
        <v>13066</v>
      </c>
      <c r="Q590" s="2" t="s">
        <v>13067</v>
      </c>
      <c r="R590" s="2" t="s">
        <v>1490</v>
      </c>
      <c r="S590" s="2" t="s">
        <v>4971</v>
      </c>
      <c r="T590" s="2" t="s">
        <v>8265</v>
      </c>
      <c r="U590" s="2" t="s">
        <v>4622</v>
      </c>
      <c r="V590" s="2" t="s">
        <v>522</v>
      </c>
      <c r="W590" s="2" t="s">
        <v>39</v>
      </c>
    </row>
    <row r="591">
      <c r="A591" s="2" t="n">
        <v>404</v>
      </c>
      <c r="B591" s="2" t="s">
        <v>13068</v>
      </c>
      <c r="C591" s="2" t="s">
        <v>4621</v>
      </c>
      <c r="D591" s="2" t="n">
        <v>361.069569552</v>
      </c>
      <c r="E591" s="2" t="n">
        <v>2.00888875004845</v>
      </c>
      <c r="F591" s="2" t="s">
        <v>13069</v>
      </c>
      <c r="G591" s="2" t="n">
        <v>82082</v>
      </c>
      <c r="H591" s="3" t="str">
        <f>HYPERLINK("http://funmeta.oebiotech.com/network/82082", "http://funmeta.oebiotech.com/network/82082")</f>
      </c>
      <c r="I591" s="2" t="s">
        <v>13070</v>
      </c>
      <c r="J591" s="2"/>
      <c r="K591" s="2"/>
      <c r="L591" s="2" t="s">
        <v>13071</v>
      </c>
      <c r="M591" s="2" t="s">
        <v>13072</v>
      </c>
      <c r="N591" s="2" t="s">
        <v>13073</v>
      </c>
      <c r="O591" s="2" t="s">
        <v>13074</v>
      </c>
      <c r="P591" s="2" t="s">
        <v>13075</v>
      </c>
      <c r="Q591" s="2" t="s">
        <v>13076</v>
      </c>
      <c r="R591" s="2" t="s">
        <v>64</v>
      </c>
      <c r="S591" s="2" t="s">
        <v>65</v>
      </c>
      <c r="T591" s="2" t="s">
        <v>66</v>
      </c>
      <c r="U591" s="2" t="s">
        <v>4622</v>
      </c>
      <c r="V591" s="2" t="s">
        <v>522</v>
      </c>
      <c r="W591" s="2" t="s">
        <v>39</v>
      </c>
    </row>
    <row r="592">
      <c r="A592" s="2" t="n">
        <v>405</v>
      </c>
      <c r="B592" s="2" t="s">
        <v>13077</v>
      </c>
      <c r="C592" s="2" t="s">
        <v>4636</v>
      </c>
      <c r="D592" s="2" t="n">
        <v>362.0527296</v>
      </c>
      <c r="E592" s="2" t="n">
        <v>2.45212878236207</v>
      </c>
      <c r="F592" s="2" t="s">
        <v>4638</v>
      </c>
      <c r="G592" s="2" t="n">
        <v>210857</v>
      </c>
      <c r="H592" s="3" t="str">
        <f>HYPERLINK("http://funmeta.oebiotech.com/network/210857", "http://funmeta.oebiotech.com/network/210857")</f>
      </c>
      <c r="I592" s="2" t="s">
        <v>4640</v>
      </c>
      <c r="J592" s="2"/>
      <c r="K592" s="2"/>
      <c r="L592" s="2"/>
      <c r="M592" s="2"/>
      <c r="N592" s="2" t="s">
        <v>4641</v>
      </c>
      <c r="O592" s="2"/>
      <c r="P592" s="2" t="s">
        <v>4642</v>
      </c>
      <c r="Q592" s="2" t="s">
        <v>4643</v>
      </c>
      <c r="R592" s="2" t="s">
        <v>64</v>
      </c>
      <c r="S592" s="2" t="s">
        <v>65</v>
      </c>
      <c r="T592" s="2" t="s">
        <v>66</v>
      </c>
      <c r="U592" s="2" t="s">
        <v>4637</v>
      </c>
      <c r="V592" s="2" t="s">
        <v>522</v>
      </c>
      <c r="W592" s="2"/>
    </row>
    <row r="593">
      <c r="A593" s="2" t="n">
        <v>406</v>
      </c>
      <c r="B593" s="2" t="s">
        <v>13078</v>
      </c>
      <c r="C593" s="2" t="s">
        <v>4644</v>
      </c>
      <c r="D593" s="2" t="n">
        <v>362.95539178</v>
      </c>
      <c r="E593" s="2" t="n">
        <v>18.8095334674853</v>
      </c>
      <c r="F593" s="2" t="s">
        <v>4646</v>
      </c>
      <c r="G593" s="2" t="n">
        <v>200867</v>
      </c>
      <c r="H593" s="3" t="str">
        <f>HYPERLINK("http://funmeta.oebiotech.com/network/200867", "http://funmeta.oebiotech.com/network/200867")</f>
      </c>
      <c r="I593" s="2" t="s">
        <v>4648</v>
      </c>
      <c r="J593" s="2"/>
      <c r="K593" s="2"/>
      <c r="L593" s="2"/>
      <c r="M593" s="2"/>
      <c r="N593" s="2" t="s">
        <v>4649</v>
      </c>
      <c r="O593" s="2"/>
      <c r="P593" s="2" t="s">
        <v>4650</v>
      </c>
      <c r="Q593" s="2" t="s">
        <v>4651</v>
      </c>
      <c r="R593" s="2" t="s">
        <v>502</v>
      </c>
      <c r="S593" s="2" t="s">
        <v>1528</v>
      </c>
      <c r="T593" s="2" t="s">
        <v>205</v>
      </c>
      <c r="U593" s="2" t="s">
        <v>4645</v>
      </c>
      <c r="V593" s="2" t="s">
        <v>1019</v>
      </c>
      <c r="W593" s="2"/>
    </row>
    <row r="594">
      <c r="A594" s="2" t="n">
        <v>407</v>
      </c>
      <c r="B594" s="2" t="s">
        <v>13079</v>
      </c>
      <c r="C594" s="2" t="s">
        <v>4652</v>
      </c>
      <c r="D594" s="2" t="n">
        <v>364.05281379</v>
      </c>
      <c r="E594" s="2" t="n">
        <v>0.966623479350082</v>
      </c>
      <c r="F594" s="2" t="s">
        <v>13080</v>
      </c>
      <c r="G594" s="2" t="n">
        <v>52864</v>
      </c>
      <c r="H594" s="3" t="str">
        <f>HYPERLINK("http://funmeta.oebiotech.com/network/52864", "http://funmeta.oebiotech.com/network/52864")</f>
      </c>
      <c r="I594" s="2" t="s">
        <v>13081</v>
      </c>
      <c r="J594" s="2" t="s">
        <v>13082</v>
      </c>
      <c r="K594" s="2"/>
      <c r="L594" s="2" t="s">
        <v>13083</v>
      </c>
      <c r="M594" s="2" t="s">
        <v>13084</v>
      </c>
      <c r="N594" s="2" t="s">
        <v>13085</v>
      </c>
      <c r="O594" s="2" t="s">
        <v>13086</v>
      </c>
      <c r="P594" s="2" t="s">
        <v>13087</v>
      </c>
      <c r="Q594" s="2" t="s">
        <v>13088</v>
      </c>
      <c r="R594" s="2" t="s">
        <v>355</v>
      </c>
      <c r="S594" s="2" t="s">
        <v>3533</v>
      </c>
      <c r="T594" s="2" t="s">
        <v>3534</v>
      </c>
      <c r="U594" s="2" t="s">
        <v>4653</v>
      </c>
      <c r="V594" s="2" t="s">
        <v>110</v>
      </c>
      <c r="W594" s="2" t="s">
        <v>39</v>
      </c>
    </row>
    <row r="595">
      <c r="A595" s="2" t="n">
        <v>407</v>
      </c>
      <c r="B595" s="2" t="s">
        <v>13089</v>
      </c>
      <c r="C595" s="2" t="s">
        <v>4652</v>
      </c>
      <c r="D595" s="2" t="n">
        <v>364.05281379</v>
      </c>
      <c r="E595" s="2" t="n">
        <v>0.966623479350082</v>
      </c>
      <c r="F595" s="2" t="s">
        <v>13090</v>
      </c>
      <c r="G595" s="2" t="n">
        <v>53091</v>
      </c>
      <c r="H595" s="3" t="str">
        <f>HYPERLINK("http://funmeta.oebiotech.com/network/53091", "http://funmeta.oebiotech.com/network/53091")</f>
      </c>
      <c r="I595" s="2" t="s">
        <v>13091</v>
      </c>
      <c r="J595" s="2" t="s">
        <v>13092</v>
      </c>
      <c r="K595" s="2"/>
      <c r="L595" s="2" t="s">
        <v>13093</v>
      </c>
      <c r="M595" s="2" t="s">
        <v>13094</v>
      </c>
      <c r="N595" s="2" t="s">
        <v>13095</v>
      </c>
      <c r="O595" s="2" t="s">
        <v>13096</v>
      </c>
      <c r="P595" s="2" t="s">
        <v>13097</v>
      </c>
      <c r="Q595" s="2" t="s">
        <v>13098</v>
      </c>
      <c r="R595" s="2" t="s">
        <v>502</v>
      </c>
      <c r="S595" s="2" t="s">
        <v>503</v>
      </c>
      <c r="T595" s="2" t="s">
        <v>1964</v>
      </c>
      <c r="U595" s="2" t="s">
        <v>4653</v>
      </c>
      <c r="V595" s="2" t="s">
        <v>110</v>
      </c>
      <c r="W595" s="2" t="s">
        <v>39</v>
      </c>
    </row>
    <row r="596">
      <c r="A596" s="2" t="n">
        <v>408</v>
      </c>
      <c r="B596" s="2" t="s">
        <v>13099</v>
      </c>
      <c r="C596" s="2" t="s">
        <v>4666</v>
      </c>
      <c r="D596" s="2" t="n">
        <v>365.342504716</v>
      </c>
      <c r="E596" s="2" t="n">
        <v>1.2789092361188</v>
      </c>
      <c r="F596" s="2" t="s">
        <v>4668</v>
      </c>
      <c r="G596" s="2" t="n">
        <v>600</v>
      </c>
      <c r="H596" s="3" t="str">
        <f>HYPERLINK("http://funmeta.oebiotech.com/network/600", "http://funmeta.oebiotech.com/network/600")</f>
      </c>
      <c r="I596" s="2" t="s">
        <v>4670</v>
      </c>
      <c r="J596" s="2" t="s">
        <v>4671</v>
      </c>
      <c r="K596" s="2" t="s">
        <v>4672</v>
      </c>
      <c r="L596" s="2" t="s">
        <v>4673</v>
      </c>
      <c r="M596" s="2" t="s">
        <v>4674</v>
      </c>
      <c r="N596" s="2" t="s">
        <v>4675</v>
      </c>
      <c r="O596" s="2" t="s">
        <v>4676</v>
      </c>
      <c r="P596" s="2" t="s">
        <v>4677</v>
      </c>
      <c r="Q596" s="2" t="s">
        <v>4678</v>
      </c>
      <c r="R596" s="2" t="s">
        <v>1490</v>
      </c>
      <c r="S596" s="2" t="s">
        <v>1491</v>
      </c>
      <c r="T596" s="2" t="s">
        <v>1492</v>
      </c>
      <c r="U596" s="2" t="s">
        <v>4667</v>
      </c>
      <c r="V596" s="2" t="s">
        <v>110</v>
      </c>
      <c r="W596" s="2" t="s">
        <v>39</v>
      </c>
    </row>
    <row r="597">
      <c r="A597" s="2" t="n">
        <v>409</v>
      </c>
      <c r="B597" s="2" t="s">
        <v>13100</v>
      </c>
      <c r="C597" s="2" t="s">
        <v>4679</v>
      </c>
      <c r="D597" s="2" t="n">
        <v>366.956324869</v>
      </c>
      <c r="E597" s="2" t="n">
        <v>7.89334772657275</v>
      </c>
      <c r="F597" s="2" t="s">
        <v>4681</v>
      </c>
      <c r="G597" s="2" t="n">
        <v>47723</v>
      </c>
      <c r="H597" s="3" t="str">
        <f>HYPERLINK("http://funmeta.oebiotech.com/network/47723", "http://funmeta.oebiotech.com/network/47723")</f>
      </c>
      <c r="I597" s="2" t="s">
        <v>4683</v>
      </c>
      <c r="J597" s="2" t="s">
        <v>4684</v>
      </c>
      <c r="K597" s="2"/>
      <c r="L597" s="2" t="s">
        <v>4685</v>
      </c>
      <c r="M597" s="2" t="s">
        <v>4686</v>
      </c>
      <c r="N597" s="2" t="s">
        <v>4687</v>
      </c>
      <c r="O597" s="2" t="s">
        <v>4688</v>
      </c>
      <c r="P597" s="2" t="s">
        <v>4689</v>
      </c>
      <c r="Q597" s="2" t="s">
        <v>4690</v>
      </c>
      <c r="R597" s="2" t="s">
        <v>502</v>
      </c>
      <c r="S597" s="2" t="s">
        <v>503</v>
      </c>
      <c r="T597" s="2" t="s">
        <v>1964</v>
      </c>
      <c r="U597" s="2" t="s">
        <v>4680</v>
      </c>
      <c r="V597" s="2" t="s">
        <v>250</v>
      </c>
      <c r="W597" s="2" t="s">
        <v>39</v>
      </c>
    </row>
    <row r="598">
      <c r="A598" s="2" t="n">
        <v>410</v>
      </c>
      <c r="B598" s="2" t="s">
        <v>13101</v>
      </c>
      <c r="C598" s="2" t="s">
        <v>4691</v>
      </c>
      <c r="D598" s="2" t="n">
        <v>367.104179099</v>
      </c>
      <c r="E598" s="2" t="n">
        <v>0.546803145945742</v>
      </c>
      <c r="F598" s="2" t="s">
        <v>4693</v>
      </c>
      <c r="G598" s="2" t="n">
        <v>82689</v>
      </c>
      <c r="H598" s="3" t="str">
        <f>HYPERLINK("http://funmeta.oebiotech.com/network/82689", "http://funmeta.oebiotech.com/network/82689")</f>
      </c>
      <c r="I598" s="2" t="s">
        <v>4695</v>
      </c>
      <c r="J598" s="2"/>
      <c r="K598" s="2"/>
      <c r="L598" s="2"/>
      <c r="M598" s="2"/>
      <c r="N598" s="2" t="s">
        <v>4696</v>
      </c>
      <c r="O598" s="2"/>
      <c r="P598" s="2" t="s">
        <v>4697</v>
      </c>
      <c r="Q598" s="2" t="s">
        <v>4698</v>
      </c>
      <c r="R598" s="2" t="s">
        <v>502</v>
      </c>
      <c r="S598" s="2" t="s">
        <v>503</v>
      </c>
      <c r="T598" s="2" t="s">
        <v>2174</v>
      </c>
      <c r="U598" s="2" t="s">
        <v>4692</v>
      </c>
      <c r="V598" s="2" t="s">
        <v>522</v>
      </c>
      <c r="W598" s="2"/>
    </row>
    <row r="599">
      <c r="A599" s="2" t="n">
        <v>411</v>
      </c>
      <c r="B599" s="2" t="s">
        <v>13102</v>
      </c>
      <c r="C599" s="2" t="s">
        <v>4699</v>
      </c>
      <c r="D599" s="2" t="n">
        <v>367.35815478</v>
      </c>
      <c r="E599" s="2" t="n">
        <v>5.58200547820978</v>
      </c>
      <c r="F599" s="2" t="s">
        <v>4701</v>
      </c>
      <c r="G599" s="2" t="n">
        <v>70</v>
      </c>
      <c r="H599" s="3" t="str">
        <f>HYPERLINK("http://funmeta.oebiotech.com/network/70", "http://funmeta.oebiotech.com/network/70")</f>
      </c>
      <c r="I599" s="2" t="s">
        <v>4703</v>
      </c>
      <c r="J599" s="2" t="s">
        <v>4704</v>
      </c>
      <c r="K599" s="2" t="s">
        <v>4705</v>
      </c>
      <c r="L599" s="2" t="s">
        <v>4706</v>
      </c>
      <c r="M599" s="2" t="s">
        <v>4707</v>
      </c>
      <c r="N599" s="2" t="s">
        <v>4708</v>
      </c>
      <c r="O599" s="2" t="s">
        <v>4709</v>
      </c>
      <c r="P599" s="2" t="s">
        <v>4710</v>
      </c>
      <c r="Q599" s="2" t="s">
        <v>4711</v>
      </c>
      <c r="R599" s="2" t="s">
        <v>1490</v>
      </c>
      <c r="S599" s="2" t="s">
        <v>1491</v>
      </c>
      <c r="T599" s="2" t="s">
        <v>1492</v>
      </c>
      <c r="U599" s="2" t="s">
        <v>4700</v>
      </c>
      <c r="V599" s="2" t="s">
        <v>110</v>
      </c>
      <c r="W599" s="2" t="s">
        <v>39</v>
      </c>
    </row>
    <row r="600">
      <c r="A600" s="2" t="n">
        <v>412</v>
      </c>
      <c r="B600" s="2" t="s">
        <v>13103</v>
      </c>
      <c r="C600" s="2" t="s">
        <v>4712</v>
      </c>
      <c r="D600" s="2" t="n">
        <v>368.984125836</v>
      </c>
      <c r="E600" s="2" t="n">
        <v>7.1173041910733</v>
      </c>
      <c r="F600" s="2" t="s">
        <v>4714</v>
      </c>
      <c r="G600" s="2" t="n">
        <v>197298</v>
      </c>
      <c r="H600" s="3" t="str">
        <f>HYPERLINK("http://funmeta.oebiotech.com/network/197298", "http://funmeta.oebiotech.com/network/197298")</f>
      </c>
      <c r="I600" s="2" t="s">
        <v>4716</v>
      </c>
      <c r="J600" s="2"/>
      <c r="K600" s="2"/>
      <c r="L600" s="2"/>
      <c r="M600" s="2"/>
      <c r="N600" s="2" t="s">
        <v>4717</v>
      </c>
      <c r="O600" s="2"/>
      <c r="P600" s="2" t="s">
        <v>4718</v>
      </c>
      <c r="Q600" s="2" t="s">
        <v>4719</v>
      </c>
      <c r="R600" s="2" t="s">
        <v>2509</v>
      </c>
      <c r="S600" s="2" t="s">
        <v>4720</v>
      </c>
      <c r="T600" s="2" t="s">
        <v>4721</v>
      </c>
      <c r="U600" s="2" t="s">
        <v>4713</v>
      </c>
      <c r="V600" s="2" t="s">
        <v>522</v>
      </c>
      <c r="W600" s="2"/>
    </row>
    <row r="601">
      <c r="A601" s="2" t="n">
        <v>413</v>
      </c>
      <c r="B601" s="2" t="s">
        <v>13104</v>
      </c>
      <c r="C601" s="2" t="s">
        <v>4722</v>
      </c>
      <c r="D601" s="2" t="n">
        <v>369.97284891</v>
      </c>
      <c r="E601" s="2" t="n">
        <v>4.22400473186182</v>
      </c>
      <c r="F601" s="2" t="s">
        <v>4724</v>
      </c>
      <c r="G601" s="2" t="n">
        <v>53688</v>
      </c>
      <c r="H601" s="3" t="str">
        <f>HYPERLINK("http://funmeta.oebiotech.com/network/53688", "http://funmeta.oebiotech.com/network/53688")</f>
      </c>
      <c r="I601" s="2" t="s">
        <v>4726</v>
      </c>
      <c r="J601" s="2"/>
      <c r="K601" s="2"/>
      <c r="L601" s="2"/>
      <c r="M601" s="2" t="s">
        <v>4727</v>
      </c>
      <c r="N601" s="2" t="s">
        <v>4728</v>
      </c>
      <c r="O601" s="2" t="s">
        <v>4729</v>
      </c>
      <c r="P601" s="2" t="s">
        <v>4730</v>
      </c>
      <c r="Q601" s="2" t="s">
        <v>4731</v>
      </c>
      <c r="R601" s="2" t="s">
        <v>355</v>
      </c>
      <c r="S601" s="2" t="s">
        <v>4732</v>
      </c>
      <c r="T601" s="2" t="s">
        <v>205</v>
      </c>
      <c r="U601" s="2" t="s">
        <v>4723</v>
      </c>
      <c r="V601" s="2" t="s">
        <v>110</v>
      </c>
      <c r="W601" s="2"/>
    </row>
    <row r="602">
      <c r="A602" s="2" t="n">
        <v>414</v>
      </c>
      <c r="B602" s="2" t="s">
        <v>13105</v>
      </c>
      <c r="C602" s="2" t="s">
        <v>4733</v>
      </c>
      <c r="D602" s="2" t="n">
        <v>370.0383348</v>
      </c>
      <c r="E602" s="2" t="n">
        <v>3.7103249841004</v>
      </c>
      <c r="F602" s="2" t="s">
        <v>4735</v>
      </c>
      <c r="G602" s="2" t="n">
        <v>207542</v>
      </c>
      <c r="H602" s="3" t="str">
        <f>HYPERLINK("http://funmeta.oebiotech.com/network/207542", "http://funmeta.oebiotech.com/network/207542")</f>
      </c>
      <c r="I602" s="2" t="s">
        <v>4737</v>
      </c>
      <c r="J602" s="2"/>
      <c r="K602" s="2"/>
      <c r="L602" s="2"/>
      <c r="M602" s="2"/>
      <c r="N602" s="2" t="s">
        <v>4738</v>
      </c>
      <c r="O602" s="2"/>
      <c r="P602" s="2" t="s">
        <v>4739</v>
      </c>
      <c r="Q602" s="2" t="s">
        <v>4740</v>
      </c>
      <c r="R602" s="2" t="s">
        <v>502</v>
      </c>
      <c r="S602" s="2" t="s">
        <v>503</v>
      </c>
      <c r="T602" s="2" t="s">
        <v>2313</v>
      </c>
      <c r="U602" s="2" t="s">
        <v>4734</v>
      </c>
      <c r="V602" s="2" t="s">
        <v>24</v>
      </c>
      <c r="W602" s="2"/>
    </row>
    <row r="603">
      <c r="A603" s="2" t="n">
        <v>415</v>
      </c>
      <c r="B603" s="2" t="s">
        <v>13106</v>
      </c>
      <c r="C603" s="2" t="s">
        <v>4741</v>
      </c>
      <c r="D603" s="2" t="n">
        <v>370.971455788</v>
      </c>
      <c r="E603" s="2" t="n">
        <v>0.550223072567186</v>
      </c>
      <c r="F603" s="2" t="s">
        <v>4743</v>
      </c>
      <c r="G603" s="2" t="n">
        <v>56098</v>
      </c>
      <c r="H603" s="3" t="str">
        <f>HYPERLINK("http://funmeta.oebiotech.com/network/56098", "http://funmeta.oebiotech.com/network/56098")</f>
      </c>
      <c r="I603" s="2" t="s">
        <v>4745</v>
      </c>
      <c r="J603" s="2" t="s">
        <v>4746</v>
      </c>
      <c r="K603" s="2"/>
      <c r="L603" s="2"/>
      <c r="M603" s="2"/>
      <c r="N603" s="2" t="s">
        <v>4747</v>
      </c>
      <c r="O603" s="2"/>
      <c r="P603" s="2" t="s">
        <v>4748</v>
      </c>
      <c r="Q603" s="2" t="s">
        <v>4749</v>
      </c>
      <c r="R603" s="2" t="s">
        <v>2509</v>
      </c>
      <c r="S603" s="2" t="s">
        <v>4750</v>
      </c>
      <c r="T603" s="2" t="s">
        <v>205</v>
      </c>
      <c r="U603" s="2" t="s">
        <v>4742</v>
      </c>
      <c r="V603" s="2" t="s">
        <v>110</v>
      </c>
      <c r="W603" s="2"/>
    </row>
    <row r="604">
      <c r="A604" s="2" t="n">
        <v>416</v>
      </c>
      <c r="B604" s="2" t="s">
        <v>13107</v>
      </c>
      <c r="C604" s="2" t="s">
        <v>4751</v>
      </c>
      <c r="D604" s="2" t="n">
        <v>371.05076514</v>
      </c>
      <c r="E604" s="2" t="n">
        <v>1.07231135194106</v>
      </c>
      <c r="F604" s="2" t="s">
        <v>4753</v>
      </c>
      <c r="G604" s="2" t="n">
        <v>82449</v>
      </c>
      <c r="H604" s="3" t="str">
        <f>HYPERLINK("http://funmeta.oebiotech.com/network/82449", "http://funmeta.oebiotech.com/network/82449")</f>
      </c>
      <c r="I604" s="2" t="s">
        <v>4755</v>
      </c>
      <c r="J604" s="2"/>
      <c r="K604" s="2"/>
      <c r="L604" s="2"/>
      <c r="M604" s="2"/>
      <c r="N604" s="2" t="s">
        <v>4756</v>
      </c>
      <c r="O604" s="2"/>
      <c r="P604" s="2" t="s">
        <v>4757</v>
      </c>
      <c r="Q604" s="2" t="s">
        <v>4758</v>
      </c>
      <c r="R604" s="2" t="s">
        <v>49</v>
      </c>
      <c r="S604" s="2" t="s">
        <v>165</v>
      </c>
      <c r="T604" s="2" t="s">
        <v>166</v>
      </c>
      <c r="U604" s="2" t="s">
        <v>4752</v>
      </c>
      <c r="V604" s="2" t="s">
        <v>522</v>
      </c>
      <c r="W604" s="2"/>
    </row>
    <row r="605">
      <c r="A605" s="2" t="n">
        <v>417</v>
      </c>
      <c r="B605" s="2" t="s">
        <v>13108</v>
      </c>
      <c r="C605" s="2" t="s">
        <v>4759</v>
      </c>
      <c r="D605" s="2" t="n">
        <v>371.105561128</v>
      </c>
      <c r="E605" s="2" t="n">
        <v>0.967654615903789</v>
      </c>
      <c r="F605" s="2" t="s">
        <v>13109</v>
      </c>
      <c r="G605" s="2" t="n">
        <v>33920</v>
      </c>
      <c r="H605" s="3" t="str">
        <f>HYPERLINK("http://funmeta.oebiotech.com/network/33920", "http://funmeta.oebiotech.com/network/33920")</f>
      </c>
      <c r="I605" s="2" t="s">
        <v>13110</v>
      </c>
      <c r="J605" s="2" t="s">
        <v>13111</v>
      </c>
      <c r="K605" s="2" t="s">
        <v>13112</v>
      </c>
      <c r="L605" s="2"/>
      <c r="M605" s="2"/>
      <c r="N605" s="2" t="s">
        <v>13113</v>
      </c>
      <c r="O605" s="2"/>
      <c r="P605" s="2" t="s">
        <v>13114</v>
      </c>
      <c r="Q605" s="2" t="s">
        <v>13115</v>
      </c>
      <c r="R605" s="2" t="s">
        <v>2509</v>
      </c>
      <c r="S605" s="2" t="s">
        <v>8835</v>
      </c>
      <c r="T605" s="2" t="s">
        <v>8836</v>
      </c>
      <c r="U605" s="2" t="s">
        <v>4760</v>
      </c>
      <c r="V605" s="2" t="s">
        <v>522</v>
      </c>
      <c r="W605" s="2"/>
    </row>
    <row r="606">
      <c r="A606" s="2" t="n">
        <v>417</v>
      </c>
      <c r="B606" s="2" t="s">
        <v>13116</v>
      </c>
      <c r="C606" s="2" t="s">
        <v>4759</v>
      </c>
      <c r="D606" s="2" t="n">
        <v>371.105561128</v>
      </c>
      <c r="E606" s="2" t="n">
        <v>0.967654615903789</v>
      </c>
      <c r="F606" s="2" t="s">
        <v>13117</v>
      </c>
      <c r="G606" s="2" t="n">
        <v>62871</v>
      </c>
      <c r="H606" s="3" t="str">
        <f>HYPERLINK("http://funmeta.oebiotech.com/network/62871", "http://funmeta.oebiotech.com/network/62871")</f>
      </c>
      <c r="I606" s="2" t="s">
        <v>13118</v>
      </c>
      <c r="J606" s="2"/>
      <c r="K606" s="2"/>
      <c r="L606" s="2"/>
      <c r="M606" s="2"/>
      <c r="N606" s="2" t="s">
        <v>13119</v>
      </c>
      <c r="O606" s="2" t="s">
        <v>13120</v>
      </c>
      <c r="P606" s="2" t="s">
        <v>13121</v>
      </c>
      <c r="Q606" s="2" t="s">
        <v>13122</v>
      </c>
      <c r="R606" s="2" t="s">
        <v>502</v>
      </c>
      <c r="S606" s="2" t="s">
        <v>2369</v>
      </c>
      <c r="T606" s="2" t="s">
        <v>11578</v>
      </c>
      <c r="U606" s="2" t="s">
        <v>4760</v>
      </c>
      <c r="V606" s="2" t="s">
        <v>522</v>
      </c>
      <c r="W606" s="2"/>
    </row>
    <row r="607">
      <c r="A607" s="2" t="n">
        <v>418</v>
      </c>
      <c r="B607" s="2" t="s">
        <v>13123</v>
      </c>
      <c r="C607" s="2" t="s">
        <v>4773</v>
      </c>
      <c r="D607" s="2" t="n">
        <v>372.093619833</v>
      </c>
      <c r="E607" s="2" t="n">
        <v>5.2004459592506</v>
      </c>
      <c r="F607" s="2" t="s">
        <v>4775</v>
      </c>
      <c r="G607" s="2" t="n">
        <v>254911</v>
      </c>
      <c r="H607" s="3" t="str">
        <f>HYPERLINK("http://funmeta.oebiotech.com/network/254911", "http://funmeta.oebiotech.com/network/254911")</f>
      </c>
      <c r="I607" s="2" t="s">
        <v>4777</v>
      </c>
      <c r="J607" s="2" t="s">
        <v>4778</v>
      </c>
      <c r="K607" s="2"/>
      <c r="L607" s="2" t="s">
        <v>4779</v>
      </c>
      <c r="M607" s="2" t="s">
        <v>4780</v>
      </c>
      <c r="N607" s="2" t="s">
        <v>4781</v>
      </c>
      <c r="O607" s="2" t="s">
        <v>4782</v>
      </c>
      <c r="P607" s="2" t="s">
        <v>4783</v>
      </c>
      <c r="Q607" s="2" t="s">
        <v>4784</v>
      </c>
      <c r="R607" s="2" t="s">
        <v>64</v>
      </c>
      <c r="S607" s="2" t="s">
        <v>65</v>
      </c>
      <c r="T607" s="2" t="s">
        <v>66</v>
      </c>
      <c r="U607" s="2" t="s">
        <v>4774</v>
      </c>
      <c r="V607" s="2" t="s">
        <v>110</v>
      </c>
      <c r="W607" s="2" t="s">
        <v>39</v>
      </c>
    </row>
    <row r="608">
      <c r="A608" s="2" t="n">
        <v>419</v>
      </c>
      <c r="B608" s="2" t="s">
        <v>13124</v>
      </c>
      <c r="C608" s="2" t="s">
        <v>4785</v>
      </c>
      <c r="D608" s="2" t="n">
        <v>374.092848747</v>
      </c>
      <c r="E608" s="2" t="n">
        <v>11.1395025135573</v>
      </c>
      <c r="F608" s="2" t="s">
        <v>4787</v>
      </c>
      <c r="G608" s="2" t="n">
        <v>53703</v>
      </c>
      <c r="H608" s="3" t="str">
        <f>HYPERLINK("http://funmeta.oebiotech.com/network/53703", "http://funmeta.oebiotech.com/network/53703")</f>
      </c>
      <c r="I608" s="2" t="s">
        <v>4789</v>
      </c>
      <c r="J608" s="2" t="s">
        <v>4790</v>
      </c>
      <c r="K608" s="2"/>
      <c r="L608" s="2"/>
      <c r="M608" s="2" t="s">
        <v>4791</v>
      </c>
      <c r="N608" s="2" t="s">
        <v>4792</v>
      </c>
      <c r="O608" s="2" t="s">
        <v>4793</v>
      </c>
      <c r="P608" s="2" t="s">
        <v>4794</v>
      </c>
      <c r="Q608" s="2" t="s">
        <v>4795</v>
      </c>
      <c r="R608" s="2" t="s">
        <v>355</v>
      </c>
      <c r="S608" s="2" t="s">
        <v>4796</v>
      </c>
      <c r="T608" s="2" t="s">
        <v>4797</v>
      </c>
      <c r="U608" s="2" t="s">
        <v>4786</v>
      </c>
      <c r="V608" s="2" t="s">
        <v>110</v>
      </c>
      <c r="W608" s="2"/>
    </row>
    <row r="609">
      <c r="A609" s="2" t="n">
        <v>420</v>
      </c>
      <c r="B609" s="2" t="s">
        <v>13125</v>
      </c>
      <c r="C609" s="2" t="s">
        <v>4798</v>
      </c>
      <c r="D609" s="2" t="n">
        <v>375.035766296</v>
      </c>
      <c r="E609" s="2" t="n">
        <v>6.25136081649101</v>
      </c>
      <c r="F609" s="2" t="s">
        <v>13126</v>
      </c>
      <c r="G609" s="2" t="n">
        <v>64486</v>
      </c>
      <c r="H609" s="3" t="str">
        <f>HYPERLINK("http://funmeta.oebiotech.com/network/64486", "http://funmeta.oebiotech.com/network/64486")</f>
      </c>
      <c r="I609" s="2" t="s">
        <v>13127</v>
      </c>
      <c r="J609" s="2" t="s">
        <v>13128</v>
      </c>
      <c r="K609" s="2"/>
      <c r="L609" s="2"/>
      <c r="M609" s="2"/>
      <c r="N609" s="2" t="s">
        <v>13129</v>
      </c>
      <c r="O609" s="2" t="s">
        <v>13130</v>
      </c>
      <c r="P609" s="2" t="s">
        <v>13131</v>
      </c>
      <c r="Q609" s="2" t="s">
        <v>13132</v>
      </c>
      <c r="R609" s="2" t="s">
        <v>2509</v>
      </c>
      <c r="S609" s="2" t="s">
        <v>4949</v>
      </c>
      <c r="T609" s="2" t="s">
        <v>4950</v>
      </c>
      <c r="U609" s="2" t="s">
        <v>4799</v>
      </c>
      <c r="V609" s="2" t="s">
        <v>24</v>
      </c>
      <c r="W609" s="2"/>
    </row>
    <row r="610">
      <c r="A610" s="2" t="n">
        <v>420</v>
      </c>
      <c r="B610" s="2" t="s">
        <v>13133</v>
      </c>
      <c r="C610" s="2" t="s">
        <v>4798</v>
      </c>
      <c r="D610" s="2" t="n">
        <v>375.035766296</v>
      </c>
      <c r="E610" s="2" t="n">
        <v>6.25136081649101</v>
      </c>
      <c r="F610" s="2" t="s">
        <v>13134</v>
      </c>
      <c r="G610" s="2" t="n">
        <v>64487</v>
      </c>
      <c r="H610" s="3" t="str">
        <f>HYPERLINK("http://funmeta.oebiotech.com/network/64487", "http://funmeta.oebiotech.com/network/64487")</f>
      </c>
      <c r="I610" s="2" t="s">
        <v>13135</v>
      </c>
      <c r="J610" s="2" t="s">
        <v>13136</v>
      </c>
      <c r="K610" s="2"/>
      <c r="L610" s="2"/>
      <c r="M610" s="2"/>
      <c r="N610" s="2" t="s">
        <v>13137</v>
      </c>
      <c r="O610" s="2" t="s">
        <v>13138</v>
      </c>
      <c r="P610" s="2" t="s">
        <v>13139</v>
      </c>
      <c r="Q610" s="2" t="s">
        <v>13140</v>
      </c>
      <c r="R610" s="2" t="s">
        <v>2509</v>
      </c>
      <c r="S610" s="2" t="s">
        <v>4949</v>
      </c>
      <c r="T610" s="2" t="s">
        <v>4950</v>
      </c>
      <c r="U610" s="2" t="s">
        <v>4799</v>
      </c>
      <c r="V610" s="2" t="s">
        <v>24</v>
      </c>
      <c r="W610" s="2"/>
    </row>
    <row r="611">
      <c r="A611" s="2" t="n">
        <v>420</v>
      </c>
      <c r="B611" s="2" t="s">
        <v>13141</v>
      </c>
      <c r="C611" s="2" t="s">
        <v>4798</v>
      </c>
      <c r="D611" s="2" t="n">
        <v>375.035766296</v>
      </c>
      <c r="E611" s="2" t="n">
        <v>6.25136081649101</v>
      </c>
      <c r="F611" s="2" t="s">
        <v>13142</v>
      </c>
      <c r="G611" s="2" t="n">
        <v>55418</v>
      </c>
      <c r="H611" s="3" t="str">
        <f>HYPERLINK("http://funmeta.oebiotech.com/network/55418", "http://funmeta.oebiotech.com/network/55418")</f>
      </c>
      <c r="I611" s="2" t="s">
        <v>13143</v>
      </c>
      <c r="J611" s="2"/>
      <c r="K611" s="2"/>
      <c r="L611" s="2"/>
      <c r="M611" s="2" t="s">
        <v>13144</v>
      </c>
      <c r="N611" s="2" t="s">
        <v>13145</v>
      </c>
      <c r="O611" s="2" t="s">
        <v>13146</v>
      </c>
      <c r="P611" s="2" t="s">
        <v>13147</v>
      </c>
      <c r="Q611" s="2" t="s">
        <v>13148</v>
      </c>
      <c r="R611" s="2" t="s">
        <v>502</v>
      </c>
      <c r="S611" s="2" t="s">
        <v>13149</v>
      </c>
      <c r="T611" s="2" t="s">
        <v>13150</v>
      </c>
      <c r="U611" s="2" t="s">
        <v>4799</v>
      </c>
      <c r="V611" s="2" t="s">
        <v>24</v>
      </c>
      <c r="W611" s="2"/>
    </row>
    <row r="612">
      <c r="A612" s="2" t="n">
        <v>421</v>
      </c>
      <c r="B612" s="2" t="s">
        <v>13151</v>
      </c>
      <c r="C612" s="2" t="s">
        <v>4812</v>
      </c>
      <c r="D612" s="2" t="n">
        <v>375.103643</v>
      </c>
      <c r="E612" s="2" t="n">
        <v>2.59290439959813</v>
      </c>
      <c r="F612" s="2" t="s">
        <v>4814</v>
      </c>
      <c r="G612" s="2" t="n">
        <v>208135</v>
      </c>
      <c r="H612" s="3" t="str">
        <f>HYPERLINK("http://funmeta.oebiotech.com/network/208135", "http://funmeta.oebiotech.com/network/208135")</f>
      </c>
      <c r="I612" s="2" t="s">
        <v>4816</v>
      </c>
      <c r="J612" s="2"/>
      <c r="K612" s="2"/>
      <c r="L612" s="2"/>
      <c r="M612" s="2"/>
      <c r="N612" s="2" t="s">
        <v>4817</v>
      </c>
      <c r="O612" s="2"/>
      <c r="P612" s="2" t="s">
        <v>4818</v>
      </c>
      <c r="Q612" s="2" t="s">
        <v>4819</v>
      </c>
      <c r="R612" s="2" t="s">
        <v>355</v>
      </c>
      <c r="S612" s="2" t="s">
        <v>1580</v>
      </c>
      <c r="T612" s="2" t="s">
        <v>4820</v>
      </c>
      <c r="U612" s="2" t="s">
        <v>4813</v>
      </c>
      <c r="V612" s="2" t="s">
        <v>522</v>
      </c>
      <c r="W612" s="2"/>
    </row>
    <row r="613">
      <c r="A613" s="2" t="n">
        <v>422</v>
      </c>
      <c r="B613" s="2" t="s">
        <v>13152</v>
      </c>
      <c r="C613" s="2" t="s">
        <v>4821</v>
      </c>
      <c r="D613" s="2" t="n">
        <v>377.087801866</v>
      </c>
      <c r="E613" s="2" t="n">
        <v>3.20468236850062</v>
      </c>
      <c r="F613" s="2" t="s">
        <v>13153</v>
      </c>
      <c r="G613" s="2" t="n">
        <v>61045</v>
      </c>
      <c r="H613" s="3" t="str">
        <f>HYPERLINK("http://funmeta.oebiotech.com/network/61045", "http://funmeta.oebiotech.com/network/61045")</f>
      </c>
      <c r="I613" s="2" t="s">
        <v>13154</v>
      </c>
      <c r="J613" s="2" t="s">
        <v>13155</v>
      </c>
      <c r="K613" s="2"/>
      <c r="L613" s="2"/>
      <c r="M613" s="2" t="s">
        <v>13156</v>
      </c>
      <c r="N613" s="2" t="s">
        <v>13157</v>
      </c>
      <c r="O613" s="2" t="s">
        <v>13158</v>
      </c>
      <c r="P613" s="2" t="s">
        <v>13159</v>
      </c>
      <c r="Q613" s="2" t="s">
        <v>13160</v>
      </c>
      <c r="R613" s="2" t="s">
        <v>2509</v>
      </c>
      <c r="S613" s="2" t="s">
        <v>5520</v>
      </c>
      <c r="T613" s="2" t="s">
        <v>5521</v>
      </c>
      <c r="U613" s="2" t="s">
        <v>4822</v>
      </c>
      <c r="V613" s="2" t="s">
        <v>24</v>
      </c>
      <c r="W613" s="2"/>
    </row>
    <row r="614">
      <c r="A614" s="2" t="n">
        <v>422</v>
      </c>
      <c r="B614" s="2" t="s">
        <v>13161</v>
      </c>
      <c r="C614" s="2" t="s">
        <v>4821</v>
      </c>
      <c r="D614" s="2" t="n">
        <v>377.087801866</v>
      </c>
      <c r="E614" s="2" t="n">
        <v>3.20468236850062</v>
      </c>
      <c r="F614" s="2" t="s">
        <v>13162</v>
      </c>
      <c r="G614" s="2" t="n">
        <v>61046</v>
      </c>
      <c r="H614" s="3" t="str">
        <f>HYPERLINK("http://funmeta.oebiotech.com/network/61046", "http://funmeta.oebiotech.com/network/61046")</f>
      </c>
      <c r="I614" s="2" t="s">
        <v>13163</v>
      </c>
      <c r="J614" s="2" t="s">
        <v>13164</v>
      </c>
      <c r="K614" s="2"/>
      <c r="L614" s="2"/>
      <c r="M614" s="2" t="s">
        <v>13165</v>
      </c>
      <c r="N614" s="2" t="s">
        <v>13166</v>
      </c>
      <c r="O614" s="2" t="s">
        <v>13167</v>
      </c>
      <c r="P614" s="2" t="s">
        <v>13168</v>
      </c>
      <c r="Q614" s="2" t="s">
        <v>13169</v>
      </c>
      <c r="R614" s="2" t="s">
        <v>2509</v>
      </c>
      <c r="S614" s="2" t="s">
        <v>5520</v>
      </c>
      <c r="T614" s="2" t="s">
        <v>5521</v>
      </c>
      <c r="U614" s="2" t="s">
        <v>4822</v>
      </c>
      <c r="V614" s="2" t="s">
        <v>24</v>
      </c>
      <c r="W614" s="2"/>
    </row>
    <row r="615">
      <c r="A615" s="2" t="n">
        <v>423</v>
      </c>
      <c r="B615" s="2" t="s">
        <v>13170</v>
      </c>
      <c r="C615" s="2" t="s">
        <v>4833</v>
      </c>
      <c r="D615" s="2" t="n">
        <v>379.080134238</v>
      </c>
      <c r="E615" s="2" t="n">
        <v>2.58997430944752</v>
      </c>
      <c r="F615" s="2" t="s">
        <v>4835</v>
      </c>
      <c r="G615" s="2" t="n">
        <v>54557</v>
      </c>
      <c r="H615" s="3" t="str">
        <f>HYPERLINK("http://funmeta.oebiotech.com/network/54557", "http://funmeta.oebiotech.com/network/54557")</f>
      </c>
      <c r="I615" s="2" t="s">
        <v>4837</v>
      </c>
      <c r="J615" s="2" t="s">
        <v>4838</v>
      </c>
      <c r="K615" s="2"/>
      <c r="L615" s="2"/>
      <c r="M615" s="2" t="s">
        <v>4839</v>
      </c>
      <c r="N615" s="2" t="s">
        <v>4840</v>
      </c>
      <c r="O615" s="2" t="s">
        <v>4841</v>
      </c>
      <c r="P615" s="2" t="s">
        <v>4842</v>
      </c>
      <c r="Q615" s="2" t="s">
        <v>4843</v>
      </c>
      <c r="R615" s="2" t="s">
        <v>64</v>
      </c>
      <c r="S615" s="2" t="s">
        <v>65</v>
      </c>
      <c r="T615" s="2" t="s">
        <v>66</v>
      </c>
      <c r="U615" s="2" t="s">
        <v>4834</v>
      </c>
      <c r="V615" s="2" t="s">
        <v>522</v>
      </c>
      <c r="W615" s="2"/>
    </row>
    <row r="616">
      <c r="A616" s="2" t="n">
        <v>424</v>
      </c>
      <c r="B616" s="2" t="s">
        <v>13171</v>
      </c>
      <c r="C616" s="2" t="s">
        <v>4844</v>
      </c>
      <c r="D616" s="2" t="n">
        <v>379.9920441</v>
      </c>
      <c r="E616" s="2" t="n">
        <v>6.7873796922438</v>
      </c>
      <c r="F616" s="2" t="s">
        <v>4846</v>
      </c>
      <c r="G616" s="2" t="n">
        <v>209938</v>
      </c>
      <c r="H616" s="3" t="str">
        <f>HYPERLINK("http://funmeta.oebiotech.com/network/209938", "http://funmeta.oebiotech.com/network/209938")</f>
      </c>
      <c r="I616" s="2" t="s">
        <v>4848</v>
      </c>
      <c r="J616" s="2"/>
      <c r="K616" s="2"/>
      <c r="L616" s="2"/>
      <c r="M616" s="2"/>
      <c r="N616" s="2" t="s">
        <v>4849</v>
      </c>
      <c r="O616" s="2"/>
      <c r="P616" s="2" t="s">
        <v>4850</v>
      </c>
      <c r="Q616" s="2" t="s">
        <v>4851</v>
      </c>
      <c r="R616" s="2" t="s">
        <v>355</v>
      </c>
      <c r="S616" s="2" t="s">
        <v>356</v>
      </c>
      <c r="T616" s="2" t="s">
        <v>814</v>
      </c>
      <c r="U616" s="2" t="s">
        <v>4845</v>
      </c>
      <c r="V616" s="2" t="s">
        <v>522</v>
      </c>
      <c r="W616" s="2"/>
    </row>
    <row r="617">
      <c r="A617" s="2" t="n">
        <v>425</v>
      </c>
      <c r="B617" s="2" t="s">
        <v>13172</v>
      </c>
      <c r="C617" s="2" t="s">
        <v>4852</v>
      </c>
      <c r="D617" s="2" t="n">
        <v>381.373804844</v>
      </c>
      <c r="E617" s="2" t="n">
        <v>2.05634797723731</v>
      </c>
      <c r="F617" s="2" t="s">
        <v>13173</v>
      </c>
      <c r="G617" s="2" t="n">
        <v>71</v>
      </c>
      <c r="H617" s="3" t="str">
        <f>HYPERLINK("http://funmeta.oebiotech.com/network/71", "http://funmeta.oebiotech.com/network/71")</f>
      </c>
      <c r="I617" s="2" t="s">
        <v>13174</v>
      </c>
      <c r="J617" s="2" t="s">
        <v>13175</v>
      </c>
      <c r="K617" s="2" t="s">
        <v>13176</v>
      </c>
      <c r="L617" s="2"/>
      <c r="M617" s="2" t="s">
        <v>13177</v>
      </c>
      <c r="N617" s="2" t="s">
        <v>13178</v>
      </c>
      <c r="O617" s="2" t="s">
        <v>13179</v>
      </c>
      <c r="P617" s="2" t="s">
        <v>13180</v>
      </c>
      <c r="Q617" s="2" t="s">
        <v>13181</v>
      </c>
      <c r="R617" s="2" t="s">
        <v>1490</v>
      </c>
      <c r="S617" s="2" t="s">
        <v>1491</v>
      </c>
      <c r="T617" s="2" t="s">
        <v>1492</v>
      </c>
      <c r="U617" s="2" t="s">
        <v>4853</v>
      </c>
      <c r="V617" s="2" t="s">
        <v>110</v>
      </c>
      <c r="W617" s="2"/>
    </row>
    <row r="618">
      <c r="A618" s="2" t="n">
        <v>425</v>
      </c>
      <c r="B618" s="2" t="s">
        <v>13182</v>
      </c>
      <c r="C618" s="2" t="s">
        <v>4852</v>
      </c>
      <c r="D618" s="2" t="n">
        <v>381.373804844</v>
      </c>
      <c r="E618" s="2" t="n">
        <v>2.05634797723731</v>
      </c>
      <c r="F618" s="2" t="s">
        <v>13183</v>
      </c>
      <c r="G618" s="2" t="n">
        <v>59487</v>
      </c>
      <c r="H618" s="3" t="str">
        <f>HYPERLINK("http://funmeta.oebiotech.com/network/59487", "http://funmeta.oebiotech.com/network/59487")</f>
      </c>
      <c r="I618" s="2" t="s">
        <v>13184</v>
      </c>
      <c r="J618" s="2" t="s">
        <v>13185</v>
      </c>
      <c r="K618" s="2"/>
      <c r="L618" s="2"/>
      <c r="M618" s="2"/>
      <c r="N618" s="2" t="s">
        <v>13186</v>
      </c>
      <c r="O618" s="2"/>
      <c r="P618" s="2" t="s">
        <v>13187</v>
      </c>
      <c r="Q618" s="2" t="s">
        <v>13188</v>
      </c>
      <c r="R618" s="2" t="s">
        <v>1490</v>
      </c>
      <c r="S618" s="2" t="s">
        <v>1491</v>
      </c>
      <c r="T618" s="2" t="s">
        <v>6924</v>
      </c>
      <c r="U618" s="2" t="s">
        <v>4853</v>
      </c>
      <c r="V618" s="2" t="s">
        <v>110</v>
      </c>
      <c r="W618" s="2"/>
    </row>
    <row r="619">
      <c r="A619" s="2" t="n">
        <v>425</v>
      </c>
      <c r="B619" s="2" t="s">
        <v>13189</v>
      </c>
      <c r="C619" s="2" t="s">
        <v>4852</v>
      </c>
      <c r="D619" s="2" t="n">
        <v>381.373804844</v>
      </c>
      <c r="E619" s="2" t="n">
        <v>2.05634797723731</v>
      </c>
      <c r="F619" s="2" t="s">
        <v>13190</v>
      </c>
      <c r="G619" s="2" t="n">
        <v>59488</v>
      </c>
      <c r="H619" s="3" t="str">
        <f>HYPERLINK("http://funmeta.oebiotech.com/network/59488", "http://funmeta.oebiotech.com/network/59488")</f>
      </c>
      <c r="I619" s="2" t="s">
        <v>13191</v>
      </c>
      <c r="J619" s="2" t="s">
        <v>13192</v>
      </c>
      <c r="K619" s="2"/>
      <c r="L619" s="2"/>
      <c r="M619" s="2"/>
      <c r="N619" s="2" t="s">
        <v>13193</v>
      </c>
      <c r="O619" s="2"/>
      <c r="P619" s="2" t="s">
        <v>13194</v>
      </c>
      <c r="Q619" s="2" t="s">
        <v>13195</v>
      </c>
      <c r="R619" s="2" t="s">
        <v>1490</v>
      </c>
      <c r="S619" s="2" t="s">
        <v>1491</v>
      </c>
      <c r="T619" s="2" t="s">
        <v>6924</v>
      </c>
      <c r="U619" s="2" t="s">
        <v>4853</v>
      </c>
      <c r="V619" s="2" t="s">
        <v>110</v>
      </c>
      <c r="W619" s="2"/>
    </row>
    <row r="620">
      <c r="A620" s="2" t="n">
        <v>426</v>
      </c>
      <c r="B620" s="2" t="s">
        <v>13196</v>
      </c>
      <c r="C620" s="2" t="s">
        <v>4865</v>
      </c>
      <c r="D620" s="2" t="n">
        <v>382.018732835</v>
      </c>
      <c r="E620" s="2" t="n">
        <v>6.25631919261974</v>
      </c>
      <c r="F620" s="2" t="s">
        <v>4867</v>
      </c>
      <c r="G620" s="2" t="n">
        <v>207354</v>
      </c>
      <c r="H620" s="3" t="str">
        <f>HYPERLINK("http://funmeta.oebiotech.com/network/207354", "http://funmeta.oebiotech.com/network/207354")</f>
      </c>
      <c r="I620" s="2" t="s">
        <v>4869</v>
      </c>
      <c r="J620" s="2"/>
      <c r="K620" s="2"/>
      <c r="L620" s="2"/>
      <c r="M620" s="2"/>
      <c r="N620" s="2"/>
      <c r="O620" s="2"/>
      <c r="P620" s="2" t="s">
        <v>4870</v>
      </c>
      <c r="Q620" s="2" t="s">
        <v>4871</v>
      </c>
      <c r="R620" s="2" t="s">
        <v>355</v>
      </c>
      <c r="S620" s="2" t="s">
        <v>1316</v>
      </c>
      <c r="T620" s="2" t="s">
        <v>4872</v>
      </c>
      <c r="U620" s="2" t="s">
        <v>4866</v>
      </c>
      <c r="V620" s="2" t="s">
        <v>522</v>
      </c>
      <c r="W620" s="2"/>
    </row>
    <row r="621">
      <c r="A621" s="2" t="n">
        <v>427</v>
      </c>
      <c r="B621" s="2" t="s">
        <v>13197</v>
      </c>
      <c r="C621" s="2" t="s">
        <v>4873</v>
      </c>
      <c r="D621" s="2" t="n">
        <v>382.989125531</v>
      </c>
      <c r="E621" s="2" t="n">
        <v>8.031675136275</v>
      </c>
      <c r="F621" s="2" t="s">
        <v>4875</v>
      </c>
      <c r="G621" s="2" t="n">
        <v>205258</v>
      </c>
      <c r="H621" s="3" t="str">
        <f>HYPERLINK("http://funmeta.oebiotech.com/network/205258", "http://funmeta.oebiotech.com/network/205258")</f>
      </c>
      <c r="I621" s="2" t="s">
        <v>4877</v>
      </c>
      <c r="J621" s="2" t="s">
        <v>4878</v>
      </c>
      <c r="K621" s="2"/>
      <c r="L621" s="2" t="s">
        <v>4879</v>
      </c>
      <c r="M621" s="2" t="s">
        <v>4880</v>
      </c>
      <c r="N621" s="2" t="s">
        <v>4881</v>
      </c>
      <c r="O621" s="2" t="s">
        <v>4882</v>
      </c>
      <c r="P621" s="2" t="s">
        <v>4883</v>
      </c>
      <c r="Q621" s="2" t="s">
        <v>4884</v>
      </c>
      <c r="R621" s="2" t="s">
        <v>2509</v>
      </c>
      <c r="S621" s="2" t="s">
        <v>2840</v>
      </c>
      <c r="T621" s="2" t="s">
        <v>205</v>
      </c>
      <c r="U621" s="2" t="s">
        <v>4874</v>
      </c>
      <c r="V621" s="2" t="s">
        <v>360</v>
      </c>
      <c r="W621" s="2" t="s">
        <v>39</v>
      </c>
    </row>
    <row r="622">
      <c r="A622" s="2" t="n">
        <v>428</v>
      </c>
      <c r="B622" s="2" t="s">
        <v>13198</v>
      </c>
      <c r="C622" s="2" t="s">
        <v>4885</v>
      </c>
      <c r="D622" s="2" t="n">
        <v>383.065091318</v>
      </c>
      <c r="E622" s="2" t="n">
        <v>11.5761485601647</v>
      </c>
      <c r="F622" s="2" t="s">
        <v>4887</v>
      </c>
      <c r="G622" s="2" t="n">
        <v>53338</v>
      </c>
      <c r="H622" s="3" t="str">
        <f>HYPERLINK("http://funmeta.oebiotech.com/network/53338", "http://funmeta.oebiotech.com/network/53338")</f>
      </c>
      <c r="I622" s="2" t="s">
        <v>4889</v>
      </c>
      <c r="J622" s="2" t="s">
        <v>4890</v>
      </c>
      <c r="K622" s="2"/>
      <c r="L622" s="2" t="s">
        <v>4891</v>
      </c>
      <c r="M622" s="2" t="s">
        <v>4892</v>
      </c>
      <c r="N622" s="2" t="s">
        <v>4893</v>
      </c>
      <c r="O622" s="2" t="s">
        <v>4894</v>
      </c>
      <c r="P622" s="2" t="s">
        <v>4895</v>
      </c>
      <c r="Q622" s="2" t="s">
        <v>4896</v>
      </c>
      <c r="R622" s="2" t="s">
        <v>355</v>
      </c>
      <c r="S622" s="2" t="s">
        <v>1316</v>
      </c>
      <c r="T622" s="2" t="s">
        <v>4897</v>
      </c>
      <c r="U622" s="2" t="s">
        <v>4886</v>
      </c>
      <c r="V622" s="2" t="s">
        <v>250</v>
      </c>
      <c r="W622" s="2" t="s">
        <v>39</v>
      </c>
    </row>
    <row r="623">
      <c r="A623" s="2" t="n">
        <v>429</v>
      </c>
      <c r="B623" s="2" t="s">
        <v>13199</v>
      </c>
      <c r="C623" s="2" t="s">
        <v>4898</v>
      </c>
      <c r="D623" s="2" t="n">
        <v>385.06956954</v>
      </c>
      <c r="E623" s="2" t="n">
        <v>6.94374450919281</v>
      </c>
      <c r="F623" s="2" t="s">
        <v>4900</v>
      </c>
      <c r="G623" s="2" t="n">
        <v>83578</v>
      </c>
      <c r="H623" s="3" t="str">
        <f>HYPERLINK("http://funmeta.oebiotech.com/network/83578", "http://funmeta.oebiotech.com/network/83578")</f>
      </c>
      <c r="I623" s="2" t="s">
        <v>4902</v>
      </c>
      <c r="J623" s="2" t="s">
        <v>4903</v>
      </c>
      <c r="K623" s="2"/>
      <c r="L623" s="2" t="s">
        <v>4904</v>
      </c>
      <c r="M623" s="2" t="s">
        <v>4905</v>
      </c>
      <c r="N623" s="2" t="s">
        <v>4906</v>
      </c>
      <c r="O623" s="2"/>
      <c r="P623" s="2" t="s">
        <v>4907</v>
      </c>
      <c r="Q623" s="2" t="s">
        <v>4908</v>
      </c>
      <c r="R623" s="2" t="s">
        <v>2509</v>
      </c>
      <c r="S623" s="2" t="s">
        <v>2840</v>
      </c>
      <c r="T623" s="2" t="s">
        <v>205</v>
      </c>
      <c r="U623" s="2" t="s">
        <v>4899</v>
      </c>
      <c r="V623" s="2" t="s">
        <v>522</v>
      </c>
      <c r="W623" s="2" t="s">
        <v>39</v>
      </c>
    </row>
    <row r="624">
      <c r="A624" s="2" t="n">
        <v>430</v>
      </c>
      <c r="B624" s="2" t="s">
        <v>13200</v>
      </c>
      <c r="C624" s="2" t="s">
        <v>4909</v>
      </c>
      <c r="D624" s="2" t="n">
        <v>385.129277048</v>
      </c>
      <c r="E624" s="2" t="n">
        <v>1.59896742575722</v>
      </c>
      <c r="F624" s="2" t="s">
        <v>13201</v>
      </c>
      <c r="G624" s="2" t="n">
        <v>30654</v>
      </c>
      <c r="H624" s="3" t="str">
        <f>HYPERLINK("http://funmeta.oebiotech.com/network/30654", "http://funmeta.oebiotech.com/network/30654")</f>
      </c>
      <c r="I624" s="2" t="s">
        <v>13202</v>
      </c>
      <c r="J624" s="2"/>
      <c r="K624" s="2" t="s">
        <v>13203</v>
      </c>
      <c r="L624" s="2"/>
      <c r="M624" s="2"/>
      <c r="N624" s="2" t="s">
        <v>13204</v>
      </c>
      <c r="O624" s="2"/>
      <c r="P624" s="2" t="s">
        <v>13205</v>
      </c>
      <c r="Q624" s="2" t="s">
        <v>13206</v>
      </c>
      <c r="R624" s="2" t="s">
        <v>2509</v>
      </c>
      <c r="S624" s="2" t="s">
        <v>5520</v>
      </c>
      <c r="T624" s="2" t="s">
        <v>12828</v>
      </c>
      <c r="U624" s="2" t="s">
        <v>4910</v>
      </c>
      <c r="V624" s="2" t="s">
        <v>110</v>
      </c>
      <c r="W624" s="2"/>
    </row>
    <row r="625">
      <c r="A625" s="2" t="n">
        <v>430</v>
      </c>
      <c r="B625" s="2" t="s">
        <v>13207</v>
      </c>
      <c r="C625" s="2" t="s">
        <v>4909</v>
      </c>
      <c r="D625" s="2" t="n">
        <v>385.129277058</v>
      </c>
      <c r="E625" s="2" t="n">
        <v>1.59896742575722</v>
      </c>
      <c r="F625" s="2" t="s">
        <v>13208</v>
      </c>
      <c r="G625" s="2" t="n">
        <v>55387</v>
      </c>
      <c r="H625" s="3" t="str">
        <f>HYPERLINK("http://funmeta.oebiotech.com/network/55387", "http://funmeta.oebiotech.com/network/55387")</f>
      </c>
      <c r="I625" s="2" t="s">
        <v>13209</v>
      </c>
      <c r="J625" s="2"/>
      <c r="K625" s="2"/>
      <c r="L625" s="2"/>
      <c r="M625" s="2"/>
      <c r="N625" s="2" t="s">
        <v>13210</v>
      </c>
      <c r="O625" s="2" t="s">
        <v>13211</v>
      </c>
      <c r="P625" s="2" t="s">
        <v>13212</v>
      </c>
      <c r="Q625" s="2" t="s">
        <v>13213</v>
      </c>
      <c r="R625" s="2" t="s">
        <v>2509</v>
      </c>
      <c r="S625" s="2" t="s">
        <v>2840</v>
      </c>
      <c r="T625" s="2" t="s">
        <v>8768</v>
      </c>
      <c r="U625" s="2" t="s">
        <v>4910</v>
      </c>
      <c r="V625" s="2" t="s">
        <v>110</v>
      </c>
      <c r="W625" s="2"/>
    </row>
    <row r="626">
      <c r="A626" s="2" t="n">
        <v>431</v>
      </c>
      <c r="B626" s="2" t="s">
        <v>13214</v>
      </c>
      <c r="C626" s="2" t="s">
        <v>4921</v>
      </c>
      <c r="D626" s="2" t="n">
        <v>387.0074882</v>
      </c>
      <c r="E626" s="2" t="n">
        <v>1.69094283153577</v>
      </c>
      <c r="F626" s="2" t="s">
        <v>4923</v>
      </c>
      <c r="G626" s="2" t="n">
        <v>208357</v>
      </c>
      <c r="H626" s="3" t="str">
        <f>HYPERLINK("http://funmeta.oebiotech.com/network/208357", "http://funmeta.oebiotech.com/network/208357")</f>
      </c>
      <c r="I626" s="2" t="s">
        <v>4925</v>
      </c>
      <c r="J626" s="2"/>
      <c r="K626" s="2"/>
      <c r="L626" s="2"/>
      <c r="M626" s="2"/>
      <c r="N626" s="2" t="s">
        <v>4926</v>
      </c>
      <c r="O626" s="2"/>
      <c r="P626" s="2" t="s">
        <v>4927</v>
      </c>
      <c r="Q626" s="2" t="s">
        <v>4928</v>
      </c>
      <c r="R626" s="2" t="s">
        <v>64</v>
      </c>
      <c r="S626" s="2" t="s">
        <v>65</v>
      </c>
      <c r="T626" s="2" t="s">
        <v>91</v>
      </c>
      <c r="U626" s="2" t="s">
        <v>4922</v>
      </c>
      <c r="V626" s="2" t="s">
        <v>250</v>
      </c>
      <c r="W626" s="2"/>
    </row>
    <row r="627">
      <c r="A627" s="2" t="n">
        <v>432</v>
      </c>
      <c r="B627" s="2" t="s">
        <v>13215</v>
      </c>
      <c r="C627" s="2" t="s">
        <v>4929</v>
      </c>
      <c r="D627" s="2" t="n">
        <v>388.099688101</v>
      </c>
      <c r="E627" s="2" t="n">
        <v>1.53286744906139</v>
      </c>
      <c r="F627" s="2" t="s">
        <v>13216</v>
      </c>
      <c r="G627" s="2" t="n">
        <v>210839</v>
      </c>
      <c r="H627" s="3" t="str">
        <f>HYPERLINK("http://funmeta.oebiotech.com/network/210839", "http://funmeta.oebiotech.com/network/210839")</f>
      </c>
      <c r="I627" s="2" t="s">
        <v>13217</v>
      </c>
      <c r="J627" s="2"/>
      <c r="K627" s="2"/>
      <c r="L627" s="2"/>
      <c r="M627" s="2"/>
      <c r="N627" s="2"/>
      <c r="O627" s="2"/>
      <c r="P627" s="2" t="s">
        <v>13218</v>
      </c>
      <c r="Q627" s="2" t="s">
        <v>13219</v>
      </c>
      <c r="R627" s="2" t="s">
        <v>49</v>
      </c>
      <c r="S627" s="2" t="s">
        <v>165</v>
      </c>
      <c r="T627" s="2" t="s">
        <v>166</v>
      </c>
      <c r="U627" s="2" t="s">
        <v>4930</v>
      </c>
      <c r="V627" s="2" t="s">
        <v>42</v>
      </c>
      <c r="W627" s="2"/>
    </row>
    <row r="628">
      <c r="A628" s="2" t="n">
        <v>432</v>
      </c>
      <c r="B628" s="2" t="s">
        <v>13220</v>
      </c>
      <c r="C628" s="2" t="s">
        <v>4929</v>
      </c>
      <c r="D628" s="2" t="n">
        <v>388.099688357</v>
      </c>
      <c r="E628" s="2" t="n">
        <v>1.53286744906139</v>
      </c>
      <c r="F628" s="2" t="s">
        <v>13221</v>
      </c>
      <c r="G628" s="2" t="n">
        <v>53465</v>
      </c>
      <c r="H628" s="3" t="str">
        <f>HYPERLINK("http://funmeta.oebiotech.com/network/53465", "http://funmeta.oebiotech.com/network/53465")</f>
      </c>
      <c r="I628" s="2" t="s">
        <v>13222</v>
      </c>
      <c r="J628" s="2" t="s">
        <v>13223</v>
      </c>
      <c r="K628" s="2"/>
      <c r="L628" s="2"/>
      <c r="M628" s="2" t="s">
        <v>13224</v>
      </c>
      <c r="N628" s="2" t="s">
        <v>13225</v>
      </c>
      <c r="O628" s="2" t="s">
        <v>13226</v>
      </c>
      <c r="P628" s="2" t="s">
        <v>13227</v>
      </c>
      <c r="Q628" s="2" t="s">
        <v>13228</v>
      </c>
      <c r="R628" s="2" t="s">
        <v>49</v>
      </c>
      <c r="S628" s="2" t="s">
        <v>165</v>
      </c>
      <c r="T628" s="2" t="s">
        <v>166</v>
      </c>
      <c r="U628" s="2" t="s">
        <v>4930</v>
      </c>
      <c r="V628" s="2" t="s">
        <v>42</v>
      </c>
      <c r="W628" s="2"/>
    </row>
    <row r="629">
      <c r="A629" s="2" t="n">
        <v>433</v>
      </c>
      <c r="B629" s="2" t="s">
        <v>13229</v>
      </c>
      <c r="C629" s="2" t="s">
        <v>4940</v>
      </c>
      <c r="D629" s="2" t="n">
        <v>389.08780616</v>
      </c>
      <c r="E629" s="2" t="n">
        <v>6.89161315415078</v>
      </c>
      <c r="F629" s="2" t="s">
        <v>4942</v>
      </c>
      <c r="G629" s="2" t="n">
        <v>204175</v>
      </c>
      <c r="H629" s="3" t="str">
        <f>HYPERLINK("http://funmeta.oebiotech.com/network/204175", "http://funmeta.oebiotech.com/network/204175")</f>
      </c>
      <c r="I629" s="2" t="s">
        <v>4944</v>
      </c>
      <c r="J629" s="2" t="s">
        <v>4945</v>
      </c>
      <c r="K629" s="2"/>
      <c r="L629" s="2"/>
      <c r="M629" s="2"/>
      <c r="N629" s="2" t="s">
        <v>4946</v>
      </c>
      <c r="O629" s="2"/>
      <c r="P629" s="2" t="s">
        <v>4947</v>
      </c>
      <c r="Q629" s="2" t="s">
        <v>4948</v>
      </c>
      <c r="R629" s="2" t="s">
        <v>2509</v>
      </c>
      <c r="S629" s="2" t="s">
        <v>4949</v>
      </c>
      <c r="T629" s="2" t="s">
        <v>4950</v>
      </c>
      <c r="U629" s="2" t="s">
        <v>4941</v>
      </c>
      <c r="V629" s="2" t="s">
        <v>110</v>
      </c>
      <c r="W629" s="2"/>
    </row>
    <row r="630">
      <c r="A630" s="2" t="n">
        <v>434</v>
      </c>
      <c r="B630" s="2" t="s">
        <v>13230</v>
      </c>
      <c r="C630" s="2" t="s">
        <v>4951</v>
      </c>
      <c r="D630" s="2" t="n">
        <v>389.126808627</v>
      </c>
      <c r="E630" s="2" t="n">
        <v>0.43415128494493</v>
      </c>
      <c r="F630" s="2" t="s">
        <v>4953</v>
      </c>
      <c r="G630" s="2" t="n">
        <v>48456</v>
      </c>
      <c r="H630" s="3" t="str">
        <f>HYPERLINK("http://funmeta.oebiotech.com/network/48456", "http://funmeta.oebiotech.com/network/48456")</f>
      </c>
      <c r="I630" s="2" t="s">
        <v>4955</v>
      </c>
      <c r="J630" s="2" t="s">
        <v>4956</v>
      </c>
      <c r="K630" s="2"/>
      <c r="L630" s="2" t="s">
        <v>4957</v>
      </c>
      <c r="M630" s="2" t="s">
        <v>4958</v>
      </c>
      <c r="N630" s="2" t="s">
        <v>4959</v>
      </c>
      <c r="O630" s="2" t="s">
        <v>4960</v>
      </c>
      <c r="P630" s="2" t="s">
        <v>4961</v>
      </c>
      <c r="Q630" s="2" t="s">
        <v>4962</v>
      </c>
      <c r="R630" s="2" t="s">
        <v>355</v>
      </c>
      <c r="S630" s="2" t="s">
        <v>1316</v>
      </c>
      <c r="T630" s="2" t="s">
        <v>4897</v>
      </c>
      <c r="U630" s="2" t="s">
        <v>4952</v>
      </c>
      <c r="V630" s="2" t="s">
        <v>42</v>
      </c>
      <c r="W630" s="2" t="s">
        <v>39</v>
      </c>
    </row>
    <row r="631">
      <c r="A631" s="2" t="n">
        <v>435</v>
      </c>
      <c r="B631" s="2" t="s">
        <v>13231</v>
      </c>
      <c r="C631" s="2" t="s">
        <v>4963</v>
      </c>
      <c r="D631" s="2" t="n">
        <v>389.248604335</v>
      </c>
      <c r="E631" s="2" t="n">
        <v>8.48898106017148</v>
      </c>
      <c r="F631" s="2" t="s">
        <v>4965</v>
      </c>
      <c r="G631" s="2" t="n">
        <v>211338</v>
      </c>
      <c r="H631" s="3" t="str">
        <f>HYPERLINK("http://funmeta.oebiotech.com/network/211338", "http://funmeta.oebiotech.com/network/211338")</f>
      </c>
      <c r="I631" s="2" t="s">
        <v>4967</v>
      </c>
      <c r="J631" s="2"/>
      <c r="K631" s="2"/>
      <c r="L631" s="2"/>
      <c r="M631" s="2"/>
      <c r="N631" s="2" t="s">
        <v>4968</v>
      </c>
      <c r="O631" s="2"/>
      <c r="P631" s="2" t="s">
        <v>4969</v>
      </c>
      <c r="Q631" s="2" t="s">
        <v>4970</v>
      </c>
      <c r="R631" s="2" t="s">
        <v>1490</v>
      </c>
      <c r="S631" s="2" t="s">
        <v>4971</v>
      </c>
      <c r="T631" s="2" t="s">
        <v>4972</v>
      </c>
      <c r="U631" s="2" t="s">
        <v>4964</v>
      </c>
      <c r="V631" s="2" t="s">
        <v>110</v>
      </c>
      <c r="W631" s="2"/>
    </row>
    <row r="632">
      <c r="A632" s="2" t="n">
        <v>436</v>
      </c>
      <c r="B632" s="2" t="s">
        <v>13232</v>
      </c>
      <c r="C632" s="2" t="s">
        <v>4973</v>
      </c>
      <c r="D632" s="2" t="n">
        <v>394.061837776</v>
      </c>
      <c r="E632" s="2" t="n">
        <v>1.41511330911236</v>
      </c>
      <c r="F632" s="2" t="s">
        <v>13233</v>
      </c>
      <c r="G632" s="2" t="n">
        <v>55201</v>
      </c>
      <c r="H632" s="3" t="str">
        <f>HYPERLINK("http://funmeta.oebiotech.com/network/55201", "http://funmeta.oebiotech.com/network/55201")</f>
      </c>
      <c r="I632" s="2" t="s">
        <v>13234</v>
      </c>
      <c r="J632" s="2" t="s">
        <v>13235</v>
      </c>
      <c r="K632" s="2"/>
      <c r="L632" s="2"/>
      <c r="M632" s="2"/>
      <c r="N632" s="2" t="s">
        <v>13236</v>
      </c>
      <c r="O632" s="2" t="s">
        <v>13237</v>
      </c>
      <c r="P632" s="2" t="s">
        <v>13238</v>
      </c>
      <c r="Q632" s="2" t="s">
        <v>13239</v>
      </c>
      <c r="R632" s="2" t="s">
        <v>355</v>
      </c>
      <c r="S632" s="2" t="s">
        <v>3869</v>
      </c>
      <c r="T632" s="2" t="s">
        <v>3870</v>
      </c>
      <c r="U632" s="2" t="s">
        <v>4974</v>
      </c>
      <c r="V632" s="2" t="s">
        <v>522</v>
      </c>
      <c r="W632" s="2"/>
    </row>
    <row r="633">
      <c r="A633" s="2" t="n">
        <v>436</v>
      </c>
      <c r="B633" s="2" t="s">
        <v>13240</v>
      </c>
      <c r="C633" s="2" t="s">
        <v>4973</v>
      </c>
      <c r="D633" s="2" t="n">
        <v>394.061837776</v>
      </c>
      <c r="E633" s="2" t="n">
        <v>1.41511330911236</v>
      </c>
      <c r="F633" s="2" t="s">
        <v>13241</v>
      </c>
      <c r="G633" s="2" t="n">
        <v>60643</v>
      </c>
      <c r="H633" s="3" t="str">
        <f>HYPERLINK("http://funmeta.oebiotech.com/network/60643", "http://funmeta.oebiotech.com/network/60643")</f>
      </c>
      <c r="I633" s="2" t="s">
        <v>13242</v>
      </c>
      <c r="J633" s="2"/>
      <c r="K633" s="2"/>
      <c r="L633" s="2"/>
      <c r="M633" s="2"/>
      <c r="N633" s="2" t="s">
        <v>13243</v>
      </c>
      <c r="O633" s="2" t="s">
        <v>13244</v>
      </c>
      <c r="P633" s="2" t="s">
        <v>13245</v>
      </c>
      <c r="Q633" s="2" t="s">
        <v>13246</v>
      </c>
      <c r="R633" s="2" t="s">
        <v>4189</v>
      </c>
      <c r="S633" s="2" t="s">
        <v>13247</v>
      </c>
      <c r="T633" s="2" t="s">
        <v>205</v>
      </c>
      <c r="U633" s="2" t="s">
        <v>4974</v>
      </c>
      <c r="V633" s="2" t="s">
        <v>522</v>
      </c>
      <c r="W633" s="2"/>
    </row>
    <row r="634">
      <c r="A634" s="2" t="n">
        <v>436</v>
      </c>
      <c r="B634" s="2" t="s">
        <v>13248</v>
      </c>
      <c r="C634" s="2" t="s">
        <v>4973</v>
      </c>
      <c r="D634" s="2" t="n">
        <v>394.061837776</v>
      </c>
      <c r="E634" s="2" t="n">
        <v>1.41511330911236</v>
      </c>
      <c r="F634" s="2" t="s">
        <v>13249</v>
      </c>
      <c r="G634" s="2" t="n">
        <v>55014</v>
      </c>
      <c r="H634" s="3" t="str">
        <f>HYPERLINK("http://funmeta.oebiotech.com/network/55014", "http://funmeta.oebiotech.com/network/55014")</f>
      </c>
      <c r="I634" s="2" t="s">
        <v>13250</v>
      </c>
      <c r="J634" s="2" t="s">
        <v>13251</v>
      </c>
      <c r="K634" s="2"/>
      <c r="L634" s="2"/>
      <c r="M634" s="2" t="s">
        <v>13252</v>
      </c>
      <c r="N634" s="2" t="s">
        <v>13253</v>
      </c>
      <c r="O634" s="2" t="s">
        <v>13254</v>
      </c>
      <c r="P634" s="2" t="s">
        <v>13255</v>
      </c>
      <c r="Q634" s="2" t="s">
        <v>13256</v>
      </c>
      <c r="R634" s="2" t="s">
        <v>355</v>
      </c>
      <c r="S634" s="2" t="s">
        <v>3869</v>
      </c>
      <c r="T634" s="2" t="s">
        <v>3870</v>
      </c>
      <c r="U634" s="2" t="s">
        <v>4974</v>
      </c>
      <c r="V634" s="2" t="s">
        <v>522</v>
      </c>
      <c r="W634" s="2"/>
    </row>
    <row r="635">
      <c r="A635" s="2" t="n">
        <v>437</v>
      </c>
      <c r="B635" s="2" t="s">
        <v>13257</v>
      </c>
      <c r="C635" s="2" t="s">
        <v>4987</v>
      </c>
      <c r="D635" s="2" t="n">
        <v>394.98742144</v>
      </c>
      <c r="E635" s="2" t="n">
        <v>2.95960418877072</v>
      </c>
      <c r="F635" s="2" t="s">
        <v>13258</v>
      </c>
      <c r="G635" s="2" t="n">
        <v>82886</v>
      </c>
      <c r="H635" s="3" t="str">
        <f>HYPERLINK("http://funmeta.oebiotech.com/network/82886", "http://funmeta.oebiotech.com/network/82886")</f>
      </c>
      <c r="I635" s="2" t="s">
        <v>13259</v>
      </c>
      <c r="J635" s="2" t="s">
        <v>13260</v>
      </c>
      <c r="K635" s="2"/>
      <c r="L635" s="2"/>
      <c r="M635" s="2"/>
      <c r="N635" s="2" t="s">
        <v>13261</v>
      </c>
      <c r="O635" s="2" t="s">
        <v>13262</v>
      </c>
      <c r="P635" s="2" t="s">
        <v>13263</v>
      </c>
      <c r="Q635" s="2" t="s">
        <v>13264</v>
      </c>
      <c r="R635" s="2" t="s">
        <v>355</v>
      </c>
      <c r="S635" s="2" t="s">
        <v>3062</v>
      </c>
      <c r="T635" s="2" t="s">
        <v>3063</v>
      </c>
      <c r="U635" s="2" t="s">
        <v>4988</v>
      </c>
      <c r="V635" s="2" t="s">
        <v>250</v>
      </c>
      <c r="W635" s="2"/>
    </row>
    <row r="636">
      <c r="A636" s="2" t="n">
        <v>437</v>
      </c>
      <c r="B636" s="2" t="s">
        <v>13265</v>
      </c>
      <c r="C636" s="2" t="s">
        <v>4987</v>
      </c>
      <c r="D636" s="2" t="n">
        <v>394.98742144</v>
      </c>
      <c r="E636" s="2" t="n">
        <v>2.95960418877072</v>
      </c>
      <c r="F636" s="2" t="s">
        <v>13266</v>
      </c>
      <c r="G636" s="2" t="n">
        <v>82887</v>
      </c>
      <c r="H636" s="3" t="str">
        <f>HYPERLINK("http://funmeta.oebiotech.com/network/82887", "http://funmeta.oebiotech.com/network/82887")</f>
      </c>
      <c r="I636" s="2" t="s">
        <v>13267</v>
      </c>
      <c r="J636" s="2"/>
      <c r="K636" s="2"/>
      <c r="L636" s="2"/>
      <c r="M636" s="2"/>
      <c r="N636" s="2" t="s">
        <v>13268</v>
      </c>
      <c r="O636" s="2"/>
      <c r="P636" s="2" t="s">
        <v>13269</v>
      </c>
      <c r="Q636" s="2" t="s">
        <v>13270</v>
      </c>
      <c r="R636" s="2" t="s">
        <v>355</v>
      </c>
      <c r="S636" s="2" t="s">
        <v>3062</v>
      </c>
      <c r="T636" s="2" t="s">
        <v>3063</v>
      </c>
      <c r="U636" s="2" t="s">
        <v>4988</v>
      </c>
      <c r="V636" s="2" t="s">
        <v>250</v>
      </c>
      <c r="W636" s="2"/>
    </row>
    <row r="637">
      <c r="A637" s="2" t="n">
        <v>438</v>
      </c>
      <c r="B637" s="2" t="s">
        <v>13271</v>
      </c>
      <c r="C637" s="2" t="s">
        <v>4999</v>
      </c>
      <c r="D637" s="2" t="n">
        <v>395.207527378</v>
      </c>
      <c r="E637" s="2" t="n">
        <v>9.46109529024835</v>
      </c>
      <c r="F637" s="2" t="s">
        <v>5001</v>
      </c>
      <c r="G637" s="2" t="n">
        <v>54534</v>
      </c>
      <c r="H637" s="3" t="str">
        <f>HYPERLINK("http://funmeta.oebiotech.com/network/54534", "http://funmeta.oebiotech.com/network/54534")</f>
      </c>
      <c r="I637" s="2" t="s">
        <v>5003</v>
      </c>
      <c r="J637" s="2" t="s">
        <v>5004</v>
      </c>
      <c r="K637" s="2"/>
      <c r="L637" s="2"/>
      <c r="M637" s="2" t="s">
        <v>5005</v>
      </c>
      <c r="N637" s="2" t="s">
        <v>5006</v>
      </c>
      <c r="O637" s="2" t="s">
        <v>5007</v>
      </c>
      <c r="P637" s="2" t="s">
        <v>5008</v>
      </c>
      <c r="Q637" s="2" t="s">
        <v>5009</v>
      </c>
      <c r="R637" s="2" t="s">
        <v>1490</v>
      </c>
      <c r="S637" s="2" t="s">
        <v>4971</v>
      </c>
      <c r="T637" s="2" t="s">
        <v>5010</v>
      </c>
      <c r="U637" s="2" t="s">
        <v>5000</v>
      </c>
      <c r="V637" s="2" t="s">
        <v>110</v>
      </c>
      <c r="W637" s="2"/>
    </row>
    <row r="638">
      <c r="A638" s="2" t="n">
        <v>439</v>
      </c>
      <c r="B638" s="2" t="s">
        <v>13272</v>
      </c>
      <c r="C638" s="2" t="s">
        <v>5011</v>
      </c>
      <c r="D638" s="2" t="n">
        <v>395.389454908</v>
      </c>
      <c r="E638" s="2" t="n">
        <v>5.76916188544249</v>
      </c>
      <c r="F638" s="2" t="s">
        <v>13273</v>
      </c>
      <c r="G638" s="2" t="n">
        <v>72</v>
      </c>
      <c r="H638" s="3" t="str">
        <f>HYPERLINK("http://funmeta.oebiotech.com/network/72", "http://funmeta.oebiotech.com/network/72")</f>
      </c>
      <c r="I638" s="2" t="s">
        <v>13274</v>
      </c>
      <c r="J638" s="2" t="s">
        <v>13275</v>
      </c>
      <c r="K638" s="2" t="s">
        <v>13276</v>
      </c>
      <c r="L638" s="2"/>
      <c r="M638" s="2" t="s">
        <v>13277</v>
      </c>
      <c r="N638" s="2" t="s">
        <v>13278</v>
      </c>
      <c r="O638" s="2" t="s">
        <v>13279</v>
      </c>
      <c r="P638" s="2" t="s">
        <v>13280</v>
      </c>
      <c r="Q638" s="2" t="s">
        <v>13281</v>
      </c>
      <c r="R638" s="2" t="s">
        <v>1490</v>
      </c>
      <c r="S638" s="2" t="s">
        <v>1491</v>
      </c>
      <c r="T638" s="2" t="s">
        <v>1492</v>
      </c>
      <c r="U638" s="2" t="s">
        <v>5012</v>
      </c>
      <c r="V638" s="2" t="s">
        <v>110</v>
      </c>
      <c r="W638" s="2"/>
    </row>
    <row r="639">
      <c r="A639" s="2" t="n">
        <v>439</v>
      </c>
      <c r="B639" s="2" t="s">
        <v>13282</v>
      </c>
      <c r="C639" s="2" t="s">
        <v>5011</v>
      </c>
      <c r="D639" s="2" t="n">
        <v>395.389454908</v>
      </c>
      <c r="E639" s="2" t="n">
        <v>5.76916188544249</v>
      </c>
      <c r="F639" s="2" t="s">
        <v>13283</v>
      </c>
      <c r="G639" s="2" t="n">
        <v>59486</v>
      </c>
      <c r="H639" s="3" t="str">
        <f>HYPERLINK("http://funmeta.oebiotech.com/network/59486", "http://funmeta.oebiotech.com/network/59486")</f>
      </c>
      <c r="I639" s="2" t="s">
        <v>13284</v>
      </c>
      <c r="J639" s="2" t="s">
        <v>13285</v>
      </c>
      <c r="K639" s="2"/>
      <c r="L639" s="2"/>
      <c r="M639" s="2"/>
      <c r="N639" s="2" t="s">
        <v>13286</v>
      </c>
      <c r="O639" s="2"/>
      <c r="P639" s="2" t="s">
        <v>13287</v>
      </c>
      <c r="Q639" s="2" t="s">
        <v>13288</v>
      </c>
      <c r="R639" s="2" t="s">
        <v>1490</v>
      </c>
      <c r="S639" s="2" t="s">
        <v>1491</v>
      </c>
      <c r="T639" s="2" t="s">
        <v>6924</v>
      </c>
      <c r="U639" s="2" t="s">
        <v>5012</v>
      </c>
      <c r="V639" s="2" t="s">
        <v>110</v>
      </c>
      <c r="W639" s="2"/>
    </row>
    <row r="640">
      <c r="A640" s="2" t="n">
        <v>440</v>
      </c>
      <c r="B640" s="2" t="s">
        <v>13289</v>
      </c>
      <c r="C640" s="2" t="s">
        <v>5024</v>
      </c>
      <c r="D640" s="2" t="n">
        <v>396.99996554</v>
      </c>
      <c r="E640" s="2" t="n">
        <v>1.47755150058468</v>
      </c>
      <c r="F640" s="2" t="s">
        <v>5026</v>
      </c>
      <c r="G640" s="2" t="n">
        <v>57114</v>
      </c>
      <c r="H640" s="3" t="str">
        <f>HYPERLINK("http://funmeta.oebiotech.com/network/57114", "http://funmeta.oebiotech.com/network/57114")</f>
      </c>
      <c r="I640" s="2" t="s">
        <v>5028</v>
      </c>
      <c r="J640" s="2" t="s">
        <v>5029</v>
      </c>
      <c r="K640" s="2"/>
      <c r="L640" s="2"/>
      <c r="M640" s="2"/>
      <c r="N640" s="2" t="s">
        <v>5030</v>
      </c>
      <c r="O640" s="2"/>
      <c r="P640" s="2" t="s">
        <v>5031</v>
      </c>
      <c r="Q640" s="2" t="s">
        <v>5032</v>
      </c>
      <c r="R640" s="2" t="s">
        <v>355</v>
      </c>
      <c r="S640" s="2" t="s">
        <v>5033</v>
      </c>
      <c r="T640" s="2" t="s">
        <v>5034</v>
      </c>
      <c r="U640" s="2" t="s">
        <v>5025</v>
      </c>
      <c r="V640" s="2" t="s">
        <v>1019</v>
      </c>
      <c r="W640" s="2"/>
    </row>
    <row r="641">
      <c r="A641" s="2" t="n">
        <v>441</v>
      </c>
      <c r="B641" s="2" t="s">
        <v>13290</v>
      </c>
      <c r="C641" s="2" t="s">
        <v>5035</v>
      </c>
      <c r="D641" s="2" t="n">
        <v>397.059673559</v>
      </c>
      <c r="E641" s="2" t="n">
        <v>1.7958677534352</v>
      </c>
      <c r="F641" s="2" t="s">
        <v>13291</v>
      </c>
      <c r="G641" s="2" t="n">
        <v>211291</v>
      </c>
      <c r="H641" s="3" t="str">
        <f>HYPERLINK("http://funmeta.oebiotech.com/network/211291", "http://funmeta.oebiotech.com/network/211291")</f>
      </c>
      <c r="I641" s="2" t="s">
        <v>13292</v>
      </c>
      <c r="J641" s="2"/>
      <c r="K641" s="2"/>
      <c r="L641" s="2"/>
      <c r="M641" s="2"/>
      <c r="N641" s="2" t="s">
        <v>13293</v>
      </c>
      <c r="O641" s="2"/>
      <c r="P641" s="2" t="s">
        <v>13294</v>
      </c>
      <c r="Q641" s="2" t="s">
        <v>13295</v>
      </c>
      <c r="R641" s="2" t="s">
        <v>355</v>
      </c>
      <c r="S641" s="2" t="s">
        <v>5537</v>
      </c>
      <c r="T641" s="2" t="s">
        <v>5538</v>
      </c>
      <c r="U641" s="2" t="s">
        <v>5036</v>
      </c>
      <c r="V641" s="2" t="s">
        <v>522</v>
      </c>
      <c r="W641" s="2"/>
    </row>
    <row r="642">
      <c r="A642" s="2" t="n">
        <v>441</v>
      </c>
      <c r="B642" s="2" t="s">
        <v>13296</v>
      </c>
      <c r="C642" s="2" t="s">
        <v>5035</v>
      </c>
      <c r="D642" s="2" t="n">
        <v>397.059673559</v>
      </c>
      <c r="E642" s="2" t="n">
        <v>1.7958677534352</v>
      </c>
      <c r="F642" s="2" t="s">
        <v>13297</v>
      </c>
      <c r="G642" s="2" t="n">
        <v>205523</v>
      </c>
      <c r="H642" s="3" t="str">
        <f>HYPERLINK("http://funmeta.oebiotech.com/network/205523", "http://funmeta.oebiotech.com/network/205523")</f>
      </c>
      <c r="I642" s="2" t="s">
        <v>13298</v>
      </c>
      <c r="J642" s="2" t="s">
        <v>13299</v>
      </c>
      <c r="K642" s="2"/>
      <c r="L642" s="2"/>
      <c r="M642" s="2"/>
      <c r="N642" s="2" t="s">
        <v>13300</v>
      </c>
      <c r="O642" s="2" t="s">
        <v>13301</v>
      </c>
      <c r="P642" s="2" t="s">
        <v>13302</v>
      </c>
      <c r="Q642" s="2" t="s">
        <v>13303</v>
      </c>
      <c r="R642" s="2" t="s">
        <v>355</v>
      </c>
      <c r="S642" s="2" t="s">
        <v>5537</v>
      </c>
      <c r="T642" s="2" t="s">
        <v>5538</v>
      </c>
      <c r="U642" s="2" t="s">
        <v>5036</v>
      </c>
      <c r="V642" s="2" t="s">
        <v>522</v>
      </c>
      <c r="W642" s="2"/>
    </row>
    <row r="643">
      <c r="A643" s="2" t="n">
        <v>442</v>
      </c>
      <c r="B643" s="2" t="s">
        <v>13304</v>
      </c>
      <c r="C643" s="2" t="s">
        <v>5047</v>
      </c>
      <c r="D643" s="2" t="n">
        <v>397.989474</v>
      </c>
      <c r="E643" s="2" t="n">
        <v>0.777914304174417</v>
      </c>
      <c r="F643" s="2" t="s">
        <v>13305</v>
      </c>
      <c r="G643" s="2" t="n">
        <v>83539</v>
      </c>
      <c r="H643" s="3" t="str">
        <f>HYPERLINK("http://funmeta.oebiotech.com/network/83539", "http://funmeta.oebiotech.com/network/83539")</f>
      </c>
      <c r="I643" s="2" t="s">
        <v>13306</v>
      </c>
      <c r="J643" s="2"/>
      <c r="K643" s="2"/>
      <c r="L643" s="2"/>
      <c r="M643" s="2"/>
      <c r="N643" s="2" t="s">
        <v>13307</v>
      </c>
      <c r="O643" s="2" t="s">
        <v>13308</v>
      </c>
      <c r="P643" s="2" t="s">
        <v>13309</v>
      </c>
      <c r="Q643" s="2" t="s">
        <v>13310</v>
      </c>
      <c r="R643" s="2" t="s">
        <v>49</v>
      </c>
      <c r="S643" s="2" t="s">
        <v>165</v>
      </c>
      <c r="T643" s="2" t="s">
        <v>166</v>
      </c>
      <c r="U643" s="2" t="s">
        <v>5048</v>
      </c>
      <c r="V643" s="2" t="s">
        <v>110</v>
      </c>
      <c r="W643" s="2"/>
    </row>
    <row r="644">
      <c r="A644" s="2" t="n">
        <v>442</v>
      </c>
      <c r="B644" s="2" t="s">
        <v>13311</v>
      </c>
      <c r="C644" s="2" t="s">
        <v>5047</v>
      </c>
      <c r="D644" s="2" t="n">
        <v>397.989474</v>
      </c>
      <c r="E644" s="2" t="n">
        <v>0.777914304174417</v>
      </c>
      <c r="F644" s="2" t="s">
        <v>13312</v>
      </c>
      <c r="G644" s="2" t="n">
        <v>200205</v>
      </c>
      <c r="H644" s="3" t="str">
        <f>HYPERLINK("http://funmeta.oebiotech.com/network/200205", "http://funmeta.oebiotech.com/network/200205")</f>
      </c>
      <c r="I644" s="2" t="s">
        <v>13313</v>
      </c>
      <c r="J644" s="2"/>
      <c r="K644" s="2"/>
      <c r="L644" s="2"/>
      <c r="M644" s="2"/>
      <c r="N644" s="2" t="s">
        <v>13314</v>
      </c>
      <c r="O644" s="2"/>
      <c r="P644" s="2" t="s">
        <v>13315</v>
      </c>
      <c r="Q644" s="2" t="s">
        <v>13316</v>
      </c>
      <c r="R644" s="2" t="s">
        <v>49</v>
      </c>
      <c r="S644" s="2" t="s">
        <v>165</v>
      </c>
      <c r="T644" s="2" t="s">
        <v>166</v>
      </c>
      <c r="U644" s="2" t="s">
        <v>5048</v>
      </c>
      <c r="V644" s="2" t="s">
        <v>110</v>
      </c>
      <c r="W644" s="2"/>
    </row>
    <row r="645">
      <c r="A645" s="2" t="n">
        <v>442</v>
      </c>
      <c r="B645" s="2" t="s">
        <v>13317</v>
      </c>
      <c r="C645" s="2" t="s">
        <v>5047</v>
      </c>
      <c r="D645" s="2" t="n">
        <v>397.989475361</v>
      </c>
      <c r="E645" s="2" t="n">
        <v>0.777914304174417</v>
      </c>
      <c r="F645" s="2" t="s">
        <v>13318</v>
      </c>
      <c r="G645" s="2" t="n">
        <v>47225</v>
      </c>
      <c r="H645" s="3" t="str">
        <f>HYPERLINK("http://funmeta.oebiotech.com/network/47225", "http://funmeta.oebiotech.com/network/47225")</f>
      </c>
      <c r="I645" s="2" t="s">
        <v>13319</v>
      </c>
      <c r="J645" s="2" t="s">
        <v>13320</v>
      </c>
      <c r="K645" s="2"/>
      <c r="L645" s="2"/>
      <c r="M645" s="2"/>
      <c r="N645" s="2" t="s">
        <v>13321</v>
      </c>
      <c r="O645" s="2" t="s">
        <v>13322</v>
      </c>
      <c r="P645" s="2" t="s">
        <v>13323</v>
      </c>
      <c r="Q645" s="2" t="s">
        <v>13324</v>
      </c>
      <c r="R645" s="2" t="s">
        <v>49</v>
      </c>
      <c r="S645" s="2" t="s">
        <v>165</v>
      </c>
      <c r="T645" s="2" t="s">
        <v>166</v>
      </c>
      <c r="U645" s="2" t="s">
        <v>5048</v>
      </c>
      <c r="V645" s="2" t="s">
        <v>110</v>
      </c>
      <c r="W645" s="2"/>
    </row>
    <row r="646">
      <c r="A646" s="2" t="n">
        <v>443</v>
      </c>
      <c r="B646" s="2" t="s">
        <v>13325</v>
      </c>
      <c r="C646" s="2" t="s">
        <v>5057</v>
      </c>
      <c r="D646" s="2" t="n">
        <v>398.9972907</v>
      </c>
      <c r="E646" s="2" t="n">
        <v>14.4762255151992</v>
      </c>
      <c r="F646" s="2" t="s">
        <v>5059</v>
      </c>
      <c r="G646" s="2" t="n">
        <v>200136</v>
      </c>
      <c r="H646" s="3" t="str">
        <f>HYPERLINK("http://funmeta.oebiotech.com/network/200136", "http://funmeta.oebiotech.com/network/200136")</f>
      </c>
      <c r="I646" s="2" t="s">
        <v>5061</v>
      </c>
      <c r="J646" s="2" t="s">
        <v>5062</v>
      </c>
      <c r="K646" s="2"/>
      <c r="L646" s="2"/>
      <c r="M646" s="2" t="s">
        <v>5063</v>
      </c>
      <c r="N646" s="2" t="s">
        <v>5064</v>
      </c>
      <c r="O646" s="2"/>
      <c r="P646" s="2" t="s">
        <v>5065</v>
      </c>
      <c r="Q646" s="2" t="s">
        <v>5066</v>
      </c>
      <c r="R646" s="2" t="s">
        <v>49</v>
      </c>
      <c r="S646" s="2" t="s">
        <v>165</v>
      </c>
      <c r="T646" s="2" t="s">
        <v>625</v>
      </c>
      <c r="U646" s="2" t="s">
        <v>5058</v>
      </c>
      <c r="V646" s="2" t="s">
        <v>522</v>
      </c>
      <c r="W646" s="2"/>
    </row>
    <row r="647">
      <c r="A647" s="2" t="n">
        <v>444</v>
      </c>
      <c r="B647" s="2" t="s">
        <v>13326</v>
      </c>
      <c r="C647" s="2" t="s">
        <v>5067</v>
      </c>
      <c r="D647" s="2" t="n">
        <v>401.078874072</v>
      </c>
      <c r="E647" s="2" t="n">
        <v>8.84097669152206</v>
      </c>
      <c r="F647" s="2" t="s">
        <v>5069</v>
      </c>
      <c r="G647" s="2" t="n">
        <v>53586</v>
      </c>
      <c r="H647" s="3" t="str">
        <f>HYPERLINK("http://funmeta.oebiotech.com/network/53586", "http://funmeta.oebiotech.com/network/53586")</f>
      </c>
      <c r="I647" s="2" t="s">
        <v>5071</v>
      </c>
      <c r="J647" s="2" t="s">
        <v>5072</v>
      </c>
      <c r="K647" s="2"/>
      <c r="L647" s="2" t="s">
        <v>5073</v>
      </c>
      <c r="M647" s="2" t="s">
        <v>5074</v>
      </c>
      <c r="N647" s="2" t="s">
        <v>5075</v>
      </c>
      <c r="O647" s="2" t="s">
        <v>5076</v>
      </c>
      <c r="P647" s="2" t="s">
        <v>5077</v>
      </c>
      <c r="Q647" s="2" t="s">
        <v>5078</v>
      </c>
      <c r="R647" s="2" t="s">
        <v>49</v>
      </c>
      <c r="S647" s="2" t="s">
        <v>165</v>
      </c>
      <c r="T647" s="2" t="s">
        <v>166</v>
      </c>
      <c r="U647" s="2" t="s">
        <v>5068</v>
      </c>
      <c r="V647" s="2" t="s">
        <v>360</v>
      </c>
      <c r="W647" s="2" t="s">
        <v>39</v>
      </c>
    </row>
    <row r="648">
      <c r="A648" s="2" t="n">
        <v>445</v>
      </c>
      <c r="B648" s="2" t="s">
        <v>13327</v>
      </c>
      <c r="C648" s="2" t="s">
        <v>5079</v>
      </c>
      <c r="D648" s="2" t="n">
        <v>402.002267512</v>
      </c>
      <c r="E648" s="2" t="n">
        <v>0.590903618555596</v>
      </c>
      <c r="F648" s="2" t="s">
        <v>13328</v>
      </c>
      <c r="G648" s="2" t="n">
        <v>53306</v>
      </c>
      <c r="H648" s="3" t="str">
        <f>HYPERLINK("http://funmeta.oebiotech.com/network/53306", "http://funmeta.oebiotech.com/network/53306")</f>
      </c>
      <c r="I648" s="2" t="s">
        <v>13329</v>
      </c>
      <c r="J648" s="2" t="s">
        <v>13330</v>
      </c>
      <c r="K648" s="2"/>
      <c r="L648" s="2"/>
      <c r="M648" s="2" t="s">
        <v>13331</v>
      </c>
      <c r="N648" s="2" t="s">
        <v>13332</v>
      </c>
      <c r="O648" s="2" t="s">
        <v>13333</v>
      </c>
      <c r="P648" s="2" t="s">
        <v>13334</v>
      </c>
      <c r="Q648" s="2" t="s">
        <v>13335</v>
      </c>
      <c r="R648" s="2" t="s">
        <v>2590</v>
      </c>
      <c r="S648" s="2" t="s">
        <v>6120</v>
      </c>
      <c r="T648" s="2" t="s">
        <v>7366</v>
      </c>
      <c r="U648" s="2" t="s">
        <v>5080</v>
      </c>
      <c r="V648" s="2" t="s">
        <v>250</v>
      </c>
      <c r="W648" s="2"/>
    </row>
    <row r="649">
      <c r="A649" s="2" t="n">
        <v>445</v>
      </c>
      <c r="B649" s="2" t="s">
        <v>13336</v>
      </c>
      <c r="C649" s="2" t="s">
        <v>5079</v>
      </c>
      <c r="D649" s="2" t="n">
        <v>402.00226794</v>
      </c>
      <c r="E649" s="2" t="n">
        <v>0.590903618555596</v>
      </c>
      <c r="F649" s="2" t="s">
        <v>13337</v>
      </c>
      <c r="G649" s="2" t="n">
        <v>200569</v>
      </c>
      <c r="H649" s="3" t="str">
        <f>HYPERLINK("http://funmeta.oebiotech.com/network/200569", "http://funmeta.oebiotech.com/network/200569")</f>
      </c>
      <c r="I649" s="2" t="s">
        <v>13338</v>
      </c>
      <c r="J649" s="2"/>
      <c r="K649" s="2"/>
      <c r="L649" s="2"/>
      <c r="M649" s="2"/>
      <c r="N649" s="2" t="s">
        <v>13339</v>
      </c>
      <c r="O649" s="2"/>
      <c r="P649" s="2" t="s">
        <v>13340</v>
      </c>
      <c r="Q649" s="2" t="s">
        <v>13341</v>
      </c>
      <c r="R649" s="2" t="s">
        <v>2590</v>
      </c>
      <c r="S649" s="2" t="s">
        <v>6120</v>
      </c>
      <c r="T649" s="2" t="s">
        <v>7366</v>
      </c>
      <c r="U649" s="2" t="s">
        <v>5080</v>
      </c>
      <c r="V649" s="2" t="s">
        <v>250</v>
      </c>
      <c r="W649" s="2"/>
    </row>
    <row r="650">
      <c r="A650" s="2" t="n">
        <v>446</v>
      </c>
      <c r="B650" s="2" t="s">
        <v>13342</v>
      </c>
      <c r="C650" s="2" t="s">
        <v>5091</v>
      </c>
      <c r="D650" s="2" t="n">
        <v>402.104184519</v>
      </c>
      <c r="E650" s="2" t="n">
        <v>8.07864750172258</v>
      </c>
      <c r="F650" s="2" t="s">
        <v>5093</v>
      </c>
      <c r="G650" s="2" t="n">
        <v>61088</v>
      </c>
      <c r="H650" s="3" t="str">
        <f>HYPERLINK("http://funmeta.oebiotech.com/network/61088", "http://funmeta.oebiotech.com/network/61088")</f>
      </c>
      <c r="I650" s="2" t="s">
        <v>5095</v>
      </c>
      <c r="J650" s="2" t="s">
        <v>5096</v>
      </c>
      <c r="K650" s="2"/>
      <c r="L650" s="2"/>
      <c r="M650" s="2" t="s">
        <v>5097</v>
      </c>
      <c r="N650" s="2" t="s">
        <v>5098</v>
      </c>
      <c r="O650" s="2" t="s">
        <v>5099</v>
      </c>
      <c r="P650" s="2" t="s">
        <v>5100</v>
      </c>
      <c r="Q650" s="2" t="s">
        <v>5101</v>
      </c>
      <c r="R650" s="2" t="s">
        <v>64</v>
      </c>
      <c r="S650" s="2" t="s">
        <v>65</v>
      </c>
      <c r="T650" s="2" t="s">
        <v>66</v>
      </c>
      <c r="U650" s="2" t="s">
        <v>5092</v>
      </c>
      <c r="V650" s="2" t="s">
        <v>110</v>
      </c>
      <c r="W650" s="2"/>
    </row>
    <row r="651">
      <c r="A651" s="2" t="n">
        <v>447</v>
      </c>
      <c r="B651" s="2" t="s">
        <v>13343</v>
      </c>
      <c r="C651" s="2" t="s">
        <v>5102</v>
      </c>
      <c r="D651" s="2" t="n">
        <v>404.106350985</v>
      </c>
      <c r="E651" s="2" t="n">
        <v>0.491188776382654</v>
      </c>
      <c r="F651" s="2" t="s">
        <v>5104</v>
      </c>
      <c r="G651" s="2" t="n">
        <v>204458</v>
      </c>
      <c r="H651" s="3" t="str">
        <f>HYPERLINK("http://funmeta.oebiotech.com/network/204458", "http://funmeta.oebiotech.com/network/204458")</f>
      </c>
      <c r="I651" s="2" t="s">
        <v>5106</v>
      </c>
      <c r="J651" s="2"/>
      <c r="K651" s="2"/>
      <c r="L651" s="2"/>
      <c r="M651" s="2"/>
      <c r="N651" s="2" t="s">
        <v>5107</v>
      </c>
      <c r="O651" s="2"/>
      <c r="P651" s="2" t="s">
        <v>5108</v>
      </c>
      <c r="Q651" s="2" t="s">
        <v>5109</v>
      </c>
      <c r="R651" s="2" t="s">
        <v>355</v>
      </c>
      <c r="S651" s="2" t="s">
        <v>1316</v>
      </c>
      <c r="T651" s="2" t="s">
        <v>1317</v>
      </c>
      <c r="U651" s="2" t="s">
        <v>5103</v>
      </c>
      <c r="V651" s="2" t="s">
        <v>110</v>
      </c>
      <c r="W651" s="2"/>
    </row>
    <row r="652">
      <c r="A652" s="2" t="n">
        <v>448</v>
      </c>
      <c r="B652" s="2" t="s">
        <v>13344</v>
      </c>
      <c r="C652" s="2" t="s">
        <v>5110</v>
      </c>
      <c r="D652" s="2" t="n">
        <v>405.100452838</v>
      </c>
      <c r="E652" s="2" t="n">
        <v>8.02350486451267</v>
      </c>
      <c r="F652" s="2" t="s">
        <v>5112</v>
      </c>
      <c r="G652" s="2" t="n">
        <v>200168</v>
      </c>
      <c r="H652" s="3" t="str">
        <f>HYPERLINK("http://funmeta.oebiotech.com/network/200168", "http://funmeta.oebiotech.com/network/200168")</f>
      </c>
      <c r="I652" s="2" t="s">
        <v>5114</v>
      </c>
      <c r="J652" s="2" t="s">
        <v>5115</v>
      </c>
      <c r="K652" s="2"/>
      <c r="L652" s="2"/>
      <c r="M652" s="2"/>
      <c r="N652" s="2" t="s">
        <v>5116</v>
      </c>
      <c r="O652" s="2" t="s">
        <v>5117</v>
      </c>
      <c r="P652" s="2" t="s">
        <v>5118</v>
      </c>
      <c r="Q652" s="2" t="s">
        <v>5119</v>
      </c>
      <c r="R652" s="2" t="s">
        <v>355</v>
      </c>
      <c r="S652" s="2" t="s">
        <v>356</v>
      </c>
      <c r="T652" s="2" t="s">
        <v>357</v>
      </c>
      <c r="U652" s="2" t="s">
        <v>5111</v>
      </c>
      <c r="V652" s="2" t="s">
        <v>24</v>
      </c>
      <c r="W652" s="2"/>
    </row>
    <row r="653">
      <c r="A653" s="2" t="n">
        <v>449</v>
      </c>
      <c r="B653" s="2" t="s">
        <v>13345</v>
      </c>
      <c r="C653" s="2" t="s">
        <v>5120</v>
      </c>
      <c r="D653" s="2" t="n">
        <v>406.0165306</v>
      </c>
      <c r="E653" s="2" t="n">
        <v>6.05304427225633</v>
      </c>
      <c r="F653" s="2" t="s">
        <v>5122</v>
      </c>
      <c r="G653" s="2" t="n">
        <v>211858</v>
      </c>
      <c r="H653" s="3" t="str">
        <f>HYPERLINK("http://funmeta.oebiotech.com/network/211858", "http://funmeta.oebiotech.com/network/211858")</f>
      </c>
      <c r="I653" s="2" t="s">
        <v>5124</v>
      </c>
      <c r="J653" s="2" t="s">
        <v>5125</v>
      </c>
      <c r="K653" s="2"/>
      <c r="L653" s="2" t="s">
        <v>5126</v>
      </c>
      <c r="M653" s="2"/>
      <c r="N653" s="2" t="s">
        <v>5127</v>
      </c>
      <c r="O653" s="2" t="s">
        <v>5128</v>
      </c>
      <c r="P653" s="2" t="s">
        <v>5129</v>
      </c>
      <c r="Q653" s="2" t="s">
        <v>5130</v>
      </c>
      <c r="R653" s="2" t="s">
        <v>355</v>
      </c>
      <c r="S653" s="2" t="s">
        <v>5131</v>
      </c>
      <c r="T653" s="2" t="s">
        <v>5132</v>
      </c>
      <c r="U653" s="2" t="s">
        <v>5121</v>
      </c>
      <c r="V653" s="2" t="s">
        <v>522</v>
      </c>
      <c r="W653" s="2" t="s">
        <v>39</v>
      </c>
    </row>
    <row r="654">
      <c r="A654" s="2" t="n">
        <v>450</v>
      </c>
      <c r="B654" s="2" t="s">
        <v>13346</v>
      </c>
      <c r="C654" s="2" t="s">
        <v>5133</v>
      </c>
      <c r="D654" s="2" t="n">
        <v>406.10628484</v>
      </c>
      <c r="E654" s="2" t="n">
        <v>4.04815180960453</v>
      </c>
      <c r="F654" s="2" t="s">
        <v>5135</v>
      </c>
      <c r="G654" s="2" t="n">
        <v>53527</v>
      </c>
      <c r="H654" s="3" t="str">
        <f>HYPERLINK("http://funmeta.oebiotech.com/network/53527", "http://funmeta.oebiotech.com/network/53527")</f>
      </c>
      <c r="I654" s="2" t="s">
        <v>5137</v>
      </c>
      <c r="J654" s="2" t="s">
        <v>5138</v>
      </c>
      <c r="K654" s="2"/>
      <c r="L654" s="2"/>
      <c r="M654" s="2" t="s">
        <v>5139</v>
      </c>
      <c r="N654" s="2" t="s">
        <v>5140</v>
      </c>
      <c r="O654" s="2" t="s">
        <v>5141</v>
      </c>
      <c r="P654" s="2" t="s">
        <v>5142</v>
      </c>
      <c r="Q654" s="2" t="s">
        <v>5143</v>
      </c>
      <c r="R654" s="2" t="s">
        <v>502</v>
      </c>
      <c r="S654" s="2" t="s">
        <v>503</v>
      </c>
      <c r="T654" s="2" t="s">
        <v>5144</v>
      </c>
      <c r="U654" s="2" t="s">
        <v>5134</v>
      </c>
      <c r="V654" s="2" t="s">
        <v>24</v>
      </c>
      <c r="W654" s="2"/>
    </row>
    <row r="655">
      <c r="A655" s="2" t="n">
        <v>451</v>
      </c>
      <c r="B655" s="2" t="s">
        <v>13347</v>
      </c>
      <c r="C655" s="2" t="s">
        <v>5145</v>
      </c>
      <c r="D655" s="2" t="n">
        <v>406.945184652</v>
      </c>
      <c r="E655" s="2" t="n">
        <v>7.32036907307792</v>
      </c>
      <c r="F655" s="2" t="s">
        <v>5147</v>
      </c>
      <c r="G655" s="2" t="n">
        <v>201037</v>
      </c>
      <c r="H655" s="3" t="str">
        <f>HYPERLINK("http://funmeta.oebiotech.com/network/201037", "http://funmeta.oebiotech.com/network/201037")</f>
      </c>
      <c r="I655" s="2" t="s">
        <v>5149</v>
      </c>
      <c r="J655" s="2" t="s">
        <v>5150</v>
      </c>
      <c r="K655" s="2"/>
      <c r="L655" s="2"/>
      <c r="M655" s="2"/>
      <c r="N655" s="2" t="s">
        <v>5151</v>
      </c>
      <c r="O655" s="2"/>
      <c r="P655" s="2" t="s">
        <v>5152</v>
      </c>
      <c r="Q655" s="2" t="s">
        <v>5153</v>
      </c>
      <c r="R655" s="2" t="s">
        <v>49</v>
      </c>
      <c r="S655" s="2" t="s">
        <v>218</v>
      </c>
      <c r="T655" s="2" t="s">
        <v>219</v>
      </c>
      <c r="U655" s="2" t="s">
        <v>5146</v>
      </c>
      <c r="V655" s="2" t="s">
        <v>1019</v>
      </c>
      <c r="W655" s="2"/>
    </row>
    <row r="656">
      <c r="A656" s="2" t="n">
        <v>452</v>
      </c>
      <c r="B656" s="2" t="s">
        <v>13348</v>
      </c>
      <c r="C656" s="2" t="s">
        <v>5154</v>
      </c>
      <c r="D656" s="2" t="n">
        <v>407.064971734</v>
      </c>
      <c r="E656" s="2" t="n">
        <v>1.47255293962879</v>
      </c>
      <c r="F656" s="2" t="s">
        <v>5156</v>
      </c>
      <c r="G656" s="2" t="n">
        <v>53488</v>
      </c>
      <c r="H656" s="3" t="str">
        <f>HYPERLINK("http://funmeta.oebiotech.com/network/53488", "http://funmeta.oebiotech.com/network/53488")</f>
      </c>
      <c r="I656" s="2" t="s">
        <v>5158</v>
      </c>
      <c r="J656" s="2" t="s">
        <v>5159</v>
      </c>
      <c r="K656" s="2"/>
      <c r="L656" s="2" t="s">
        <v>5160</v>
      </c>
      <c r="M656" s="2" t="s">
        <v>5161</v>
      </c>
      <c r="N656" s="2" t="s">
        <v>5162</v>
      </c>
      <c r="O656" s="2" t="s">
        <v>5163</v>
      </c>
      <c r="P656" s="2" t="s">
        <v>5164</v>
      </c>
      <c r="Q656" s="2" t="s">
        <v>5165</v>
      </c>
      <c r="R656" s="2" t="s">
        <v>502</v>
      </c>
      <c r="S656" s="2" t="s">
        <v>503</v>
      </c>
      <c r="T656" s="2" t="s">
        <v>5166</v>
      </c>
      <c r="U656" s="2" t="s">
        <v>5155</v>
      </c>
      <c r="V656" s="2" t="s">
        <v>24</v>
      </c>
      <c r="W656" s="2" t="s">
        <v>39</v>
      </c>
    </row>
    <row r="657">
      <c r="A657" s="2" t="n">
        <v>453</v>
      </c>
      <c r="B657" s="2" t="s">
        <v>13349</v>
      </c>
      <c r="C657" s="2" t="s">
        <v>5167</v>
      </c>
      <c r="D657" s="2" t="n">
        <v>409.236064114</v>
      </c>
      <c r="E657" s="2" t="n">
        <v>0.132970557119784</v>
      </c>
      <c r="F657" s="2" t="s">
        <v>5169</v>
      </c>
      <c r="G657" s="2" t="n">
        <v>49556</v>
      </c>
      <c r="H657" s="3" t="str">
        <f>HYPERLINK("http://funmeta.oebiotech.com/network/49556", "http://funmeta.oebiotech.com/network/49556")</f>
      </c>
      <c r="I657" s="2" t="s">
        <v>5171</v>
      </c>
      <c r="J657" s="2"/>
      <c r="K657" s="2"/>
      <c r="L657" s="2"/>
      <c r="M657" s="2"/>
      <c r="N657" s="2" t="s">
        <v>5172</v>
      </c>
      <c r="O657" s="2"/>
      <c r="P657" s="2" t="s">
        <v>5173</v>
      </c>
      <c r="Q657" s="2" t="s">
        <v>5174</v>
      </c>
      <c r="R657" s="2" t="s">
        <v>1490</v>
      </c>
      <c r="S657" s="2" t="s">
        <v>4236</v>
      </c>
      <c r="T657" s="2" t="s">
        <v>5175</v>
      </c>
      <c r="U657" s="2" t="s">
        <v>5168</v>
      </c>
      <c r="V657" s="2" t="s">
        <v>110</v>
      </c>
      <c r="W657" s="2"/>
    </row>
    <row r="658">
      <c r="A658" s="2" t="n">
        <v>454</v>
      </c>
      <c r="B658" s="2" t="s">
        <v>13350</v>
      </c>
      <c r="C658" s="2" t="s">
        <v>5176</v>
      </c>
      <c r="D658" s="2" t="n">
        <v>410.065808911</v>
      </c>
      <c r="E658" s="2" t="n">
        <v>1.58969270523522</v>
      </c>
      <c r="F658" s="2" t="s">
        <v>5178</v>
      </c>
      <c r="G658" s="2" t="n">
        <v>52478</v>
      </c>
      <c r="H658" s="3" t="str">
        <f>HYPERLINK("http://funmeta.oebiotech.com/network/52478", "http://funmeta.oebiotech.com/network/52478")</f>
      </c>
      <c r="I658" s="2" t="s">
        <v>5180</v>
      </c>
      <c r="J658" s="2"/>
      <c r="K658" s="2"/>
      <c r="L658" s="2"/>
      <c r="M658" s="2"/>
      <c r="N658" s="2" t="s">
        <v>5181</v>
      </c>
      <c r="O658" s="2"/>
      <c r="P658" s="2" t="s">
        <v>5182</v>
      </c>
      <c r="Q658" s="2" t="s">
        <v>5183</v>
      </c>
      <c r="R658" s="2" t="s">
        <v>64</v>
      </c>
      <c r="S658" s="2" t="s">
        <v>65</v>
      </c>
      <c r="T658" s="2" t="s">
        <v>66</v>
      </c>
      <c r="U658" s="2" t="s">
        <v>5177</v>
      </c>
      <c r="V658" s="2" t="s">
        <v>42</v>
      </c>
      <c r="W658" s="2"/>
    </row>
    <row r="659">
      <c r="A659" s="2" t="n">
        <v>455</v>
      </c>
      <c r="B659" s="2" t="s">
        <v>13351</v>
      </c>
      <c r="C659" s="2" t="s">
        <v>5184</v>
      </c>
      <c r="D659" s="2" t="n">
        <v>411.203779398</v>
      </c>
      <c r="E659" s="2" t="n">
        <v>2.61777812863371</v>
      </c>
      <c r="F659" s="2" t="s">
        <v>13352</v>
      </c>
      <c r="G659" s="2" t="n">
        <v>211195</v>
      </c>
      <c r="H659" s="3" t="str">
        <f>HYPERLINK("http://funmeta.oebiotech.com/network/211195", "http://funmeta.oebiotech.com/network/211195")</f>
      </c>
      <c r="I659" s="2" t="s">
        <v>13353</v>
      </c>
      <c r="J659" s="2"/>
      <c r="K659" s="2"/>
      <c r="L659" s="2"/>
      <c r="M659" s="2"/>
      <c r="N659" s="2" t="s">
        <v>13354</v>
      </c>
      <c r="O659" s="2"/>
      <c r="P659" s="2" t="s">
        <v>13355</v>
      </c>
      <c r="Q659" s="2" t="s">
        <v>13356</v>
      </c>
      <c r="R659" s="2" t="s">
        <v>502</v>
      </c>
      <c r="S659" s="2" t="s">
        <v>503</v>
      </c>
      <c r="T659" s="2" t="s">
        <v>5166</v>
      </c>
      <c r="U659" s="2" t="s">
        <v>5185</v>
      </c>
      <c r="V659" s="2" t="s">
        <v>110</v>
      </c>
      <c r="W659" s="2"/>
    </row>
    <row r="660">
      <c r="A660" s="2" t="n">
        <v>455</v>
      </c>
      <c r="B660" s="2" t="s">
        <v>13357</v>
      </c>
      <c r="C660" s="2" t="s">
        <v>5184</v>
      </c>
      <c r="D660" s="2" t="n">
        <v>411.203779398</v>
      </c>
      <c r="E660" s="2" t="n">
        <v>2.61777812863371</v>
      </c>
      <c r="F660" s="2" t="s">
        <v>13358</v>
      </c>
      <c r="G660" s="2" t="n">
        <v>208083</v>
      </c>
      <c r="H660" s="3" t="str">
        <f>HYPERLINK("http://funmeta.oebiotech.com/network/208083", "http://funmeta.oebiotech.com/network/208083")</f>
      </c>
      <c r="I660" s="2" t="s">
        <v>13359</v>
      </c>
      <c r="J660" s="2"/>
      <c r="K660" s="2"/>
      <c r="L660" s="2"/>
      <c r="M660" s="2"/>
      <c r="N660" s="2" t="s">
        <v>13360</v>
      </c>
      <c r="O660" s="2"/>
      <c r="P660" s="2" t="s">
        <v>13361</v>
      </c>
      <c r="Q660" s="2" t="s">
        <v>13362</v>
      </c>
      <c r="R660" s="2" t="s">
        <v>355</v>
      </c>
      <c r="S660" s="2" t="s">
        <v>466</v>
      </c>
      <c r="T660" s="2" t="s">
        <v>467</v>
      </c>
      <c r="U660" s="2" t="s">
        <v>5185</v>
      </c>
      <c r="V660" s="2" t="s">
        <v>110</v>
      </c>
      <c r="W660" s="2"/>
    </row>
    <row r="661">
      <c r="A661" s="2" t="n">
        <v>455</v>
      </c>
      <c r="B661" s="2" t="s">
        <v>13363</v>
      </c>
      <c r="C661" s="2" t="s">
        <v>5184</v>
      </c>
      <c r="D661" s="2" t="n">
        <v>411.203779404</v>
      </c>
      <c r="E661" s="2" t="n">
        <v>2.61777812863371</v>
      </c>
      <c r="F661" s="2" t="s">
        <v>13364</v>
      </c>
      <c r="G661" s="2" t="n">
        <v>204532</v>
      </c>
      <c r="H661" s="3" t="str">
        <f>HYPERLINK("http://funmeta.oebiotech.com/network/204532", "http://funmeta.oebiotech.com/network/204532")</f>
      </c>
      <c r="I661" s="2" t="s">
        <v>13365</v>
      </c>
      <c r="J661" s="2" t="s">
        <v>13366</v>
      </c>
      <c r="K661" s="2"/>
      <c r="L661" s="2"/>
      <c r="M661" s="2"/>
      <c r="N661" s="2" t="s">
        <v>13367</v>
      </c>
      <c r="O661" s="2"/>
      <c r="P661" s="2" t="s">
        <v>13368</v>
      </c>
      <c r="Q661" s="2" t="s">
        <v>13369</v>
      </c>
      <c r="R661" s="2" t="s">
        <v>502</v>
      </c>
      <c r="S661" s="2" t="s">
        <v>3913</v>
      </c>
      <c r="T661" s="2" t="s">
        <v>7003</v>
      </c>
      <c r="U661" s="2" t="s">
        <v>5185</v>
      </c>
      <c r="V661" s="2" t="s">
        <v>110</v>
      </c>
      <c r="W661" s="2"/>
    </row>
    <row r="662">
      <c r="A662" s="2" t="n">
        <v>456</v>
      </c>
      <c r="B662" s="2" t="s">
        <v>13370</v>
      </c>
      <c r="C662" s="2" t="s">
        <v>5196</v>
      </c>
      <c r="D662" s="2" t="n">
        <v>413.076586924</v>
      </c>
      <c r="E662" s="2" t="n">
        <v>0.0929112229683649</v>
      </c>
      <c r="F662" s="2" t="s">
        <v>5198</v>
      </c>
      <c r="G662" s="2" t="n">
        <v>199051</v>
      </c>
      <c r="H662" s="3" t="str">
        <f>HYPERLINK("http://funmeta.oebiotech.com/network/199051", "http://funmeta.oebiotech.com/network/199051")</f>
      </c>
      <c r="I662" s="2" t="s">
        <v>5200</v>
      </c>
      <c r="J662" s="2"/>
      <c r="K662" s="2"/>
      <c r="L662" s="2"/>
      <c r="M662" s="2"/>
      <c r="N662" s="2" t="s">
        <v>5201</v>
      </c>
      <c r="O662" s="2"/>
      <c r="P662" s="2" t="s">
        <v>5202</v>
      </c>
      <c r="Q662" s="2" t="s">
        <v>5203</v>
      </c>
      <c r="R662" s="2" t="s">
        <v>502</v>
      </c>
      <c r="S662" s="2" t="s">
        <v>503</v>
      </c>
      <c r="T662" s="2" t="s">
        <v>5204</v>
      </c>
      <c r="U662" s="2" t="s">
        <v>5197</v>
      </c>
      <c r="V662" s="2" t="s">
        <v>522</v>
      </c>
      <c r="W662" s="2"/>
    </row>
    <row r="663">
      <c r="A663" s="2" t="n">
        <v>457</v>
      </c>
      <c r="B663" s="2" t="s">
        <v>13371</v>
      </c>
      <c r="C663" s="2" t="s">
        <v>5205</v>
      </c>
      <c r="D663" s="2" t="n">
        <v>413.12419168</v>
      </c>
      <c r="E663" s="2" t="n">
        <v>4.02935793069195</v>
      </c>
      <c r="F663" s="2" t="s">
        <v>13372</v>
      </c>
      <c r="G663" s="2" t="n">
        <v>53395</v>
      </c>
      <c r="H663" s="3" t="str">
        <f>HYPERLINK("http://funmeta.oebiotech.com/network/53395", "http://funmeta.oebiotech.com/network/53395")</f>
      </c>
      <c r="I663" s="2" t="s">
        <v>13373</v>
      </c>
      <c r="J663" s="2"/>
      <c r="K663" s="2"/>
      <c r="L663" s="2" t="s">
        <v>13374</v>
      </c>
      <c r="M663" s="2" t="s">
        <v>13375</v>
      </c>
      <c r="N663" s="2" t="s">
        <v>13376</v>
      </c>
      <c r="O663" s="2" t="s">
        <v>13377</v>
      </c>
      <c r="P663" s="2" t="s">
        <v>13378</v>
      </c>
      <c r="Q663" s="2" t="s">
        <v>13379</v>
      </c>
      <c r="R663" s="2" t="s">
        <v>7174</v>
      </c>
      <c r="S663" s="2" t="s">
        <v>13380</v>
      </c>
      <c r="T663" s="2" t="s">
        <v>13381</v>
      </c>
      <c r="U663" s="2" t="s">
        <v>5206</v>
      </c>
      <c r="V663" s="2" t="s">
        <v>110</v>
      </c>
      <c r="W663" s="2" t="s">
        <v>39</v>
      </c>
    </row>
    <row r="664">
      <c r="A664" s="2" t="n">
        <v>457</v>
      </c>
      <c r="B664" s="2" t="s">
        <v>13382</v>
      </c>
      <c r="C664" s="2" t="s">
        <v>5205</v>
      </c>
      <c r="D664" s="2" t="n">
        <v>413.12419168</v>
      </c>
      <c r="E664" s="2" t="n">
        <v>4.02935793069195</v>
      </c>
      <c r="F664" s="2" t="s">
        <v>13383</v>
      </c>
      <c r="G664" s="2" t="n">
        <v>56009</v>
      </c>
      <c r="H664" s="3" t="str">
        <f>HYPERLINK("http://funmeta.oebiotech.com/network/56009", "http://funmeta.oebiotech.com/network/56009")</f>
      </c>
      <c r="I664" s="2" t="s">
        <v>13384</v>
      </c>
      <c r="J664" s="2" t="s">
        <v>13385</v>
      </c>
      <c r="K664" s="2"/>
      <c r="L664" s="2" t="s">
        <v>13386</v>
      </c>
      <c r="M664" s="2"/>
      <c r="N664" s="2" t="s">
        <v>13387</v>
      </c>
      <c r="O664" s="2"/>
      <c r="P664" s="2" t="s">
        <v>13388</v>
      </c>
      <c r="Q664" s="2" t="s">
        <v>13389</v>
      </c>
      <c r="R664" s="2" t="s">
        <v>7174</v>
      </c>
      <c r="S664" s="2" t="s">
        <v>13380</v>
      </c>
      <c r="T664" s="2" t="s">
        <v>13381</v>
      </c>
      <c r="U664" s="2" t="s">
        <v>5206</v>
      </c>
      <c r="V664" s="2" t="s">
        <v>110</v>
      </c>
      <c r="W664" s="2" t="s">
        <v>39</v>
      </c>
    </row>
    <row r="665">
      <c r="A665" s="2" t="n">
        <v>458</v>
      </c>
      <c r="B665" s="2" t="s">
        <v>13390</v>
      </c>
      <c r="C665" s="2" t="s">
        <v>5220</v>
      </c>
      <c r="D665" s="2" t="n">
        <v>415.034052205</v>
      </c>
      <c r="E665" s="2" t="n">
        <v>4.32378646717235</v>
      </c>
      <c r="F665" s="2" t="s">
        <v>13391</v>
      </c>
      <c r="G665" s="2" t="n">
        <v>197095</v>
      </c>
      <c r="H665" s="3" t="str">
        <f>HYPERLINK("http://funmeta.oebiotech.com/network/197095", "http://funmeta.oebiotech.com/network/197095")</f>
      </c>
      <c r="I665" s="2" t="s">
        <v>13392</v>
      </c>
      <c r="J665" s="2"/>
      <c r="K665" s="2"/>
      <c r="L665" s="2"/>
      <c r="M665" s="2"/>
      <c r="N665" s="2"/>
      <c r="O665" s="2" t="s">
        <v>13393</v>
      </c>
      <c r="P665" s="2" t="s">
        <v>13394</v>
      </c>
      <c r="Q665" s="2" t="s">
        <v>13395</v>
      </c>
      <c r="R665" s="2" t="s">
        <v>2509</v>
      </c>
      <c r="S665" s="2" t="s">
        <v>5520</v>
      </c>
      <c r="T665" s="2" t="s">
        <v>13396</v>
      </c>
      <c r="U665" s="2" t="s">
        <v>5221</v>
      </c>
      <c r="V665" s="2" t="s">
        <v>24</v>
      </c>
      <c r="W665" s="2"/>
    </row>
    <row r="666">
      <c r="A666" s="2" t="n">
        <v>458</v>
      </c>
      <c r="B666" s="2" t="s">
        <v>13397</v>
      </c>
      <c r="C666" s="2" t="s">
        <v>5220</v>
      </c>
      <c r="D666" s="2" t="n">
        <v>415.034052205</v>
      </c>
      <c r="E666" s="2" t="n">
        <v>4.32378646717235</v>
      </c>
      <c r="F666" s="2" t="s">
        <v>13398</v>
      </c>
      <c r="G666" s="2" t="n">
        <v>197096</v>
      </c>
      <c r="H666" s="3" t="str">
        <f>HYPERLINK("http://funmeta.oebiotech.com/network/197096", "http://funmeta.oebiotech.com/network/197096")</f>
      </c>
      <c r="I666" s="2" t="s">
        <v>13399</v>
      </c>
      <c r="J666" s="2"/>
      <c r="K666" s="2"/>
      <c r="L666" s="2"/>
      <c r="M666" s="2" t="s">
        <v>13400</v>
      </c>
      <c r="N666" s="2" t="s">
        <v>13401</v>
      </c>
      <c r="O666" s="2" t="s">
        <v>13402</v>
      </c>
      <c r="P666" s="2" t="s">
        <v>13403</v>
      </c>
      <c r="Q666" s="2" t="s">
        <v>13404</v>
      </c>
      <c r="R666" s="2" t="s">
        <v>2509</v>
      </c>
      <c r="S666" s="2" t="s">
        <v>5520</v>
      </c>
      <c r="T666" s="2" t="s">
        <v>13396</v>
      </c>
      <c r="U666" s="2" t="s">
        <v>5221</v>
      </c>
      <c r="V666" s="2" t="s">
        <v>24</v>
      </c>
      <c r="W666" s="2"/>
    </row>
    <row r="667">
      <c r="A667" s="2" t="n">
        <v>458</v>
      </c>
      <c r="B667" s="2" t="s">
        <v>13405</v>
      </c>
      <c r="C667" s="2" t="s">
        <v>5220</v>
      </c>
      <c r="D667" s="2" t="n">
        <v>415.034052205</v>
      </c>
      <c r="E667" s="2" t="n">
        <v>4.32378646717235</v>
      </c>
      <c r="F667" s="2" t="s">
        <v>13406</v>
      </c>
      <c r="G667" s="2" t="n">
        <v>197142</v>
      </c>
      <c r="H667" s="3" t="str">
        <f>HYPERLINK("http://funmeta.oebiotech.com/network/197142", "http://funmeta.oebiotech.com/network/197142")</f>
      </c>
      <c r="I667" s="2" t="s">
        <v>13407</v>
      </c>
      <c r="J667" s="2"/>
      <c r="K667" s="2"/>
      <c r="L667" s="2"/>
      <c r="M667" s="2"/>
      <c r="N667" s="2" t="s">
        <v>13408</v>
      </c>
      <c r="O667" s="2"/>
      <c r="P667" s="2" t="s">
        <v>13409</v>
      </c>
      <c r="Q667" s="2" t="s">
        <v>13410</v>
      </c>
      <c r="R667" s="2" t="s">
        <v>2509</v>
      </c>
      <c r="S667" s="2" t="s">
        <v>5520</v>
      </c>
      <c r="T667" s="2" t="s">
        <v>13396</v>
      </c>
      <c r="U667" s="2" t="s">
        <v>5221</v>
      </c>
      <c r="V667" s="2" t="s">
        <v>24</v>
      </c>
      <c r="W667" s="2"/>
    </row>
    <row r="668">
      <c r="A668" s="2" t="n">
        <v>459</v>
      </c>
      <c r="B668" s="2" t="s">
        <v>13411</v>
      </c>
      <c r="C668" s="2" t="s">
        <v>5233</v>
      </c>
      <c r="D668" s="2" t="n">
        <v>415.144546138</v>
      </c>
      <c r="E668" s="2" t="n">
        <v>0.235395020960763</v>
      </c>
      <c r="F668" s="2" t="s">
        <v>5235</v>
      </c>
      <c r="G668" s="2" t="n">
        <v>212234</v>
      </c>
      <c r="H668" s="3" t="str">
        <f>HYPERLINK("http://funmeta.oebiotech.com/network/212234", "http://funmeta.oebiotech.com/network/212234")</f>
      </c>
      <c r="I668" s="2" t="s">
        <v>5237</v>
      </c>
      <c r="J668" s="2"/>
      <c r="K668" s="2"/>
      <c r="L668" s="2"/>
      <c r="M668" s="2"/>
      <c r="N668" s="2"/>
      <c r="O668" s="2"/>
      <c r="P668" s="2" t="s">
        <v>5238</v>
      </c>
      <c r="Q668" s="2" t="s">
        <v>5239</v>
      </c>
      <c r="R668" s="2" t="s">
        <v>355</v>
      </c>
      <c r="S668" s="2" t="s">
        <v>3062</v>
      </c>
      <c r="T668" s="2" t="s">
        <v>205</v>
      </c>
      <c r="U668" s="2" t="s">
        <v>5234</v>
      </c>
      <c r="V668" s="2" t="s">
        <v>24</v>
      </c>
      <c r="W668" s="2"/>
    </row>
    <row r="669">
      <c r="A669" s="2" t="n">
        <v>460</v>
      </c>
      <c r="B669" s="2" t="s">
        <v>13412</v>
      </c>
      <c r="C669" s="2" t="s">
        <v>5240</v>
      </c>
      <c r="D669" s="2" t="n">
        <v>416.13757098</v>
      </c>
      <c r="E669" s="2" t="n">
        <v>1.90924416521194</v>
      </c>
      <c r="F669" s="2" t="s">
        <v>5242</v>
      </c>
      <c r="G669" s="2" t="n">
        <v>82511</v>
      </c>
      <c r="H669" s="3" t="str">
        <f>HYPERLINK("http://funmeta.oebiotech.com/network/82511", "http://funmeta.oebiotech.com/network/82511")</f>
      </c>
      <c r="I669" s="2" t="s">
        <v>5244</v>
      </c>
      <c r="J669" s="2"/>
      <c r="K669" s="2"/>
      <c r="L669" s="2"/>
      <c r="M669" s="2"/>
      <c r="N669" s="2" t="s">
        <v>5245</v>
      </c>
      <c r="O669" s="2"/>
      <c r="P669" s="2" t="s">
        <v>5246</v>
      </c>
      <c r="Q669" s="2" t="s">
        <v>5247</v>
      </c>
      <c r="R669" s="2" t="s">
        <v>355</v>
      </c>
      <c r="S669" s="2" t="s">
        <v>3533</v>
      </c>
      <c r="T669" s="2" t="s">
        <v>5248</v>
      </c>
      <c r="U669" s="2" t="s">
        <v>5241</v>
      </c>
      <c r="V669" s="2" t="s">
        <v>110</v>
      </c>
      <c r="W669" s="2"/>
    </row>
    <row r="670">
      <c r="A670" s="2" t="n">
        <v>461</v>
      </c>
      <c r="B670" s="2" t="s">
        <v>13413</v>
      </c>
      <c r="C670" s="2" t="s">
        <v>5249</v>
      </c>
      <c r="D670" s="2" t="n">
        <v>418.0992141</v>
      </c>
      <c r="E670" s="2" t="n">
        <v>2.21372943106219</v>
      </c>
      <c r="F670" s="2" t="s">
        <v>5251</v>
      </c>
      <c r="G670" s="2" t="n">
        <v>211970</v>
      </c>
      <c r="H670" s="3" t="str">
        <f>HYPERLINK("http://funmeta.oebiotech.com/network/211970", "http://funmeta.oebiotech.com/network/211970")</f>
      </c>
      <c r="I670" s="2" t="s">
        <v>5253</v>
      </c>
      <c r="J670" s="2"/>
      <c r="K670" s="2"/>
      <c r="L670" s="2"/>
      <c r="M670" s="2"/>
      <c r="N670" s="2"/>
      <c r="O670" s="2"/>
      <c r="P670" s="2" t="s">
        <v>5254</v>
      </c>
      <c r="Q670" s="2" t="s">
        <v>5255</v>
      </c>
      <c r="R670" s="2" t="s">
        <v>355</v>
      </c>
      <c r="S670" s="2" t="s">
        <v>588</v>
      </c>
      <c r="T670" s="2" t="s">
        <v>5256</v>
      </c>
      <c r="U670" s="2" t="s">
        <v>5250</v>
      </c>
      <c r="V670" s="2" t="s">
        <v>42</v>
      </c>
      <c r="W670" s="2"/>
    </row>
    <row r="671">
      <c r="A671" s="2" t="n">
        <v>462</v>
      </c>
      <c r="B671" s="2" t="s">
        <v>13414</v>
      </c>
      <c r="C671" s="2" t="s">
        <v>5257</v>
      </c>
      <c r="D671" s="2" t="n">
        <v>419.091642391</v>
      </c>
      <c r="E671" s="2" t="n">
        <v>7.44651697051927</v>
      </c>
      <c r="F671" s="2" t="s">
        <v>13415</v>
      </c>
      <c r="G671" s="2" t="n">
        <v>212982</v>
      </c>
      <c r="H671" s="3" t="str">
        <f>HYPERLINK("http://funmeta.oebiotech.com/network/212982", "http://funmeta.oebiotech.com/network/212982")</f>
      </c>
      <c r="I671" s="2" t="s">
        <v>13416</v>
      </c>
      <c r="J671" s="2"/>
      <c r="K671" s="2"/>
      <c r="L671" s="2"/>
      <c r="M671" s="2"/>
      <c r="N671" s="2" t="s">
        <v>13417</v>
      </c>
      <c r="O671" s="2"/>
      <c r="P671" s="2" t="s">
        <v>13418</v>
      </c>
      <c r="Q671" s="2" t="s">
        <v>13419</v>
      </c>
      <c r="R671" s="2" t="s">
        <v>355</v>
      </c>
      <c r="S671" s="2" t="s">
        <v>5806</v>
      </c>
      <c r="T671" s="2" t="s">
        <v>5807</v>
      </c>
      <c r="U671" s="2" t="s">
        <v>5258</v>
      </c>
      <c r="V671" s="2" t="s">
        <v>522</v>
      </c>
      <c r="W671" s="2"/>
    </row>
    <row r="672">
      <c r="A672" s="2" t="n">
        <v>462</v>
      </c>
      <c r="B672" s="2" t="s">
        <v>13420</v>
      </c>
      <c r="C672" s="2" t="s">
        <v>5257</v>
      </c>
      <c r="D672" s="2" t="n">
        <v>419.091642398</v>
      </c>
      <c r="E672" s="2" t="n">
        <v>7.44651697051927</v>
      </c>
      <c r="F672" s="2" t="s">
        <v>13421</v>
      </c>
      <c r="G672" s="2" t="n">
        <v>201485</v>
      </c>
      <c r="H672" s="3" t="str">
        <f>HYPERLINK("http://funmeta.oebiotech.com/network/201485", "http://funmeta.oebiotech.com/network/201485")</f>
      </c>
      <c r="I672" s="2" t="s">
        <v>13422</v>
      </c>
      <c r="J672" s="2" t="s">
        <v>13423</v>
      </c>
      <c r="K672" s="2"/>
      <c r="L672" s="2"/>
      <c r="M672" s="2" t="s">
        <v>13424</v>
      </c>
      <c r="N672" s="2" t="s">
        <v>13425</v>
      </c>
      <c r="O672" s="2" t="s">
        <v>13426</v>
      </c>
      <c r="P672" s="2" t="s">
        <v>13427</v>
      </c>
      <c r="Q672" s="2" t="s">
        <v>13428</v>
      </c>
      <c r="R672" s="2" t="s">
        <v>355</v>
      </c>
      <c r="S672" s="2" t="s">
        <v>356</v>
      </c>
      <c r="T672" s="2" t="s">
        <v>357</v>
      </c>
      <c r="U672" s="2" t="s">
        <v>5258</v>
      </c>
      <c r="V672" s="2" t="s">
        <v>522</v>
      </c>
      <c r="W672" s="2"/>
    </row>
    <row r="673">
      <c r="A673" s="2" t="n">
        <v>463</v>
      </c>
      <c r="B673" s="2" t="s">
        <v>13429</v>
      </c>
      <c r="C673" s="2" t="s">
        <v>5270</v>
      </c>
      <c r="D673" s="2" t="n">
        <v>420.0887212</v>
      </c>
      <c r="E673" s="2" t="n">
        <v>0.405842919456057</v>
      </c>
      <c r="F673" s="2" t="s">
        <v>5272</v>
      </c>
      <c r="G673" s="2" t="n">
        <v>212267</v>
      </c>
      <c r="H673" s="3" t="str">
        <f>HYPERLINK("http://funmeta.oebiotech.com/network/212267", "http://funmeta.oebiotech.com/network/212267")</f>
      </c>
      <c r="I673" s="2" t="s">
        <v>5274</v>
      </c>
      <c r="J673" s="2" t="s">
        <v>5275</v>
      </c>
      <c r="K673" s="2"/>
      <c r="L673" s="2" t="s">
        <v>5276</v>
      </c>
      <c r="M673" s="2" t="s">
        <v>5277</v>
      </c>
      <c r="N673" s="2" t="s">
        <v>5278</v>
      </c>
      <c r="O673" s="2" t="s">
        <v>5279</v>
      </c>
      <c r="P673" s="2" t="s">
        <v>5280</v>
      </c>
      <c r="Q673" s="2" t="s">
        <v>5281</v>
      </c>
      <c r="R673" s="2" t="s">
        <v>355</v>
      </c>
      <c r="S673" s="2" t="s">
        <v>356</v>
      </c>
      <c r="T673" s="2" t="s">
        <v>5282</v>
      </c>
      <c r="U673" s="2" t="s">
        <v>5271</v>
      </c>
      <c r="V673" s="2" t="s">
        <v>522</v>
      </c>
      <c r="W673" s="2" t="s">
        <v>39</v>
      </c>
    </row>
    <row r="674">
      <c r="A674" s="2" t="n">
        <v>464</v>
      </c>
      <c r="B674" s="2" t="s">
        <v>13430</v>
      </c>
      <c r="C674" s="2" t="s">
        <v>5283</v>
      </c>
      <c r="D674" s="2" t="n">
        <v>421.077085104</v>
      </c>
      <c r="E674" s="2" t="n">
        <v>2.74858775612602</v>
      </c>
      <c r="F674" s="2" t="s">
        <v>5285</v>
      </c>
      <c r="G674" s="2" t="n">
        <v>62592</v>
      </c>
      <c r="H674" s="3" t="str">
        <f>HYPERLINK("http://funmeta.oebiotech.com/network/62592", "http://funmeta.oebiotech.com/network/62592")</f>
      </c>
      <c r="I674" s="2" t="s">
        <v>5287</v>
      </c>
      <c r="J674" s="2" t="s">
        <v>5288</v>
      </c>
      <c r="K674" s="2"/>
      <c r="L674" s="2"/>
      <c r="M674" s="2" t="s">
        <v>5289</v>
      </c>
      <c r="N674" s="2" t="s">
        <v>5290</v>
      </c>
      <c r="O674" s="2" t="s">
        <v>5291</v>
      </c>
      <c r="P674" s="2" t="s">
        <v>5292</v>
      </c>
      <c r="Q674" s="2" t="s">
        <v>5293</v>
      </c>
      <c r="R674" s="2" t="s">
        <v>64</v>
      </c>
      <c r="S674" s="2" t="s">
        <v>65</v>
      </c>
      <c r="T674" s="2" t="s">
        <v>66</v>
      </c>
      <c r="U674" s="2" t="s">
        <v>5284</v>
      </c>
      <c r="V674" s="2" t="s">
        <v>42</v>
      </c>
      <c r="W674" s="2"/>
    </row>
    <row r="675">
      <c r="A675" s="2" t="n">
        <v>465</v>
      </c>
      <c r="B675" s="2" t="s">
        <v>13431</v>
      </c>
      <c r="C675" s="2" t="s">
        <v>5294</v>
      </c>
      <c r="D675" s="2" t="n">
        <v>421.236240948</v>
      </c>
      <c r="E675" s="2" t="n">
        <v>8.57605014107667</v>
      </c>
      <c r="F675" s="2" t="s">
        <v>13432</v>
      </c>
      <c r="G675" s="2" t="n">
        <v>61484</v>
      </c>
      <c r="H675" s="3" t="str">
        <f>HYPERLINK("http://funmeta.oebiotech.com/network/61484", "http://funmeta.oebiotech.com/network/61484")</f>
      </c>
      <c r="I675" s="2" t="s">
        <v>13433</v>
      </c>
      <c r="J675" s="2"/>
      <c r="K675" s="2"/>
      <c r="L675" s="2"/>
      <c r="M675" s="2"/>
      <c r="N675" s="2" t="s">
        <v>13434</v>
      </c>
      <c r="O675" s="2" t="s">
        <v>13435</v>
      </c>
      <c r="P675" s="2" t="s">
        <v>13436</v>
      </c>
      <c r="Q675" s="2" t="s">
        <v>13437</v>
      </c>
      <c r="R675" s="2" t="s">
        <v>1490</v>
      </c>
      <c r="S675" s="2" t="s">
        <v>4971</v>
      </c>
      <c r="T675" s="2" t="s">
        <v>5966</v>
      </c>
      <c r="U675" s="2" t="s">
        <v>5295</v>
      </c>
      <c r="V675" s="2" t="s">
        <v>522</v>
      </c>
      <c r="W675" s="2"/>
    </row>
    <row r="676">
      <c r="A676" s="2" t="n">
        <v>465</v>
      </c>
      <c r="B676" s="2" t="s">
        <v>13438</v>
      </c>
      <c r="C676" s="2" t="s">
        <v>5294</v>
      </c>
      <c r="D676" s="2" t="n">
        <v>421.236240948</v>
      </c>
      <c r="E676" s="2" t="n">
        <v>8.57605014107667</v>
      </c>
      <c r="F676" s="2" t="s">
        <v>13439</v>
      </c>
      <c r="G676" s="2" t="n">
        <v>59822</v>
      </c>
      <c r="H676" s="3" t="str">
        <f>HYPERLINK("http://funmeta.oebiotech.com/network/59822", "http://funmeta.oebiotech.com/network/59822")</f>
      </c>
      <c r="I676" s="2" t="s">
        <v>13440</v>
      </c>
      <c r="J676" s="2" t="s">
        <v>13441</v>
      </c>
      <c r="K676" s="2"/>
      <c r="L676" s="2"/>
      <c r="M676" s="2" t="s">
        <v>13442</v>
      </c>
      <c r="N676" s="2" t="s">
        <v>13443</v>
      </c>
      <c r="O676" s="2" t="s">
        <v>13444</v>
      </c>
      <c r="P676" s="2" t="s">
        <v>13445</v>
      </c>
      <c r="Q676" s="2" t="s">
        <v>13446</v>
      </c>
      <c r="R676" s="2" t="s">
        <v>64</v>
      </c>
      <c r="S676" s="2" t="s">
        <v>65</v>
      </c>
      <c r="T676" s="2" t="s">
        <v>66</v>
      </c>
      <c r="U676" s="2" t="s">
        <v>5295</v>
      </c>
      <c r="V676" s="2" t="s">
        <v>522</v>
      </c>
      <c r="W676" s="2"/>
    </row>
    <row r="677">
      <c r="A677" s="2" t="n">
        <v>465</v>
      </c>
      <c r="B677" s="2" t="s">
        <v>13447</v>
      </c>
      <c r="C677" s="2" t="s">
        <v>5294</v>
      </c>
      <c r="D677" s="2" t="n">
        <v>421.236240948</v>
      </c>
      <c r="E677" s="2" t="n">
        <v>8.57605014107667</v>
      </c>
      <c r="F677" s="2" t="s">
        <v>13448</v>
      </c>
      <c r="G677" s="2" t="n">
        <v>55741</v>
      </c>
      <c r="H677" s="3" t="str">
        <f>HYPERLINK("http://funmeta.oebiotech.com/network/55741", "http://funmeta.oebiotech.com/network/55741")</f>
      </c>
      <c r="I677" s="2" t="s">
        <v>13449</v>
      </c>
      <c r="J677" s="2" t="s">
        <v>13450</v>
      </c>
      <c r="K677" s="2"/>
      <c r="L677" s="2"/>
      <c r="M677" s="2" t="s">
        <v>13451</v>
      </c>
      <c r="N677" s="2" t="s">
        <v>13452</v>
      </c>
      <c r="O677" s="2" t="s">
        <v>13453</v>
      </c>
      <c r="P677" s="2" t="s">
        <v>13454</v>
      </c>
      <c r="Q677" s="2" t="s">
        <v>13455</v>
      </c>
      <c r="R677" s="2" t="s">
        <v>1490</v>
      </c>
      <c r="S677" s="2" t="s">
        <v>6728</v>
      </c>
      <c r="T677" s="2" t="s">
        <v>6754</v>
      </c>
      <c r="U677" s="2" t="s">
        <v>5295</v>
      </c>
      <c r="V677" s="2" t="s">
        <v>522</v>
      </c>
      <c r="W677" s="2"/>
    </row>
    <row r="678">
      <c r="A678" s="2" t="n">
        <v>466</v>
      </c>
      <c r="B678" s="2" t="s">
        <v>13456</v>
      </c>
      <c r="C678" s="2" t="s">
        <v>5308</v>
      </c>
      <c r="D678" s="2" t="n">
        <v>421.992668739</v>
      </c>
      <c r="E678" s="2" t="n">
        <v>6.18062097532332</v>
      </c>
      <c r="F678" s="2" t="s">
        <v>5310</v>
      </c>
      <c r="G678" s="2" t="n">
        <v>47468</v>
      </c>
      <c r="H678" s="3" t="str">
        <f>HYPERLINK("http://funmeta.oebiotech.com/network/47468", "http://funmeta.oebiotech.com/network/47468")</f>
      </c>
      <c r="I678" s="2" t="s">
        <v>5312</v>
      </c>
      <c r="J678" s="2" t="s">
        <v>5313</v>
      </c>
      <c r="K678" s="2"/>
      <c r="L678" s="2" t="s">
        <v>5314</v>
      </c>
      <c r="M678" s="2" t="s">
        <v>5315</v>
      </c>
      <c r="N678" s="2" t="s">
        <v>5316</v>
      </c>
      <c r="O678" s="2" t="s">
        <v>5317</v>
      </c>
      <c r="P678" s="2" t="s">
        <v>5318</v>
      </c>
      <c r="Q678" s="2" t="s">
        <v>5319</v>
      </c>
      <c r="R678" s="2" t="s">
        <v>64</v>
      </c>
      <c r="S678" s="2" t="s">
        <v>1083</v>
      </c>
      <c r="T678" s="2" t="s">
        <v>5320</v>
      </c>
      <c r="U678" s="2" t="s">
        <v>5309</v>
      </c>
      <c r="V678" s="2" t="s">
        <v>522</v>
      </c>
      <c r="W678" s="2" t="s">
        <v>39</v>
      </c>
    </row>
    <row r="679">
      <c r="A679" s="2" t="n">
        <v>467</v>
      </c>
      <c r="B679" s="2" t="s">
        <v>13457</v>
      </c>
      <c r="C679" s="2" t="s">
        <v>5321</v>
      </c>
      <c r="D679" s="2" t="n">
        <v>422.085947897</v>
      </c>
      <c r="E679" s="2" t="n">
        <v>6.26071169904417</v>
      </c>
      <c r="F679" s="2" t="s">
        <v>5323</v>
      </c>
      <c r="G679" s="2" t="n">
        <v>60864</v>
      </c>
      <c r="H679" s="3" t="str">
        <f>HYPERLINK("http://funmeta.oebiotech.com/network/60864", "http://funmeta.oebiotech.com/network/60864")</f>
      </c>
      <c r="I679" s="2" t="s">
        <v>5325</v>
      </c>
      <c r="J679" s="2" t="s">
        <v>5326</v>
      </c>
      <c r="K679" s="2"/>
      <c r="L679" s="2"/>
      <c r="M679" s="2" t="s">
        <v>5327</v>
      </c>
      <c r="N679" s="2" t="s">
        <v>5328</v>
      </c>
      <c r="O679" s="2" t="s">
        <v>5329</v>
      </c>
      <c r="P679" s="2" t="s">
        <v>5330</v>
      </c>
      <c r="Q679" s="2" t="s">
        <v>5331</v>
      </c>
      <c r="R679" s="2" t="s">
        <v>64</v>
      </c>
      <c r="S679" s="2" t="s">
        <v>65</v>
      </c>
      <c r="T679" s="2" t="s">
        <v>66</v>
      </c>
      <c r="U679" s="2" t="s">
        <v>5322</v>
      </c>
      <c r="V679" s="2" t="s">
        <v>522</v>
      </c>
      <c r="W679" s="2"/>
    </row>
    <row r="680">
      <c r="A680" s="2" t="n">
        <v>468</v>
      </c>
      <c r="B680" s="2" t="s">
        <v>13458</v>
      </c>
      <c r="C680" s="2" t="s">
        <v>5332</v>
      </c>
      <c r="D680" s="2" t="n">
        <v>422.254811915</v>
      </c>
      <c r="E680" s="2" t="n">
        <v>2.91910262605679</v>
      </c>
      <c r="F680" s="2" t="s">
        <v>13459</v>
      </c>
      <c r="G680" s="2" t="n">
        <v>198043</v>
      </c>
      <c r="H680" s="3" t="str">
        <f>HYPERLINK("http://funmeta.oebiotech.com/network/198043", "http://funmeta.oebiotech.com/network/198043")</f>
      </c>
      <c r="I680" s="2" t="s">
        <v>13460</v>
      </c>
      <c r="J680" s="2"/>
      <c r="K680" s="2"/>
      <c r="L680" s="2"/>
      <c r="M680" s="2"/>
      <c r="N680" s="2"/>
      <c r="O680" s="2"/>
      <c r="P680" s="2" t="s">
        <v>13461</v>
      </c>
      <c r="Q680" s="2" t="s">
        <v>13462</v>
      </c>
      <c r="R680" s="2" t="s">
        <v>1490</v>
      </c>
      <c r="S680" s="2" t="s">
        <v>1491</v>
      </c>
      <c r="T680" s="2" t="s">
        <v>3884</v>
      </c>
      <c r="U680" s="2" t="s">
        <v>5333</v>
      </c>
      <c r="V680" s="2" t="s">
        <v>110</v>
      </c>
      <c r="W680" s="2"/>
    </row>
    <row r="681">
      <c r="A681" s="2" t="n">
        <v>468</v>
      </c>
      <c r="B681" s="2" t="s">
        <v>13463</v>
      </c>
      <c r="C681" s="2" t="s">
        <v>5332</v>
      </c>
      <c r="D681" s="2" t="n">
        <v>422.254811915</v>
      </c>
      <c r="E681" s="2" t="n">
        <v>2.91910262605679</v>
      </c>
      <c r="F681" s="2" t="s">
        <v>13464</v>
      </c>
      <c r="G681" s="2" t="n">
        <v>198044</v>
      </c>
      <c r="H681" s="3" t="str">
        <f>HYPERLINK("http://funmeta.oebiotech.com/network/198044", "http://funmeta.oebiotech.com/network/198044")</f>
      </c>
      <c r="I681" s="2" t="s">
        <v>13465</v>
      </c>
      <c r="J681" s="2"/>
      <c r="K681" s="2"/>
      <c r="L681" s="2"/>
      <c r="M681" s="2"/>
      <c r="N681" s="2"/>
      <c r="O681" s="2"/>
      <c r="P681" s="2" t="s">
        <v>13466</v>
      </c>
      <c r="Q681" s="2" t="s">
        <v>13467</v>
      </c>
      <c r="R681" s="2" t="s">
        <v>1490</v>
      </c>
      <c r="S681" s="2" t="s">
        <v>1491</v>
      </c>
      <c r="T681" s="2" t="s">
        <v>3884</v>
      </c>
      <c r="U681" s="2" t="s">
        <v>5333</v>
      </c>
      <c r="V681" s="2" t="s">
        <v>110</v>
      </c>
      <c r="W681" s="2"/>
    </row>
    <row r="682">
      <c r="A682" s="2" t="n">
        <v>468</v>
      </c>
      <c r="B682" s="2" t="s">
        <v>13468</v>
      </c>
      <c r="C682" s="2" t="s">
        <v>5332</v>
      </c>
      <c r="D682" s="2" t="n">
        <v>422.254811915</v>
      </c>
      <c r="E682" s="2" t="n">
        <v>2.91910262605679</v>
      </c>
      <c r="F682" s="2" t="s">
        <v>13469</v>
      </c>
      <c r="G682" s="2" t="n">
        <v>198045</v>
      </c>
      <c r="H682" s="3" t="str">
        <f>HYPERLINK("http://funmeta.oebiotech.com/network/198045", "http://funmeta.oebiotech.com/network/198045")</f>
      </c>
      <c r="I682" s="2" t="s">
        <v>13470</v>
      </c>
      <c r="J682" s="2"/>
      <c r="K682" s="2"/>
      <c r="L682" s="2"/>
      <c r="M682" s="2"/>
      <c r="N682" s="2"/>
      <c r="O682" s="2"/>
      <c r="P682" s="2" t="s">
        <v>13471</v>
      </c>
      <c r="Q682" s="2" t="s">
        <v>13472</v>
      </c>
      <c r="R682" s="2" t="s">
        <v>1490</v>
      </c>
      <c r="S682" s="2" t="s">
        <v>1491</v>
      </c>
      <c r="T682" s="2" t="s">
        <v>3884</v>
      </c>
      <c r="U682" s="2" t="s">
        <v>5333</v>
      </c>
      <c r="V682" s="2" t="s">
        <v>110</v>
      </c>
      <c r="W682" s="2"/>
    </row>
    <row r="683">
      <c r="A683" s="2" t="n">
        <v>469</v>
      </c>
      <c r="B683" s="2" t="s">
        <v>13473</v>
      </c>
      <c r="C683" s="2" t="s">
        <v>5340</v>
      </c>
      <c r="D683" s="2" t="n">
        <v>423.247375542</v>
      </c>
      <c r="E683" s="2" t="n">
        <v>1.83087898880442</v>
      </c>
      <c r="F683" s="2" t="s">
        <v>5342</v>
      </c>
      <c r="G683" s="2" t="n">
        <v>208157</v>
      </c>
      <c r="H683" s="3" t="str">
        <f>HYPERLINK("http://funmeta.oebiotech.com/network/208157", "http://funmeta.oebiotech.com/network/208157")</f>
      </c>
      <c r="I683" s="2" t="s">
        <v>5344</v>
      </c>
      <c r="J683" s="2"/>
      <c r="K683" s="2"/>
      <c r="L683" s="2"/>
      <c r="M683" s="2"/>
      <c r="N683" s="2" t="s">
        <v>5345</v>
      </c>
      <c r="O683" s="2"/>
      <c r="P683" s="2" t="s">
        <v>5346</v>
      </c>
      <c r="Q683" s="2" t="s">
        <v>5347</v>
      </c>
      <c r="R683" s="2" t="s">
        <v>49</v>
      </c>
      <c r="S683" s="2" t="s">
        <v>165</v>
      </c>
      <c r="T683" s="2" t="s">
        <v>166</v>
      </c>
      <c r="U683" s="2" t="s">
        <v>5341</v>
      </c>
      <c r="V683" s="2" t="s">
        <v>110</v>
      </c>
      <c r="W683" s="2"/>
    </row>
    <row r="684">
      <c r="A684" s="2" t="n">
        <v>470</v>
      </c>
      <c r="B684" s="2" t="s">
        <v>13474</v>
      </c>
      <c r="C684" s="2" t="s">
        <v>5348</v>
      </c>
      <c r="D684" s="2" t="n">
        <v>424.080407031</v>
      </c>
      <c r="E684" s="2" t="n">
        <v>0.615720027040544</v>
      </c>
      <c r="F684" s="2" t="s">
        <v>5350</v>
      </c>
      <c r="G684" s="2" t="n">
        <v>55975</v>
      </c>
      <c r="H684" s="3" t="str">
        <f>HYPERLINK("http://funmeta.oebiotech.com/network/55975", "http://funmeta.oebiotech.com/network/55975")</f>
      </c>
      <c r="I684" s="2" t="s">
        <v>5352</v>
      </c>
      <c r="J684" s="2" t="s">
        <v>5353</v>
      </c>
      <c r="K684" s="2"/>
      <c r="L684" s="2"/>
      <c r="M684" s="2" t="s">
        <v>5354</v>
      </c>
      <c r="N684" s="2" t="s">
        <v>5355</v>
      </c>
      <c r="O684" s="2" t="s">
        <v>5356</v>
      </c>
      <c r="P684" s="2" t="s">
        <v>5357</v>
      </c>
      <c r="Q684" s="2" t="s">
        <v>5358</v>
      </c>
      <c r="R684" s="2" t="s">
        <v>355</v>
      </c>
      <c r="S684" s="2" t="s">
        <v>3869</v>
      </c>
      <c r="T684" s="2" t="s">
        <v>3870</v>
      </c>
      <c r="U684" s="2" t="s">
        <v>5349</v>
      </c>
      <c r="V684" s="2" t="s">
        <v>250</v>
      </c>
      <c r="W684" s="2"/>
    </row>
    <row r="685">
      <c r="A685" s="2" t="n">
        <v>471</v>
      </c>
      <c r="B685" s="2" t="s">
        <v>13475</v>
      </c>
      <c r="C685" s="2" t="s">
        <v>5359</v>
      </c>
      <c r="D685" s="2" t="n">
        <v>424.246963151</v>
      </c>
      <c r="E685" s="2" t="n">
        <v>7.36836495191451</v>
      </c>
      <c r="F685" s="2" t="s">
        <v>5361</v>
      </c>
      <c r="G685" s="2" t="n">
        <v>21194</v>
      </c>
      <c r="H685" s="3" t="str">
        <f>HYPERLINK("http://funmeta.oebiotech.com/network/21194", "http://funmeta.oebiotech.com/network/21194")</f>
      </c>
      <c r="I685" s="2" t="s">
        <v>5363</v>
      </c>
      <c r="J685" s="2" t="s">
        <v>5364</v>
      </c>
      <c r="K685" s="2" t="s">
        <v>5365</v>
      </c>
      <c r="L685" s="2"/>
      <c r="M685" s="2"/>
      <c r="N685" s="2" t="s">
        <v>5366</v>
      </c>
      <c r="O685" s="2"/>
      <c r="P685" s="2" t="s">
        <v>5367</v>
      </c>
      <c r="Q685" s="2" t="s">
        <v>5368</v>
      </c>
      <c r="R685" s="2" t="s">
        <v>1490</v>
      </c>
      <c r="S685" s="2" t="s">
        <v>4236</v>
      </c>
      <c r="T685" s="2" t="s">
        <v>5369</v>
      </c>
      <c r="U685" s="2" t="s">
        <v>5360</v>
      </c>
      <c r="V685" s="2" t="s">
        <v>110</v>
      </c>
      <c r="W685" s="2"/>
    </row>
    <row r="686">
      <c r="A686" s="2" t="n">
        <v>472</v>
      </c>
      <c r="B686" s="2" t="s">
        <v>13476</v>
      </c>
      <c r="C686" s="2" t="s">
        <v>5370</v>
      </c>
      <c r="D686" s="2" t="n">
        <v>424.942362402</v>
      </c>
      <c r="E686" s="2" t="n">
        <v>6.46710158858991</v>
      </c>
      <c r="F686" s="2" t="s">
        <v>5372</v>
      </c>
      <c r="G686" s="2" t="n">
        <v>53448</v>
      </c>
      <c r="H686" s="3" t="str">
        <f>HYPERLINK("http://funmeta.oebiotech.com/network/53448", "http://funmeta.oebiotech.com/network/53448")</f>
      </c>
      <c r="I686" s="2" t="s">
        <v>5374</v>
      </c>
      <c r="J686" s="2" t="s">
        <v>5375</v>
      </c>
      <c r="K686" s="2"/>
      <c r="L686" s="2"/>
      <c r="M686" s="2" t="s">
        <v>5376</v>
      </c>
      <c r="N686" s="2" t="s">
        <v>5377</v>
      </c>
      <c r="O686" s="2" t="s">
        <v>5378</v>
      </c>
      <c r="P686" s="2" t="s">
        <v>5379</v>
      </c>
      <c r="Q686" s="2" t="s">
        <v>5380</v>
      </c>
      <c r="R686" s="2" t="s">
        <v>355</v>
      </c>
      <c r="S686" s="2" t="s">
        <v>3869</v>
      </c>
      <c r="T686" s="2" t="s">
        <v>5381</v>
      </c>
      <c r="U686" s="2" t="s">
        <v>5371</v>
      </c>
      <c r="V686" s="2" t="s">
        <v>1019</v>
      </c>
      <c r="W686" s="2"/>
    </row>
    <row r="687">
      <c r="A687" s="2" t="n">
        <v>473</v>
      </c>
      <c r="B687" s="2" t="s">
        <v>13477</v>
      </c>
      <c r="C687" s="2" t="s">
        <v>5382</v>
      </c>
      <c r="D687" s="2" t="n">
        <v>425.077333111</v>
      </c>
      <c r="E687" s="2" t="n">
        <v>1.36716012607371</v>
      </c>
      <c r="F687" s="2" t="s">
        <v>5384</v>
      </c>
      <c r="G687" s="2" t="n">
        <v>57587</v>
      </c>
      <c r="H687" s="3" t="str">
        <f>HYPERLINK("http://funmeta.oebiotech.com/network/57587", "http://funmeta.oebiotech.com/network/57587")</f>
      </c>
      <c r="I687" s="2" t="s">
        <v>5386</v>
      </c>
      <c r="J687" s="2" t="s">
        <v>5387</v>
      </c>
      <c r="K687" s="2"/>
      <c r="L687" s="2"/>
      <c r="M687" s="2"/>
      <c r="N687" s="2" t="s">
        <v>5388</v>
      </c>
      <c r="O687" s="2" t="s">
        <v>5389</v>
      </c>
      <c r="P687" s="2" t="s">
        <v>5390</v>
      </c>
      <c r="Q687" s="2" t="s">
        <v>5391</v>
      </c>
      <c r="R687" s="2" t="s">
        <v>2509</v>
      </c>
      <c r="S687" s="2" t="s">
        <v>5392</v>
      </c>
      <c r="T687" s="2" t="s">
        <v>205</v>
      </c>
      <c r="U687" s="2" t="s">
        <v>5383</v>
      </c>
      <c r="V687" s="2" t="s">
        <v>360</v>
      </c>
      <c r="W687" s="2"/>
    </row>
    <row r="688">
      <c r="A688" s="2" t="n">
        <v>474</v>
      </c>
      <c r="B688" s="2" t="s">
        <v>13478</v>
      </c>
      <c r="C688" s="2" t="s">
        <v>5393</v>
      </c>
      <c r="D688" s="2" t="n">
        <v>426.022138749</v>
      </c>
      <c r="E688" s="2" t="n">
        <v>0.885204076527792</v>
      </c>
      <c r="F688" s="2" t="s">
        <v>13479</v>
      </c>
      <c r="G688" s="2" t="n">
        <v>47526</v>
      </c>
      <c r="H688" s="3" t="str">
        <f>HYPERLINK("http://funmeta.oebiotech.com/network/47526", "http://funmeta.oebiotech.com/network/47526")</f>
      </c>
      <c r="I688" s="2" t="s">
        <v>13480</v>
      </c>
      <c r="J688" s="2" t="s">
        <v>13481</v>
      </c>
      <c r="K688" s="2"/>
      <c r="L688" s="2" t="s">
        <v>13482</v>
      </c>
      <c r="M688" s="2" t="s">
        <v>13483</v>
      </c>
      <c r="N688" s="2" t="s">
        <v>13484</v>
      </c>
      <c r="O688" s="2" t="s">
        <v>13485</v>
      </c>
      <c r="P688" s="2" t="s">
        <v>13486</v>
      </c>
      <c r="Q688" s="2" t="s">
        <v>13487</v>
      </c>
      <c r="R688" s="2" t="s">
        <v>2590</v>
      </c>
      <c r="S688" s="2" t="s">
        <v>6120</v>
      </c>
      <c r="T688" s="2" t="s">
        <v>7366</v>
      </c>
      <c r="U688" s="2" t="s">
        <v>5394</v>
      </c>
      <c r="V688" s="2" t="s">
        <v>110</v>
      </c>
      <c r="W688" s="2" t="s">
        <v>39</v>
      </c>
    </row>
    <row r="689">
      <c r="A689" s="2" t="n">
        <v>474</v>
      </c>
      <c r="B689" s="2" t="s">
        <v>13488</v>
      </c>
      <c r="C689" s="2" t="s">
        <v>5393</v>
      </c>
      <c r="D689" s="2" t="n">
        <v>426.022138749</v>
      </c>
      <c r="E689" s="2" t="n">
        <v>0.885204076527792</v>
      </c>
      <c r="F689" s="2" t="s">
        <v>13489</v>
      </c>
      <c r="G689" s="2" t="n">
        <v>46850</v>
      </c>
      <c r="H689" s="3" t="str">
        <f>HYPERLINK("http://funmeta.oebiotech.com/network/46850", "http://funmeta.oebiotech.com/network/46850")</f>
      </c>
      <c r="I689" s="2" t="s">
        <v>13490</v>
      </c>
      <c r="J689" s="2"/>
      <c r="K689" s="2"/>
      <c r="L689" s="2" t="s">
        <v>13491</v>
      </c>
      <c r="M689" s="2" t="s">
        <v>13492</v>
      </c>
      <c r="N689" s="2" t="s">
        <v>13493</v>
      </c>
      <c r="O689" s="2" t="s">
        <v>13494</v>
      </c>
      <c r="P689" s="2" t="s">
        <v>13495</v>
      </c>
      <c r="Q689" s="2" t="s">
        <v>13496</v>
      </c>
      <c r="R689" s="2" t="s">
        <v>2590</v>
      </c>
      <c r="S689" s="2" t="s">
        <v>6120</v>
      </c>
      <c r="T689" s="2" t="s">
        <v>7366</v>
      </c>
      <c r="U689" s="2" t="s">
        <v>5394</v>
      </c>
      <c r="V689" s="2" t="s">
        <v>110</v>
      </c>
      <c r="W689" s="2" t="s">
        <v>39</v>
      </c>
    </row>
    <row r="690">
      <c r="A690" s="2" t="n">
        <v>474</v>
      </c>
      <c r="B690" s="2" t="s">
        <v>13497</v>
      </c>
      <c r="C690" s="2" t="s">
        <v>5393</v>
      </c>
      <c r="D690" s="2" t="n">
        <v>426.022138749</v>
      </c>
      <c r="E690" s="2" t="n">
        <v>0.885204076527792</v>
      </c>
      <c r="F690" s="2" t="s">
        <v>13498</v>
      </c>
      <c r="G690" s="2" t="n">
        <v>47321</v>
      </c>
      <c r="H690" s="3" t="str">
        <f>HYPERLINK("http://funmeta.oebiotech.com/network/47321", "http://funmeta.oebiotech.com/network/47321")</f>
      </c>
      <c r="I690" s="2" t="s">
        <v>13499</v>
      </c>
      <c r="J690" s="2" t="s">
        <v>13500</v>
      </c>
      <c r="K690" s="2"/>
      <c r="L690" s="2" t="s">
        <v>13501</v>
      </c>
      <c r="M690" s="2" t="s">
        <v>13502</v>
      </c>
      <c r="N690" s="2" t="s">
        <v>13503</v>
      </c>
      <c r="O690" s="2" t="s">
        <v>13504</v>
      </c>
      <c r="P690" s="2" t="s">
        <v>13505</v>
      </c>
      <c r="Q690" s="2" t="s">
        <v>13506</v>
      </c>
      <c r="R690" s="2" t="s">
        <v>2590</v>
      </c>
      <c r="S690" s="2" t="s">
        <v>6120</v>
      </c>
      <c r="T690" s="2" t="s">
        <v>12953</v>
      </c>
      <c r="U690" s="2" t="s">
        <v>5394</v>
      </c>
      <c r="V690" s="2" t="s">
        <v>110</v>
      </c>
      <c r="W690" s="2" t="s">
        <v>39</v>
      </c>
    </row>
    <row r="691">
      <c r="A691" s="2" t="n">
        <v>475</v>
      </c>
      <c r="B691" s="2" t="s">
        <v>13507</v>
      </c>
      <c r="C691" s="2" t="s">
        <v>5407</v>
      </c>
      <c r="D691" s="2" t="n">
        <v>427.052683952</v>
      </c>
      <c r="E691" s="2" t="n">
        <v>3.58405044831459</v>
      </c>
      <c r="F691" s="2" t="s">
        <v>13508</v>
      </c>
      <c r="G691" s="2" t="n">
        <v>144439</v>
      </c>
      <c r="H691" s="3" t="str">
        <f>HYPERLINK("http://funmeta.oebiotech.com/network/144439", "http://funmeta.oebiotech.com/network/144439")</f>
      </c>
      <c r="I691" s="2" t="s">
        <v>13509</v>
      </c>
      <c r="J691" s="2"/>
      <c r="K691" s="2"/>
      <c r="L691" s="2"/>
      <c r="M691" s="2" t="s">
        <v>13510</v>
      </c>
      <c r="N691" s="2" t="s">
        <v>13511</v>
      </c>
      <c r="O691" s="2" t="s">
        <v>13512</v>
      </c>
      <c r="P691" s="2" t="s">
        <v>13513</v>
      </c>
      <c r="Q691" s="2" t="s">
        <v>13514</v>
      </c>
      <c r="R691" s="2" t="s">
        <v>49</v>
      </c>
      <c r="S691" s="2" t="s">
        <v>1567</v>
      </c>
      <c r="T691" s="2" t="s">
        <v>1568</v>
      </c>
      <c r="U691" s="2" t="s">
        <v>5408</v>
      </c>
      <c r="V691" s="2" t="s">
        <v>1019</v>
      </c>
      <c r="W691" s="2"/>
    </row>
    <row r="692">
      <c r="A692" s="2" t="n">
        <v>475</v>
      </c>
      <c r="B692" s="2" t="s">
        <v>13515</v>
      </c>
      <c r="C692" s="2" t="s">
        <v>5407</v>
      </c>
      <c r="D692" s="2" t="n">
        <v>427.052683952</v>
      </c>
      <c r="E692" s="2" t="n">
        <v>3.58405044831459</v>
      </c>
      <c r="F692" s="2" t="s">
        <v>13516</v>
      </c>
      <c r="G692" s="2" t="n">
        <v>257673</v>
      </c>
      <c r="H692" s="3" t="str">
        <f>HYPERLINK("http://funmeta.oebiotech.com/network/257673", "http://funmeta.oebiotech.com/network/257673")</f>
      </c>
      <c r="I692" s="2" t="s">
        <v>13517</v>
      </c>
      <c r="J692" s="2"/>
      <c r="K692" s="2"/>
      <c r="L692" s="2"/>
      <c r="M692" s="2"/>
      <c r="N692" s="2" t="s">
        <v>13518</v>
      </c>
      <c r="O692" s="2"/>
      <c r="P692" s="2" t="s">
        <v>13519</v>
      </c>
      <c r="Q692" s="2" t="s">
        <v>13520</v>
      </c>
      <c r="R692" s="2" t="s">
        <v>49</v>
      </c>
      <c r="S692" s="2" t="s">
        <v>1567</v>
      </c>
      <c r="T692" s="2" t="s">
        <v>1568</v>
      </c>
      <c r="U692" s="2" t="s">
        <v>5408</v>
      </c>
      <c r="V692" s="2" t="s">
        <v>1019</v>
      </c>
      <c r="W692" s="2"/>
    </row>
    <row r="693">
      <c r="A693" s="2" t="n">
        <v>476</v>
      </c>
      <c r="B693" s="2" t="s">
        <v>13521</v>
      </c>
      <c r="C693" s="2" t="s">
        <v>5419</v>
      </c>
      <c r="D693" s="2" t="n">
        <v>428.084114179</v>
      </c>
      <c r="E693" s="2" t="n">
        <v>0.759816496730439</v>
      </c>
      <c r="F693" s="2" t="s">
        <v>5421</v>
      </c>
      <c r="G693" s="2" t="n">
        <v>52668</v>
      </c>
      <c r="H693" s="3" t="str">
        <f>HYPERLINK("http://funmeta.oebiotech.com/network/52668", "http://funmeta.oebiotech.com/network/52668")</f>
      </c>
      <c r="I693" s="2" t="s">
        <v>5423</v>
      </c>
      <c r="J693" s="2" t="s">
        <v>5424</v>
      </c>
      <c r="K693" s="2"/>
      <c r="L693" s="2" t="s">
        <v>5425</v>
      </c>
      <c r="M693" s="2" t="s">
        <v>5426</v>
      </c>
      <c r="N693" s="2" t="s">
        <v>5427</v>
      </c>
      <c r="O693" s="2" t="s">
        <v>5428</v>
      </c>
      <c r="P693" s="2" t="s">
        <v>5429</v>
      </c>
      <c r="Q693" s="2" t="s">
        <v>5430</v>
      </c>
      <c r="R693" s="2" t="s">
        <v>355</v>
      </c>
      <c r="S693" s="2" t="s">
        <v>3869</v>
      </c>
      <c r="T693" s="2" t="s">
        <v>3870</v>
      </c>
      <c r="U693" s="2" t="s">
        <v>5420</v>
      </c>
      <c r="V693" s="2" t="s">
        <v>522</v>
      </c>
      <c r="W693" s="2" t="s">
        <v>39</v>
      </c>
    </row>
    <row r="694">
      <c r="A694" s="2" t="n">
        <v>477</v>
      </c>
      <c r="B694" s="2" t="s">
        <v>13522</v>
      </c>
      <c r="C694" s="2" t="s">
        <v>5431</v>
      </c>
      <c r="D694" s="2" t="n">
        <v>430.03766</v>
      </c>
      <c r="E694" s="2" t="n">
        <v>3.89587739748241</v>
      </c>
      <c r="F694" s="2" t="s">
        <v>5433</v>
      </c>
      <c r="G694" s="2" t="n">
        <v>210672</v>
      </c>
      <c r="H694" s="3" t="str">
        <f>HYPERLINK("http://funmeta.oebiotech.com/network/210672", "http://funmeta.oebiotech.com/network/210672")</f>
      </c>
      <c r="I694" s="2" t="s">
        <v>5435</v>
      </c>
      <c r="J694" s="2"/>
      <c r="K694" s="2"/>
      <c r="L694" s="2"/>
      <c r="M694" s="2"/>
      <c r="N694" s="2" t="s">
        <v>5436</v>
      </c>
      <c r="O694" s="2"/>
      <c r="P694" s="2" t="s">
        <v>5437</v>
      </c>
      <c r="Q694" s="2" t="s">
        <v>5438</v>
      </c>
      <c r="R694" s="2" t="s">
        <v>502</v>
      </c>
      <c r="S694" s="2" t="s">
        <v>1467</v>
      </c>
      <c r="T694" s="2" t="s">
        <v>205</v>
      </c>
      <c r="U694" s="2" t="s">
        <v>5432</v>
      </c>
      <c r="V694" s="2" t="s">
        <v>522</v>
      </c>
      <c r="W694" s="2"/>
    </row>
    <row r="695">
      <c r="A695" s="2" t="n">
        <v>478</v>
      </c>
      <c r="B695" s="2" t="s">
        <v>13523</v>
      </c>
      <c r="C695" s="2" t="s">
        <v>5439</v>
      </c>
      <c r="D695" s="2" t="n">
        <v>430.101464181</v>
      </c>
      <c r="E695" s="2" t="n">
        <v>1.22770062184606</v>
      </c>
      <c r="F695" s="2" t="s">
        <v>5441</v>
      </c>
      <c r="G695" s="2" t="n">
        <v>204171</v>
      </c>
      <c r="H695" s="3" t="str">
        <f>HYPERLINK("http://funmeta.oebiotech.com/network/204171", "http://funmeta.oebiotech.com/network/204171")</f>
      </c>
      <c r="I695" s="2" t="s">
        <v>5443</v>
      </c>
      <c r="J695" s="2"/>
      <c r="K695" s="2"/>
      <c r="L695" s="2"/>
      <c r="M695" s="2"/>
      <c r="N695" s="2" t="s">
        <v>5444</v>
      </c>
      <c r="O695" s="2"/>
      <c r="P695" s="2" t="s">
        <v>5445</v>
      </c>
      <c r="Q695" s="2" t="s">
        <v>5446</v>
      </c>
      <c r="R695" s="2" t="s">
        <v>355</v>
      </c>
      <c r="S695" s="2" t="s">
        <v>1316</v>
      </c>
      <c r="T695" s="2" t="s">
        <v>1317</v>
      </c>
      <c r="U695" s="2" t="s">
        <v>5440</v>
      </c>
      <c r="V695" s="2" t="s">
        <v>42</v>
      </c>
      <c r="W695" s="2"/>
    </row>
    <row r="696">
      <c r="A696" s="2" t="n">
        <v>479</v>
      </c>
      <c r="B696" s="2" t="s">
        <v>13524</v>
      </c>
      <c r="C696" s="2" t="s">
        <v>5447</v>
      </c>
      <c r="D696" s="2" t="n">
        <v>430.158921915</v>
      </c>
      <c r="E696" s="2" t="n">
        <v>0.981742863110306</v>
      </c>
      <c r="F696" s="2" t="s">
        <v>5449</v>
      </c>
      <c r="G696" s="2" t="n">
        <v>213104</v>
      </c>
      <c r="H696" s="3" t="str">
        <f>HYPERLINK("http://funmeta.oebiotech.com/network/213104", "http://funmeta.oebiotech.com/network/213104")</f>
      </c>
      <c r="I696" s="2" t="s">
        <v>5451</v>
      </c>
      <c r="J696" s="2"/>
      <c r="K696" s="2"/>
      <c r="L696" s="2"/>
      <c r="M696" s="2"/>
      <c r="N696" s="2"/>
      <c r="O696" s="2"/>
      <c r="P696" s="2" t="s">
        <v>5452</v>
      </c>
      <c r="Q696" s="2" t="s">
        <v>5453</v>
      </c>
      <c r="R696" s="2" t="s">
        <v>638</v>
      </c>
      <c r="S696" s="2" t="s">
        <v>3092</v>
      </c>
      <c r="T696" s="2" t="s">
        <v>3093</v>
      </c>
      <c r="U696" s="2" t="s">
        <v>5448</v>
      </c>
      <c r="V696" s="2" t="s">
        <v>42</v>
      </c>
      <c r="W696" s="2"/>
    </row>
    <row r="697">
      <c r="A697" s="2" t="n">
        <v>480</v>
      </c>
      <c r="B697" s="2" t="s">
        <v>13525</v>
      </c>
      <c r="C697" s="2" t="s">
        <v>5454</v>
      </c>
      <c r="D697" s="2" t="n">
        <v>431.144232352</v>
      </c>
      <c r="E697" s="2" t="n">
        <v>3.402633731497</v>
      </c>
      <c r="F697" s="2" t="s">
        <v>5456</v>
      </c>
      <c r="G697" s="2" t="n">
        <v>82919</v>
      </c>
      <c r="H697" s="3" t="str">
        <f>HYPERLINK("http://funmeta.oebiotech.com/network/82919", "http://funmeta.oebiotech.com/network/82919")</f>
      </c>
      <c r="I697" s="2" t="s">
        <v>5458</v>
      </c>
      <c r="J697" s="2"/>
      <c r="K697" s="2"/>
      <c r="L697" s="2"/>
      <c r="M697" s="2"/>
      <c r="N697" s="2" t="s">
        <v>5459</v>
      </c>
      <c r="O697" s="2"/>
      <c r="P697" s="2" t="s">
        <v>5460</v>
      </c>
      <c r="Q697" s="2" t="s">
        <v>5461</v>
      </c>
      <c r="R697" s="2" t="s">
        <v>1490</v>
      </c>
      <c r="S697" s="2" t="s">
        <v>3546</v>
      </c>
      <c r="T697" s="2" t="s">
        <v>5462</v>
      </c>
      <c r="U697" s="2" t="s">
        <v>5455</v>
      </c>
      <c r="V697" s="2" t="s">
        <v>522</v>
      </c>
      <c r="W697" s="2"/>
    </row>
    <row r="698">
      <c r="A698" s="2" t="n">
        <v>481</v>
      </c>
      <c r="B698" s="2" t="s">
        <v>13526</v>
      </c>
      <c r="C698" s="2" t="s">
        <v>5463</v>
      </c>
      <c r="D698" s="2" t="n">
        <v>431.213175121</v>
      </c>
      <c r="E698" s="2" t="n">
        <v>0.67393648236879</v>
      </c>
      <c r="F698" s="2" t="s">
        <v>5465</v>
      </c>
      <c r="G698" s="2" t="n">
        <v>212768</v>
      </c>
      <c r="H698" s="3" t="str">
        <f>HYPERLINK("http://funmeta.oebiotech.com/network/212768", "http://funmeta.oebiotech.com/network/212768")</f>
      </c>
      <c r="I698" s="2" t="s">
        <v>5467</v>
      </c>
      <c r="J698" s="2"/>
      <c r="K698" s="2"/>
      <c r="L698" s="2"/>
      <c r="M698" s="2"/>
      <c r="N698" s="2" t="s">
        <v>5468</v>
      </c>
      <c r="O698" s="2"/>
      <c r="P698" s="2" t="s">
        <v>5469</v>
      </c>
      <c r="Q698" s="2" t="s">
        <v>5470</v>
      </c>
      <c r="R698" s="2" t="s">
        <v>355</v>
      </c>
      <c r="S698" s="2" t="s">
        <v>356</v>
      </c>
      <c r="T698" s="2" t="s">
        <v>5282</v>
      </c>
      <c r="U698" s="2" t="s">
        <v>5464</v>
      </c>
      <c r="V698" s="2" t="s">
        <v>522</v>
      </c>
      <c r="W698" s="2"/>
    </row>
    <row r="699">
      <c r="A699" s="2" t="n">
        <v>482</v>
      </c>
      <c r="B699" s="2" t="s">
        <v>13527</v>
      </c>
      <c r="C699" s="2" t="s">
        <v>5471</v>
      </c>
      <c r="D699" s="2" t="n">
        <v>432.038820487</v>
      </c>
      <c r="E699" s="2" t="n">
        <v>2.61929071470697</v>
      </c>
      <c r="F699" s="2" t="s">
        <v>5473</v>
      </c>
      <c r="G699" s="2" t="n">
        <v>211316</v>
      </c>
      <c r="H699" s="3" t="str">
        <f>HYPERLINK("http://funmeta.oebiotech.com/network/211316", "http://funmeta.oebiotech.com/network/211316")</f>
      </c>
      <c r="I699" s="2" t="s">
        <v>5475</v>
      </c>
      <c r="J699" s="2"/>
      <c r="K699" s="2"/>
      <c r="L699" s="2"/>
      <c r="M699" s="2"/>
      <c r="N699" s="2" t="s">
        <v>5476</v>
      </c>
      <c r="O699" s="2"/>
      <c r="P699" s="2" t="s">
        <v>5477</v>
      </c>
      <c r="Q699" s="2" t="s">
        <v>5478</v>
      </c>
      <c r="R699" s="2" t="s">
        <v>49</v>
      </c>
      <c r="S699" s="2" t="s">
        <v>165</v>
      </c>
      <c r="T699" s="2" t="s">
        <v>166</v>
      </c>
      <c r="U699" s="2" t="s">
        <v>5472</v>
      </c>
      <c r="V699" s="2" t="s">
        <v>24</v>
      </c>
      <c r="W699" s="2"/>
    </row>
    <row r="700">
      <c r="A700" s="2" t="n">
        <v>483</v>
      </c>
      <c r="B700" s="2" t="s">
        <v>13528</v>
      </c>
      <c r="C700" s="2" t="s">
        <v>5479</v>
      </c>
      <c r="D700" s="2" t="n">
        <v>432.119192564</v>
      </c>
      <c r="E700" s="2" t="n">
        <v>1.08408840026085</v>
      </c>
      <c r="F700" s="2" t="s">
        <v>5481</v>
      </c>
      <c r="G700" s="2" t="n">
        <v>204636</v>
      </c>
      <c r="H700" s="3" t="str">
        <f>HYPERLINK("http://funmeta.oebiotech.com/network/204636", "http://funmeta.oebiotech.com/network/204636")</f>
      </c>
      <c r="I700" s="2" t="s">
        <v>5483</v>
      </c>
      <c r="J700" s="2"/>
      <c r="K700" s="2"/>
      <c r="L700" s="2"/>
      <c r="M700" s="2"/>
      <c r="N700" s="2" t="s">
        <v>5484</v>
      </c>
      <c r="O700" s="2"/>
      <c r="P700" s="2" t="s">
        <v>5485</v>
      </c>
      <c r="Q700" s="2" t="s">
        <v>5486</v>
      </c>
      <c r="R700" s="2" t="s">
        <v>355</v>
      </c>
      <c r="S700" s="2" t="s">
        <v>1396</v>
      </c>
      <c r="T700" s="2" t="s">
        <v>5487</v>
      </c>
      <c r="U700" s="2" t="s">
        <v>5480</v>
      </c>
      <c r="V700" s="2" t="s">
        <v>250</v>
      </c>
      <c r="W700" s="2"/>
    </row>
    <row r="701">
      <c r="A701" s="2" t="n">
        <v>484</v>
      </c>
      <c r="B701" s="2" t="s">
        <v>13529</v>
      </c>
      <c r="C701" s="2" t="s">
        <v>5488</v>
      </c>
      <c r="D701" s="2" t="n">
        <v>433.114020924</v>
      </c>
      <c r="E701" s="2" t="n">
        <v>0.869801352128343</v>
      </c>
      <c r="F701" s="2" t="s">
        <v>13530</v>
      </c>
      <c r="G701" s="2" t="n">
        <v>55921</v>
      </c>
      <c r="H701" s="3" t="str">
        <f>HYPERLINK("http://funmeta.oebiotech.com/network/55921", "http://funmeta.oebiotech.com/network/55921")</f>
      </c>
      <c r="I701" s="2" t="s">
        <v>13531</v>
      </c>
      <c r="J701" s="2" t="s">
        <v>13532</v>
      </c>
      <c r="K701" s="2"/>
      <c r="L701" s="2"/>
      <c r="M701" s="2"/>
      <c r="N701" s="2" t="s">
        <v>13533</v>
      </c>
      <c r="O701" s="2" t="s">
        <v>13534</v>
      </c>
      <c r="P701" s="2" t="s">
        <v>13535</v>
      </c>
      <c r="Q701" s="2" t="s">
        <v>13536</v>
      </c>
      <c r="R701" s="2" t="s">
        <v>64</v>
      </c>
      <c r="S701" s="2" t="s">
        <v>65</v>
      </c>
      <c r="T701" s="2" t="s">
        <v>66</v>
      </c>
      <c r="U701" s="2" t="s">
        <v>5489</v>
      </c>
      <c r="V701" s="2" t="s">
        <v>110</v>
      </c>
      <c r="W701" s="2"/>
    </row>
    <row r="702">
      <c r="A702" s="2" t="n">
        <v>484</v>
      </c>
      <c r="B702" s="2" t="s">
        <v>13537</v>
      </c>
      <c r="C702" s="2" t="s">
        <v>5488</v>
      </c>
      <c r="D702" s="2" t="n">
        <v>433.114020924</v>
      </c>
      <c r="E702" s="2" t="n">
        <v>0.869801352128343</v>
      </c>
      <c r="F702" s="2" t="s">
        <v>13538</v>
      </c>
      <c r="G702" s="2" t="n">
        <v>57932</v>
      </c>
      <c r="H702" s="3" t="str">
        <f>HYPERLINK("http://funmeta.oebiotech.com/network/57932", "http://funmeta.oebiotech.com/network/57932")</f>
      </c>
      <c r="I702" s="2" t="s">
        <v>13539</v>
      </c>
      <c r="J702" s="2"/>
      <c r="K702" s="2"/>
      <c r="L702" s="2"/>
      <c r="M702" s="2"/>
      <c r="N702" s="2" t="s">
        <v>13540</v>
      </c>
      <c r="O702" s="2" t="s">
        <v>13541</v>
      </c>
      <c r="P702" s="2" t="s">
        <v>13542</v>
      </c>
      <c r="Q702" s="2" t="s">
        <v>13543</v>
      </c>
      <c r="R702" s="2" t="s">
        <v>2509</v>
      </c>
      <c r="S702" s="2" t="s">
        <v>5520</v>
      </c>
      <c r="T702" s="2" t="s">
        <v>5664</v>
      </c>
      <c r="U702" s="2" t="s">
        <v>5489</v>
      </c>
      <c r="V702" s="2" t="s">
        <v>110</v>
      </c>
      <c r="W702" s="2"/>
    </row>
    <row r="703">
      <c r="A703" s="2" t="n">
        <v>484</v>
      </c>
      <c r="B703" s="2" t="s">
        <v>13544</v>
      </c>
      <c r="C703" s="2" t="s">
        <v>5488</v>
      </c>
      <c r="D703" s="2" t="n">
        <v>433.114020924</v>
      </c>
      <c r="E703" s="2" t="n">
        <v>0.869801352128343</v>
      </c>
      <c r="F703" s="2" t="s">
        <v>13545</v>
      </c>
      <c r="G703" s="2" t="n">
        <v>61032</v>
      </c>
      <c r="H703" s="3" t="str">
        <f>HYPERLINK("http://funmeta.oebiotech.com/network/61032", "http://funmeta.oebiotech.com/network/61032")</f>
      </c>
      <c r="I703" s="2" t="s">
        <v>13546</v>
      </c>
      <c r="J703" s="2"/>
      <c r="K703" s="2"/>
      <c r="L703" s="2"/>
      <c r="M703" s="2"/>
      <c r="N703" s="2" t="s">
        <v>13547</v>
      </c>
      <c r="O703" s="2" t="s">
        <v>13548</v>
      </c>
      <c r="P703" s="2" t="s">
        <v>13549</v>
      </c>
      <c r="Q703" s="2" t="s">
        <v>13550</v>
      </c>
      <c r="R703" s="2" t="s">
        <v>2509</v>
      </c>
      <c r="S703" s="2" t="s">
        <v>5520</v>
      </c>
      <c r="T703" s="2" t="s">
        <v>5664</v>
      </c>
      <c r="U703" s="2" t="s">
        <v>5489</v>
      </c>
      <c r="V703" s="2" t="s">
        <v>110</v>
      </c>
      <c r="W703" s="2"/>
    </row>
    <row r="704">
      <c r="A704" s="2" t="n">
        <v>485</v>
      </c>
      <c r="B704" s="2" t="s">
        <v>13551</v>
      </c>
      <c r="C704" s="2" t="s">
        <v>5501</v>
      </c>
      <c r="D704" s="2" t="n">
        <v>433.235748234</v>
      </c>
      <c r="E704" s="2" t="n">
        <v>9.97982206636549</v>
      </c>
      <c r="F704" s="2" t="s">
        <v>5503</v>
      </c>
      <c r="G704" s="2" t="n">
        <v>52468</v>
      </c>
      <c r="H704" s="3" t="str">
        <f>HYPERLINK("http://funmeta.oebiotech.com/network/52468", "http://funmeta.oebiotech.com/network/52468")</f>
      </c>
      <c r="I704" s="2" t="s">
        <v>5505</v>
      </c>
      <c r="J704" s="2" t="s">
        <v>5506</v>
      </c>
      <c r="K704" s="2"/>
      <c r="L704" s="2"/>
      <c r="M704" s="2" t="s">
        <v>5507</v>
      </c>
      <c r="N704" s="2" t="s">
        <v>5508</v>
      </c>
      <c r="O704" s="2"/>
      <c r="P704" s="2" t="s">
        <v>5509</v>
      </c>
      <c r="Q704" s="2" t="s">
        <v>5510</v>
      </c>
      <c r="R704" s="2" t="s">
        <v>355</v>
      </c>
      <c r="S704" s="2" t="s">
        <v>356</v>
      </c>
      <c r="T704" s="2" t="s">
        <v>5282</v>
      </c>
      <c r="U704" s="2" t="s">
        <v>5502</v>
      </c>
      <c r="V704" s="2" t="s">
        <v>1019</v>
      </c>
      <c r="W704" s="2"/>
    </row>
    <row r="705">
      <c r="A705" s="2" t="n">
        <v>486</v>
      </c>
      <c r="B705" s="2" t="s">
        <v>13552</v>
      </c>
      <c r="C705" s="2" t="s">
        <v>5511</v>
      </c>
      <c r="D705" s="2" t="n">
        <v>435.085219355</v>
      </c>
      <c r="E705" s="2" t="n">
        <v>6.75340505286236</v>
      </c>
      <c r="F705" s="2" t="s">
        <v>5513</v>
      </c>
      <c r="G705" s="2" t="n">
        <v>56942</v>
      </c>
      <c r="H705" s="3" t="str">
        <f>HYPERLINK("http://funmeta.oebiotech.com/network/56942", "http://funmeta.oebiotech.com/network/56942")</f>
      </c>
      <c r="I705" s="2" t="s">
        <v>5515</v>
      </c>
      <c r="J705" s="2" t="s">
        <v>5516</v>
      </c>
      <c r="K705" s="2"/>
      <c r="L705" s="2"/>
      <c r="M705" s="2"/>
      <c r="N705" s="2" t="s">
        <v>5517</v>
      </c>
      <c r="O705" s="2"/>
      <c r="P705" s="2" t="s">
        <v>5518</v>
      </c>
      <c r="Q705" s="2" t="s">
        <v>5519</v>
      </c>
      <c r="R705" s="2" t="s">
        <v>2509</v>
      </c>
      <c r="S705" s="2" t="s">
        <v>5520</v>
      </c>
      <c r="T705" s="2" t="s">
        <v>5521</v>
      </c>
      <c r="U705" s="2" t="s">
        <v>5512</v>
      </c>
      <c r="V705" s="2" t="s">
        <v>110</v>
      </c>
      <c r="W705" s="2"/>
    </row>
    <row r="706">
      <c r="A706" s="2" t="n">
        <v>487</v>
      </c>
      <c r="B706" s="2" t="s">
        <v>13553</v>
      </c>
      <c r="C706" s="2" t="s">
        <v>5522</v>
      </c>
      <c r="D706" s="2" t="n">
        <v>435.240160602</v>
      </c>
      <c r="E706" s="2" t="n">
        <v>6.04601531243915</v>
      </c>
      <c r="F706" s="2" t="s">
        <v>5524</v>
      </c>
      <c r="G706" s="2" t="n">
        <v>207886</v>
      </c>
      <c r="H706" s="3" t="str">
        <f>HYPERLINK("http://funmeta.oebiotech.com/network/207886", "http://funmeta.oebiotech.com/network/207886")</f>
      </c>
      <c r="I706" s="2" t="s">
        <v>5526</v>
      </c>
      <c r="J706" s="2"/>
      <c r="K706" s="2"/>
      <c r="L706" s="2"/>
      <c r="M706" s="2"/>
      <c r="N706" s="2" t="s">
        <v>5527</v>
      </c>
      <c r="O706" s="2"/>
      <c r="P706" s="2" t="s">
        <v>5528</v>
      </c>
      <c r="Q706" s="2" t="s">
        <v>5529</v>
      </c>
      <c r="R706" s="2" t="s">
        <v>355</v>
      </c>
      <c r="S706" s="2" t="s">
        <v>356</v>
      </c>
      <c r="T706" s="2" t="s">
        <v>5282</v>
      </c>
      <c r="U706" s="2" t="s">
        <v>5523</v>
      </c>
      <c r="V706" s="2" t="s">
        <v>24</v>
      </c>
      <c r="W706" s="2"/>
    </row>
    <row r="707">
      <c r="A707" s="2" t="n">
        <v>488</v>
      </c>
      <c r="B707" s="2" t="s">
        <v>13554</v>
      </c>
      <c r="C707" s="2" t="s">
        <v>5530</v>
      </c>
      <c r="D707" s="2" t="n">
        <v>436.97389352</v>
      </c>
      <c r="E707" s="2" t="n">
        <v>2.44617243607155</v>
      </c>
      <c r="F707" s="2" t="s">
        <v>5532</v>
      </c>
      <c r="G707" s="2" t="n">
        <v>210764</v>
      </c>
      <c r="H707" s="3" t="str">
        <f>HYPERLINK("http://funmeta.oebiotech.com/network/210764", "http://funmeta.oebiotech.com/network/210764")</f>
      </c>
      <c r="I707" s="2" t="s">
        <v>5534</v>
      </c>
      <c r="J707" s="2"/>
      <c r="K707" s="2"/>
      <c r="L707" s="2"/>
      <c r="M707" s="2"/>
      <c r="N707" s="2"/>
      <c r="O707" s="2"/>
      <c r="P707" s="2" t="s">
        <v>5535</v>
      </c>
      <c r="Q707" s="2" t="s">
        <v>5536</v>
      </c>
      <c r="R707" s="2" t="s">
        <v>355</v>
      </c>
      <c r="S707" s="2" t="s">
        <v>5537</v>
      </c>
      <c r="T707" s="2" t="s">
        <v>5538</v>
      </c>
      <c r="U707" s="2" t="s">
        <v>5531</v>
      </c>
      <c r="V707" s="2" t="s">
        <v>250</v>
      </c>
      <c r="W707" s="2"/>
    </row>
    <row r="708">
      <c r="A708" s="2" t="n">
        <v>489</v>
      </c>
      <c r="B708" s="2" t="s">
        <v>13555</v>
      </c>
      <c r="C708" s="2" t="s">
        <v>5539</v>
      </c>
      <c r="D708" s="2" t="n">
        <v>438.243302991</v>
      </c>
      <c r="E708" s="2" t="n">
        <v>2.5611925807677</v>
      </c>
      <c r="F708" s="2" t="s">
        <v>5541</v>
      </c>
      <c r="G708" s="2" t="n">
        <v>204686</v>
      </c>
      <c r="H708" s="3" t="str">
        <f>HYPERLINK("http://funmeta.oebiotech.com/network/204686", "http://funmeta.oebiotech.com/network/204686")</f>
      </c>
      <c r="I708" s="2" t="s">
        <v>5543</v>
      </c>
      <c r="J708" s="2" t="s">
        <v>5544</v>
      </c>
      <c r="K708" s="2"/>
      <c r="L708" s="2"/>
      <c r="M708" s="2"/>
      <c r="N708" s="2" t="s">
        <v>5545</v>
      </c>
      <c r="O708" s="2"/>
      <c r="P708" s="2" t="s">
        <v>5546</v>
      </c>
      <c r="Q708" s="2" t="s">
        <v>5547</v>
      </c>
      <c r="R708" s="2" t="s">
        <v>2509</v>
      </c>
      <c r="S708" s="2" t="s">
        <v>4720</v>
      </c>
      <c r="T708" s="2" t="s">
        <v>5548</v>
      </c>
      <c r="U708" s="2" t="s">
        <v>5540</v>
      </c>
      <c r="V708" s="2" t="s">
        <v>42</v>
      </c>
      <c r="W708" s="2"/>
    </row>
    <row r="709">
      <c r="A709" s="2" t="n">
        <v>490</v>
      </c>
      <c r="B709" s="2" t="s">
        <v>13556</v>
      </c>
      <c r="C709" s="2" t="s">
        <v>5549</v>
      </c>
      <c r="D709" s="2" t="n">
        <v>439.0832399</v>
      </c>
      <c r="E709" s="2" t="n">
        <v>3.41105502842792</v>
      </c>
      <c r="F709" s="2" t="s">
        <v>5551</v>
      </c>
      <c r="G709" s="2" t="n">
        <v>210848</v>
      </c>
      <c r="H709" s="3" t="str">
        <f>HYPERLINK("http://funmeta.oebiotech.com/network/210848", "http://funmeta.oebiotech.com/network/210848")</f>
      </c>
      <c r="I709" s="2" t="s">
        <v>5553</v>
      </c>
      <c r="J709" s="2"/>
      <c r="K709" s="2"/>
      <c r="L709" s="2"/>
      <c r="M709" s="2"/>
      <c r="N709" s="2" t="s">
        <v>5554</v>
      </c>
      <c r="O709" s="2"/>
      <c r="P709" s="2" t="s">
        <v>5555</v>
      </c>
      <c r="Q709" s="2" t="s">
        <v>5556</v>
      </c>
      <c r="R709" s="2" t="s">
        <v>502</v>
      </c>
      <c r="S709" s="2" t="s">
        <v>503</v>
      </c>
      <c r="T709" s="2" t="s">
        <v>5144</v>
      </c>
      <c r="U709" s="2" t="s">
        <v>5550</v>
      </c>
      <c r="V709" s="2" t="s">
        <v>250</v>
      </c>
      <c r="W709" s="2"/>
    </row>
    <row r="710">
      <c r="A710" s="2" t="n">
        <v>491</v>
      </c>
      <c r="B710" s="2" t="s">
        <v>13557</v>
      </c>
      <c r="C710" s="2" t="s">
        <v>5557</v>
      </c>
      <c r="D710" s="2" t="n">
        <v>442.962523686</v>
      </c>
      <c r="E710" s="2" t="n">
        <v>2.49376813639103</v>
      </c>
      <c r="F710" s="2" t="s">
        <v>5559</v>
      </c>
      <c r="G710" s="2" t="n">
        <v>81935</v>
      </c>
      <c r="H710" s="3" t="str">
        <f>HYPERLINK("http://funmeta.oebiotech.com/network/81935", "http://funmeta.oebiotech.com/network/81935")</f>
      </c>
      <c r="I710" s="2" t="s">
        <v>5561</v>
      </c>
      <c r="J710" s="2"/>
      <c r="K710" s="2"/>
      <c r="L710" s="2"/>
      <c r="M710" s="2" t="s">
        <v>5562</v>
      </c>
      <c r="N710" s="2" t="s">
        <v>5563</v>
      </c>
      <c r="O710" s="2"/>
      <c r="P710" s="2" t="s">
        <v>5564</v>
      </c>
      <c r="Q710" s="2" t="s">
        <v>5565</v>
      </c>
      <c r="R710" s="2" t="s">
        <v>355</v>
      </c>
      <c r="S710" s="2" t="s">
        <v>2424</v>
      </c>
      <c r="T710" s="2" t="s">
        <v>5566</v>
      </c>
      <c r="U710" s="2" t="s">
        <v>5558</v>
      </c>
      <c r="V710" s="2" t="s">
        <v>360</v>
      </c>
      <c r="W710" s="2"/>
    </row>
    <row r="711">
      <c r="A711" s="2" t="n">
        <v>492</v>
      </c>
      <c r="B711" s="2" t="s">
        <v>13558</v>
      </c>
      <c r="C711" s="2" t="s">
        <v>5567</v>
      </c>
      <c r="D711" s="2" t="n">
        <v>443.256976388</v>
      </c>
      <c r="E711" s="2" t="n">
        <v>7.85455497696623</v>
      </c>
      <c r="F711" s="2" t="s">
        <v>13559</v>
      </c>
      <c r="G711" s="2" t="n">
        <v>45929</v>
      </c>
      <c r="H711" s="3" t="str">
        <f>HYPERLINK("http://funmeta.oebiotech.com/network/45929", "http://funmeta.oebiotech.com/network/45929")</f>
      </c>
      <c r="I711" s="2" t="s">
        <v>13560</v>
      </c>
      <c r="J711" s="2" t="s">
        <v>13561</v>
      </c>
      <c r="K711" s="2" t="s">
        <v>13562</v>
      </c>
      <c r="L711" s="2" t="s">
        <v>13563</v>
      </c>
      <c r="M711" s="2" t="s">
        <v>13564</v>
      </c>
      <c r="N711" s="2" t="s">
        <v>13565</v>
      </c>
      <c r="O711" s="2" t="s">
        <v>13566</v>
      </c>
      <c r="P711" s="2" t="s">
        <v>13567</v>
      </c>
      <c r="Q711" s="2" t="s">
        <v>13568</v>
      </c>
      <c r="R711" s="2" t="s">
        <v>1490</v>
      </c>
      <c r="S711" s="2" t="s">
        <v>3546</v>
      </c>
      <c r="T711" s="2" t="s">
        <v>9677</v>
      </c>
      <c r="U711" s="2" t="s">
        <v>5568</v>
      </c>
      <c r="V711" s="2" t="s">
        <v>522</v>
      </c>
      <c r="W711" s="2" t="s">
        <v>39</v>
      </c>
    </row>
    <row r="712">
      <c r="A712" s="2" t="n">
        <v>492</v>
      </c>
      <c r="B712" s="2" t="s">
        <v>13569</v>
      </c>
      <c r="C712" s="2" t="s">
        <v>5567</v>
      </c>
      <c r="D712" s="2" t="n">
        <v>443.25697639</v>
      </c>
      <c r="E712" s="2" t="n">
        <v>7.85455497696623</v>
      </c>
      <c r="F712" s="2" t="s">
        <v>13570</v>
      </c>
      <c r="G712" s="2" t="n">
        <v>45864</v>
      </c>
      <c r="H712" s="3" t="str">
        <f>HYPERLINK("http://funmeta.oebiotech.com/network/45864", "http://funmeta.oebiotech.com/network/45864")</f>
      </c>
      <c r="I712" s="2" t="s">
        <v>13571</v>
      </c>
      <c r="J712" s="2" t="s">
        <v>13572</v>
      </c>
      <c r="K712" s="2" t="s">
        <v>13573</v>
      </c>
      <c r="L712" s="2" t="s">
        <v>13574</v>
      </c>
      <c r="M712" s="2" t="s">
        <v>13575</v>
      </c>
      <c r="N712" s="2" t="s">
        <v>13576</v>
      </c>
      <c r="O712" s="2" t="s">
        <v>13577</v>
      </c>
      <c r="P712" s="2" t="s">
        <v>13578</v>
      </c>
      <c r="Q712" s="2" t="s">
        <v>13579</v>
      </c>
      <c r="R712" s="2" t="s">
        <v>1490</v>
      </c>
      <c r="S712" s="2" t="s">
        <v>3546</v>
      </c>
      <c r="T712" s="2" t="s">
        <v>9677</v>
      </c>
      <c r="U712" s="2" t="s">
        <v>5568</v>
      </c>
      <c r="V712" s="2" t="s">
        <v>522</v>
      </c>
      <c r="W712" s="2" t="s">
        <v>39</v>
      </c>
    </row>
    <row r="713">
      <c r="A713" s="2" t="n">
        <v>492</v>
      </c>
      <c r="B713" s="2" t="s">
        <v>13580</v>
      </c>
      <c r="C713" s="2" t="s">
        <v>5567</v>
      </c>
      <c r="D713" s="2" t="n">
        <v>443.25697639</v>
      </c>
      <c r="E713" s="2" t="n">
        <v>7.85455497696623</v>
      </c>
      <c r="F713" s="2" t="s">
        <v>13581</v>
      </c>
      <c r="G713" s="2" t="n">
        <v>45928</v>
      </c>
      <c r="H713" s="3" t="str">
        <f>HYPERLINK("http://funmeta.oebiotech.com/network/45928", "http://funmeta.oebiotech.com/network/45928")</f>
      </c>
      <c r="I713" s="2" t="s">
        <v>13582</v>
      </c>
      <c r="J713" s="2" t="s">
        <v>13583</v>
      </c>
      <c r="K713" s="2" t="s">
        <v>13584</v>
      </c>
      <c r="L713" s="2" t="s">
        <v>13585</v>
      </c>
      <c r="M713" s="2" t="s">
        <v>13586</v>
      </c>
      <c r="N713" s="2" t="s">
        <v>13587</v>
      </c>
      <c r="O713" s="2" t="s">
        <v>13588</v>
      </c>
      <c r="P713" s="2" t="s">
        <v>13589</v>
      </c>
      <c r="Q713" s="2" t="s">
        <v>13590</v>
      </c>
      <c r="R713" s="2" t="s">
        <v>1490</v>
      </c>
      <c r="S713" s="2" t="s">
        <v>3546</v>
      </c>
      <c r="T713" s="2" t="s">
        <v>9677</v>
      </c>
      <c r="U713" s="2" t="s">
        <v>5568</v>
      </c>
      <c r="V713" s="2" t="s">
        <v>522</v>
      </c>
      <c r="W713" s="2" t="s">
        <v>39</v>
      </c>
    </row>
    <row r="714">
      <c r="A714" s="2" t="n">
        <v>493</v>
      </c>
      <c r="B714" s="2" t="s">
        <v>13591</v>
      </c>
      <c r="C714" s="2" t="s">
        <v>5582</v>
      </c>
      <c r="D714" s="2" t="n">
        <v>445.223177442</v>
      </c>
      <c r="E714" s="2" t="n">
        <v>2.80728502598089</v>
      </c>
      <c r="F714" s="2" t="s">
        <v>5584</v>
      </c>
      <c r="G714" s="2" t="n">
        <v>60686</v>
      </c>
      <c r="H714" s="3" t="str">
        <f>HYPERLINK("http://funmeta.oebiotech.com/network/60686", "http://funmeta.oebiotech.com/network/60686")</f>
      </c>
      <c r="I714" s="2" t="s">
        <v>5586</v>
      </c>
      <c r="J714" s="2"/>
      <c r="K714" s="2"/>
      <c r="L714" s="2" t="s">
        <v>5587</v>
      </c>
      <c r="M714" s="2"/>
      <c r="N714" s="2" t="s">
        <v>5588</v>
      </c>
      <c r="O714" s="2" t="s">
        <v>5589</v>
      </c>
      <c r="P714" s="2" t="s">
        <v>5590</v>
      </c>
      <c r="Q714" s="2" t="s">
        <v>5591</v>
      </c>
      <c r="R714" s="2" t="s">
        <v>1490</v>
      </c>
      <c r="S714" s="2" t="s">
        <v>1491</v>
      </c>
      <c r="T714" s="2" t="s">
        <v>1492</v>
      </c>
      <c r="U714" s="2" t="s">
        <v>5583</v>
      </c>
      <c r="V714" s="2" t="s">
        <v>110</v>
      </c>
      <c r="W714" s="2" t="s">
        <v>39</v>
      </c>
    </row>
    <row r="715">
      <c r="A715" s="2" t="n">
        <v>494</v>
      </c>
      <c r="B715" s="2" t="s">
        <v>13592</v>
      </c>
      <c r="C715" s="2" t="s">
        <v>5592</v>
      </c>
      <c r="D715" s="2" t="n">
        <v>446.019463192</v>
      </c>
      <c r="E715" s="2" t="n">
        <v>8.94518447006941</v>
      </c>
      <c r="F715" s="2" t="s">
        <v>5594</v>
      </c>
      <c r="G715" s="2" t="n">
        <v>82456</v>
      </c>
      <c r="H715" s="3" t="str">
        <f>HYPERLINK("http://funmeta.oebiotech.com/network/82456", "http://funmeta.oebiotech.com/network/82456")</f>
      </c>
      <c r="I715" s="2" t="s">
        <v>5596</v>
      </c>
      <c r="J715" s="2"/>
      <c r="K715" s="2"/>
      <c r="L715" s="2"/>
      <c r="M715" s="2"/>
      <c r="N715" s="2" t="s">
        <v>5597</v>
      </c>
      <c r="O715" s="2" t="s">
        <v>5598</v>
      </c>
      <c r="P715" s="2" t="s">
        <v>5599</v>
      </c>
      <c r="Q715" s="2" t="s">
        <v>5600</v>
      </c>
      <c r="R715" s="2" t="s">
        <v>355</v>
      </c>
      <c r="S715" s="2" t="s">
        <v>356</v>
      </c>
      <c r="T715" s="2" t="s">
        <v>5282</v>
      </c>
      <c r="U715" s="2" t="s">
        <v>5593</v>
      </c>
      <c r="V715" s="2" t="s">
        <v>522</v>
      </c>
      <c r="W715" s="2"/>
    </row>
    <row r="716">
      <c r="A716" s="2" t="n">
        <v>495</v>
      </c>
      <c r="B716" s="2" t="s">
        <v>13593</v>
      </c>
      <c r="C716" s="2" t="s">
        <v>5601</v>
      </c>
      <c r="D716" s="2" t="n">
        <v>446.140756537</v>
      </c>
      <c r="E716" s="2" t="n">
        <v>2.61460910609582</v>
      </c>
      <c r="F716" s="2" t="s">
        <v>5603</v>
      </c>
      <c r="G716" s="2" t="n">
        <v>48473</v>
      </c>
      <c r="H716" s="3" t="str">
        <f>HYPERLINK("http://funmeta.oebiotech.com/network/48473", "http://funmeta.oebiotech.com/network/48473")</f>
      </c>
      <c r="I716" s="2" t="s">
        <v>5605</v>
      </c>
      <c r="J716" s="2" t="s">
        <v>5606</v>
      </c>
      <c r="K716" s="2"/>
      <c r="L716" s="2" t="s">
        <v>5607</v>
      </c>
      <c r="M716" s="2" t="s">
        <v>5608</v>
      </c>
      <c r="N716" s="2" t="s">
        <v>5609</v>
      </c>
      <c r="O716" s="2" t="s">
        <v>5610</v>
      </c>
      <c r="P716" s="2" t="s">
        <v>5611</v>
      </c>
      <c r="Q716" s="2" t="s">
        <v>5612</v>
      </c>
      <c r="R716" s="2" t="s">
        <v>355</v>
      </c>
      <c r="S716" s="2" t="s">
        <v>5131</v>
      </c>
      <c r="T716" s="2" t="s">
        <v>5132</v>
      </c>
      <c r="U716" s="2" t="s">
        <v>5602</v>
      </c>
      <c r="V716" s="2" t="s">
        <v>110</v>
      </c>
      <c r="W716" s="2" t="s">
        <v>39</v>
      </c>
    </row>
    <row r="717">
      <c r="A717" s="2" t="n">
        <v>496</v>
      </c>
      <c r="B717" s="2" t="s">
        <v>13594</v>
      </c>
      <c r="C717" s="2" t="s">
        <v>5613</v>
      </c>
      <c r="D717" s="2" t="n">
        <v>447.033153</v>
      </c>
      <c r="E717" s="2" t="n">
        <v>4.96665980796739</v>
      </c>
      <c r="F717" s="2" t="s">
        <v>13595</v>
      </c>
      <c r="G717" s="2" t="n">
        <v>201237</v>
      </c>
      <c r="H717" s="3" t="str">
        <f>HYPERLINK("http://funmeta.oebiotech.com/network/201237", "http://funmeta.oebiotech.com/network/201237")</f>
      </c>
      <c r="I717" s="2" t="s">
        <v>13596</v>
      </c>
      <c r="J717" s="2"/>
      <c r="K717" s="2"/>
      <c r="L717" s="2"/>
      <c r="M717" s="2"/>
      <c r="N717" s="2" t="s">
        <v>13597</v>
      </c>
      <c r="O717" s="2"/>
      <c r="P717" s="2" t="s">
        <v>13598</v>
      </c>
      <c r="Q717" s="2" t="s">
        <v>13599</v>
      </c>
      <c r="R717" s="2" t="s">
        <v>502</v>
      </c>
      <c r="S717" s="2" t="s">
        <v>503</v>
      </c>
      <c r="T717" s="2" t="s">
        <v>2174</v>
      </c>
      <c r="U717" s="2" t="s">
        <v>5614</v>
      </c>
      <c r="V717" s="2" t="s">
        <v>24</v>
      </c>
      <c r="W717" s="2"/>
    </row>
    <row r="718">
      <c r="A718" s="2" t="n">
        <v>496</v>
      </c>
      <c r="B718" s="2" t="s">
        <v>13600</v>
      </c>
      <c r="C718" s="2" t="s">
        <v>5613</v>
      </c>
      <c r="D718" s="2" t="n">
        <v>447.033153148</v>
      </c>
      <c r="E718" s="2" t="n">
        <v>4.96665980796739</v>
      </c>
      <c r="F718" s="2" t="s">
        <v>13601</v>
      </c>
      <c r="G718" s="2" t="n">
        <v>211008</v>
      </c>
      <c r="H718" s="3" t="str">
        <f>HYPERLINK("http://funmeta.oebiotech.com/network/211008", "http://funmeta.oebiotech.com/network/211008")</f>
      </c>
      <c r="I718" s="2" t="s">
        <v>13602</v>
      </c>
      <c r="J718" s="2"/>
      <c r="K718" s="2"/>
      <c r="L718" s="2"/>
      <c r="M718" s="2" t="s">
        <v>13603</v>
      </c>
      <c r="N718" s="2"/>
      <c r="O718" s="2"/>
      <c r="P718" s="2" t="s">
        <v>13604</v>
      </c>
      <c r="Q718" s="2" t="s">
        <v>13605</v>
      </c>
      <c r="R718" s="2" t="s">
        <v>502</v>
      </c>
      <c r="S718" s="2" t="s">
        <v>503</v>
      </c>
      <c r="T718" s="2" t="s">
        <v>2174</v>
      </c>
      <c r="U718" s="2" t="s">
        <v>5614</v>
      </c>
      <c r="V718" s="2" t="s">
        <v>24</v>
      </c>
      <c r="W718" s="2"/>
    </row>
    <row r="719">
      <c r="A719" s="2" t="n">
        <v>497</v>
      </c>
      <c r="B719" s="2" t="s">
        <v>13606</v>
      </c>
      <c r="C719" s="2" t="s">
        <v>5622</v>
      </c>
      <c r="D719" s="2" t="n">
        <v>447.250847979</v>
      </c>
      <c r="E719" s="2" t="n">
        <v>1.69700770296965</v>
      </c>
      <c r="F719" s="2" t="s">
        <v>13607</v>
      </c>
      <c r="G719" s="2" t="n">
        <v>209008</v>
      </c>
      <c r="H719" s="3" t="str">
        <f>HYPERLINK("http://funmeta.oebiotech.com/network/209008", "http://funmeta.oebiotech.com/network/209008")</f>
      </c>
      <c r="I719" s="2" t="s">
        <v>13608</v>
      </c>
      <c r="J719" s="2"/>
      <c r="K719" s="2"/>
      <c r="L719" s="2"/>
      <c r="M719" s="2"/>
      <c r="N719" s="2" t="s">
        <v>13609</v>
      </c>
      <c r="O719" s="2"/>
      <c r="P719" s="2" t="s">
        <v>13610</v>
      </c>
      <c r="Q719" s="2" t="s">
        <v>13611</v>
      </c>
      <c r="R719" s="2" t="s">
        <v>502</v>
      </c>
      <c r="S719" s="2" t="s">
        <v>503</v>
      </c>
      <c r="T719" s="2" t="s">
        <v>8423</v>
      </c>
      <c r="U719" s="2" t="s">
        <v>5623</v>
      </c>
      <c r="V719" s="2" t="s">
        <v>42</v>
      </c>
      <c r="W719" s="2"/>
    </row>
    <row r="720">
      <c r="A720" s="2" t="n">
        <v>497</v>
      </c>
      <c r="B720" s="2" t="s">
        <v>13612</v>
      </c>
      <c r="C720" s="2" t="s">
        <v>5622</v>
      </c>
      <c r="D720" s="2" t="n">
        <v>447.250847979</v>
      </c>
      <c r="E720" s="2" t="n">
        <v>1.69700770296965</v>
      </c>
      <c r="F720" s="2" t="s">
        <v>13613</v>
      </c>
      <c r="G720" s="2" t="n">
        <v>203089</v>
      </c>
      <c r="H720" s="3" t="str">
        <f>HYPERLINK("http://funmeta.oebiotech.com/network/203089", "http://funmeta.oebiotech.com/network/203089")</f>
      </c>
      <c r="I720" s="2" t="s">
        <v>13614</v>
      </c>
      <c r="J720" s="2"/>
      <c r="K720" s="2"/>
      <c r="L720" s="2"/>
      <c r="M720" s="2"/>
      <c r="N720" s="2" t="s">
        <v>13615</v>
      </c>
      <c r="O720" s="2"/>
      <c r="P720" s="2" t="s">
        <v>13616</v>
      </c>
      <c r="Q720" s="2" t="s">
        <v>13617</v>
      </c>
      <c r="R720" s="2" t="s">
        <v>64</v>
      </c>
      <c r="S720" s="2" t="s">
        <v>65</v>
      </c>
      <c r="T720" s="2" t="s">
        <v>91</v>
      </c>
      <c r="U720" s="2" t="s">
        <v>5623</v>
      </c>
      <c r="V720" s="2" t="s">
        <v>42</v>
      </c>
      <c r="W720" s="2"/>
    </row>
    <row r="721">
      <c r="A721" s="2" t="n">
        <v>498</v>
      </c>
      <c r="B721" s="2" t="s">
        <v>13618</v>
      </c>
      <c r="C721" s="2" t="s">
        <v>5633</v>
      </c>
      <c r="D721" s="2" t="n">
        <v>448.025458293</v>
      </c>
      <c r="E721" s="2" t="n">
        <v>5.74148516388691</v>
      </c>
      <c r="F721" s="2" t="s">
        <v>5635</v>
      </c>
      <c r="G721" s="2" t="n">
        <v>53497</v>
      </c>
      <c r="H721" s="3" t="str">
        <f>HYPERLINK("http://funmeta.oebiotech.com/network/53497", "http://funmeta.oebiotech.com/network/53497")</f>
      </c>
      <c r="I721" s="2" t="s">
        <v>5637</v>
      </c>
      <c r="J721" s="2" t="s">
        <v>5638</v>
      </c>
      <c r="K721" s="2"/>
      <c r="L721" s="2" t="s">
        <v>5639</v>
      </c>
      <c r="M721" s="2" t="s">
        <v>5640</v>
      </c>
      <c r="N721" s="2" t="s">
        <v>5641</v>
      </c>
      <c r="O721" s="2" t="s">
        <v>5642</v>
      </c>
      <c r="P721" s="2" t="s">
        <v>5643</v>
      </c>
      <c r="Q721" s="2" t="s">
        <v>5644</v>
      </c>
      <c r="R721" s="2" t="s">
        <v>355</v>
      </c>
      <c r="S721" s="2" t="s">
        <v>4796</v>
      </c>
      <c r="T721" s="2" t="s">
        <v>4797</v>
      </c>
      <c r="U721" s="2" t="s">
        <v>5634</v>
      </c>
      <c r="V721" s="2" t="s">
        <v>360</v>
      </c>
      <c r="W721" s="2" t="s">
        <v>39</v>
      </c>
    </row>
    <row r="722">
      <c r="A722" s="2" t="n">
        <v>499</v>
      </c>
      <c r="B722" s="2" t="s">
        <v>13619</v>
      </c>
      <c r="C722" s="2" t="s">
        <v>5645</v>
      </c>
      <c r="D722" s="2" t="n">
        <v>449.017891268</v>
      </c>
      <c r="E722" s="2" t="n">
        <v>8.48112259705611</v>
      </c>
      <c r="F722" s="2" t="s">
        <v>5647</v>
      </c>
      <c r="G722" s="2" t="n">
        <v>210575</v>
      </c>
      <c r="H722" s="3" t="str">
        <f>HYPERLINK("http://funmeta.oebiotech.com/network/210575", "http://funmeta.oebiotech.com/network/210575")</f>
      </c>
      <c r="I722" s="2" t="s">
        <v>5649</v>
      </c>
      <c r="J722" s="2"/>
      <c r="K722" s="2"/>
      <c r="L722" s="2"/>
      <c r="M722" s="2"/>
      <c r="N722" s="2"/>
      <c r="O722" s="2"/>
      <c r="P722" s="2" t="s">
        <v>5650</v>
      </c>
      <c r="Q722" s="2" t="s">
        <v>5651</v>
      </c>
      <c r="R722" s="2" t="s">
        <v>36</v>
      </c>
      <c r="S722" s="2" t="s">
        <v>37</v>
      </c>
      <c r="T722" s="2" t="s">
        <v>3071</v>
      </c>
      <c r="U722" s="2" t="s">
        <v>5646</v>
      </c>
      <c r="V722" s="2" t="s">
        <v>42</v>
      </c>
      <c r="W722" s="2"/>
    </row>
    <row r="723">
      <c r="A723" s="2" t="n">
        <v>500</v>
      </c>
      <c r="B723" s="2" t="s">
        <v>13620</v>
      </c>
      <c r="C723" s="2" t="s">
        <v>5652</v>
      </c>
      <c r="D723" s="2" t="n">
        <v>449.108935546</v>
      </c>
      <c r="E723" s="2" t="n">
        <v>4.69557867861081</v>
      </c>
      <c r="F723" s="2" t="s">
        <v>5654</v>
      </c>
      <c r="G723" s="2" t="n">
        <v>58017</v>
      </c>
      <c r="H723" s="3" t="str">
        <f>HYPERLINK("http://funmeta.oebiotech.com/network/58017", "http://funmeta.oebiotech.com/network/58017")</f>
      </c>
      <c r="I723" s="2" t="s">
        <v>5656</v>
      </c>
      <c r="J723" s="2" t="s">
        <v>5657</v>
      </c>
      <c r="K723" s="2"/>
      <c r="L723" s="2" t="s">
        <v>5658</v>
      </c>
      <c r="M723" s="2" t="s">
        <v>5659</v>
      </c>
      <c r="N723" s="2" t="s">
        <v>5660</v>
      </c>
      <c r="O723" s="2" t="s">
        <v>5661</v>
      </c>
      <c r="P723" s="2" t="s">
        <v>5662</v>
      </c>
      <c r="Q723" s="2" t="s">
        <v>5663</v>
      </c>
      <c r="R723" s="2" t="s">
        <v>2509</v>
      </c>
      <c r="S723" s="2" t="s">
        <v>5520</v>
      </c>
      <c r="T723" s="2" t="s">
        <v>5664</v>
      </c>
      <c r="U723" s="2" t="s">
        <v>5653</v>
      </c>
      <c r="V723" s="2" t="s">
        <v>110</v>
      </c>
      <c r="W723" s="2" t="s">
        <v>39</v>
      </c>
    </row>
    <row r="724">
      <c r="A724" s="2" t="n">
        <v>501</v>
      </c>
      <c r="B724" s="2" t="s">
        <v>13621</v>
      </c>
      <c r="C724" s="2" t="s">
        <v>5665</v>
      </c>
      <c r="D724" s="2" t="n">
        <v>449.21808775</v>
      </c>
      <c r="E724" s="2" t="n">
        <v>1.83403548423915</v>
      </c>
      <c r="F724" s="2" t="s">
        <v>13622</v>
      </c>
      <c r="G724" s="2" t="n">
        <v>199882</v>
      </c>
      <c r="H724" s="3" t="str">
        <f>HYPERLINK("http://funmeta.oebiotech.com/network/199882", "http://funmeta.oebiotech.com/network/199882")</f>
      </c>
      <c r="I724" s="2" t="s">
        <v>13623</v>
      </c>
      <c r="J724" s="2"/>
      <c r="K724" s="2"/>
      <c r="L724" s="2"/>
      <c r="M724" s="2"/>
      <c r="N724" s="2" t="s">
        <v>13624</v>
      </c>
      <c r="O724" s="2"/>
      <c r="P724" s="2" t="s">
        <v>13625</v>
      </c>
      <c r="Q724" s="2" t="s">
        <v>13626</v>
      </c>
      <c r="R724" s="2" t="s">
        <v>1490</v>
      </c>
      <c r="S724" s="2" t="s">
        <v>3546</v>
      </c>
      <c r="T724" s="2" t="s">
        <v>7375</v>
      </c>
      <c r="U724" s="2" t="s">
        <v>5666</v>
      </c>
      <c r="V724" s="2" t="s">
        <v>24</v>
      </c>
      <c r="W724" s="2"/>
    </row>
    <row r="725">
      <c r="A725" s="2" t="n">
        <v>501</v>
      </c>
      <c r="B725" s="2" t="s">
        <v>13627</v>
      </c>
      <c r="C725" s="2" t="s">
        <v>5665</v>
      </c>
      <c r="D725" s="2" t="n">
        <v>449.218087756</v>
      </c>
      <c r="E725" s="2" t="n">
        <v>1.83403548423915</v>
      </c>
      <c r="F725" s="2" t="s">
        <v>13628</v>
      </c>
      <c r="G725" s="2" t="n">
        <v>62824</v>
      </c>
      <c r="H725" s="3" t="str">
        <f>HYPERLINK("http://funmeta.oebiotech.com/network/62824", "http://funmeta.oebiotech.com/network/62824")</f>
      </c>
      <c r="I725" s="2" t="s">
        <v>13629</v>
      </c>
      <c r="J725" s="2" t="s">
        <v>13630</v>
      </c>
      <c r="K725" s="2"/>
      <c r="L725" s="2"/>
      <c r="M725" s="2"/>
      <c r="N725" s="2" t="s">
        <v>13631</v>
      </c>
      <c r="O725" s="2"/>
      <c r="P725" s="2" t="s">
        <v>13632</v>
      </c>
      <c r="Q725" s="2" t="s">
        <v>13633</v>
      </c>
      <c r="R725" s="2" t="s">
        <v>1490</v>
      </c>
      <c r="S725" s="2" t="s">
        <v>4971</v>
      </c>
      <c r="T725" s="2" t="s">
        <v>8265</v>
      </c>
      <c r="U725" s="2" t="s">
        <v>5666</v>
      </c>
      <c r="V725" s="2" t="s">
        <v>24</v>
      </c>
      <c r="W725" s="2"/>
    </row>
    <row r="726">
      <c r="A726" s="2" t="n">
        <v>501</v>
      </c>
      <c r="B726" s="2" t="s">
        <v>13634</v>
      </c>
      <c r="C726" s="2" t="s">
        <v>5665</v>
      </c>
      <c r="D726" s="2" t="n">
        <v>449.218087756</v>
      </c>
      <c r="E726" s="2" t="n">
        <v>1.83403548423915</v>
      </c>
      <c r="F726" s="2" t="s">
        <v>13635</v>
      </c>
      <c r="G726" s="2" t="n">
        <v>63122</v>
      </c>
      <c r="H726" s="3" t="str">
        <f>HYPERLINK("http://funmeta.oebiotech.com/network/63122", "http://funmeta.oebiotech.com/network/63122")</f>
      </c>
      <c r="I726" s="2" t="s">
        <v>13636</v>
      </c>
      <c r="J726" s="2" t="s">
        <v>13637</v>
      </c>
      <c r="K726" s="2"/>
      <c r="L726" s="2"/>
      <c r="M726" s="2"/>
      <c r="N726" s="2" t="s">
        <v>13638</v>
      </c>
      <c r="O726" s="2"/>
      <c r="P726" s="2" t="s">
        <v>13639</v>
      </c>
      <c r="Q726" s="2" t="s">
        <v>13640</v>
      </c>
      <c r="R726" s="2" t="s">
        <v>1490</v>
      </c>
      <c r="S726" s="2" t="s">
        <v>4971</v>
      </c>
      <c r="T726" s="2" t="s">
        <v>8265</v>
      </c>
      <c r="U726" s="2" t="s">
        <v>5666</v>
      </c>
      <c r="V726" s="2" t="s">
        <v>24</v>
      </c>
      <c r="W726" s="2"/>
    </row>
    <row r="727">
      <c r="A727" s="2" t="n">
        <v>502</v>
      </c>
      <c r="B727" s="2" t="s">
        <v>13641</v>
      </c>
      <c r="C727" s="2" t="s">
        <v>5676</v>
      </c>
      <c r="D727" s="2" t="n">
        <v>450.008205773</v>
      </c>
      <c r="E727" s="2" t="n">
        <v>9.5592272484476</v>
      </c>
      <c r="F727" s="2" t="s">
        <v>5678</v>
      </c>
      <c r="G727" s="2" t="n">
        <v>52833</v>
      </c>
      <c r="H727" s="3" t="str">
        <f>HYPERLINK("http://funmeta.oebiotech.com/network/52833", "http://funmeta.oebiotech.com/network/52833")</f>
      </c>
      <c r="I727" s="2" t="s">
        <v>5680</v>
      </c>
      <c r="J727" s="2" t="s">
        <v>5681</v>
      </c>
      <c r="K727" s="2"/>
      <c r="L727" s="2" t="s">
        <v>5682</v>
      </c>
      <c r="M727" s="2" t="s">
        <v>5683</v>
      </c>
      <c r="N727" s="2" t="s">
        <v>5684</v>
      </c>
      <c r="O727" s="2" t="s">
        <v>5685</v>
      </c>
      <c r="P727" s="2" t="s">
        <v>5686</v>
      </c>
      <c r="Q727" s="2" t="s">
        <v>5687</v>
      </c>
      <c r="R727" s="2" t="s">
        <v>49</v>
      </c>
      <c r="S727" s="2" t="s">
        <v>165</v>
      </c>
      <c r="T727" s="2" t="s">
        <v>166</v>
      </c>
      <c r="U727" s="2" t="s">
        <v>5677</v>
      </c>
      <c r="V727" s="2" t="s">
        <v>42</v>
      </c>
      <c r="W727" s="2" t="s">
        <v>39</v>
      </c>
    </row>
    <row r="728">
      <c r="A728" s="2" t="n">
        <v>503</v>
      </c>
      <c r="B728" s="2" t="s">
        <v>13642</v>
      </c>
      <c r="C728" s="2" t="s">
        <v>5688</v>
      </c>
      <c r="D728" s="2" t="n">
        <v>451.112240657</v>
      </c>
      <c r="E728" s="2" t="n">
        <v>2.53116984799009</v>
      </c>
      <c r="F728" s="2" t="s">
        <v>5690</v>
      </c>
      <c r="G728" s="2" t="n">
        <v>206803</v>
      </c>
      <c r="H728" s="3" t="str">
        <f>HYPERLINK("http://funmeta.oebiotech.com/network/206803", "http://funmeta.oebiotech.com/network/206803")</f>
      </c>
      <c r="I728" s="2" t="s">
        <v>5692</v>
      </c>
      <c r="J728" s="2" t="s">
        <v>5693</v>
      </c>
      <c r="K728" s="2"/>
      <c r="L728" s="2"/>
      <c r="M728" s="2"/>
      <c r="N728" s="2" t="s">
        <v>5694</v>
      </c>
      <c r="O728" s="2"/>
      <c r="P728" s="2" t="s">
        <v>5695</v>
      </c>
      <c r="Q728" s="2" t="s">
        <v>5696</v>
      </c>
      <c r="R728" s="2" t="s">
        <v>355</v>
      </c>
      <c r="S728" s="2" t="s">
        <v>3869</v>
      </c>
      <c r="T728" s="2" t="s">
        <v>5697</v>
      </c>
      <c r="U728" s="2" t="s">
        <v>5689</v>
      </c>
      <c r="V728" s="2" t="s">
        <v>24</v>
      </c>
      <c r="W728" s="2"/>
    </row>
    <row r="729">
      <c r="A729" s="2" t="n">
        <v>504</v>
      </c>
      <c r="B729" s="2" t="s">
        <v>13643</v>
      </c>
      <c r="C729" s="2" t="s">
        <v>5698</v>
      </c>
      <c r="D729" s="2" t="n">
        <v>452.010009856</v>
      </c>
      <c r="E729" s="2" t="n">
        <v>5.91060320106832</v>
      </c>
      <c r="F729" s="2" t="s">
        <v>5700</v>
      </c>
      <c r="G729" s="2" t="n">
        <v>203991</v>
      </c>
      <c r="H729" s="3" t="str">
        <f>HYPERLINK("http://funmeta.oebiotech.com/network/203991", "http://funmeta.oebiotech.com/network/203991")</f>
      </c>
      <c r="I729" s="2" t="s">
        <v>5702</v>
      </c>
      <c r="J729" s="2" t="s">
        <v>5703</v>
      </c>
      <c r="K729" s="2"/>
      <c r="L729" s="2" t="s">
        <v>5704</v>
      </c>
      <c r="M729" s="2" t="s">
        <v>5705</v>
      </c>
      <c r="N729" s="2" t="s">
        <v>5706</v>
      </c>
      <c r="O729" s="2" t="s">
        <v>5707</v>
      </c>
      <c r="P729" s="2" t="s">
        <v>5708</v>
      </c>
      <c r="Q729" s="2" t="s">
        <v>5709</v>
      </c>
      <c r="R729" s="2" t="s">
        <v>502</v>
      </c>
      <c r="S729" s="2" t="s">
        <v>503</v>
      </c>
      <c r="T729" s="2" t="s">
        <v>5710</v>
      </c>
      <c r="U729" s="2" t="s">
        <v>5699</v>
      </c>
      <c r="V729" s="2" t="s">
        <v>360</v>
      </c>
      <c r="W729" s="2" t="s">
        <v>39</v>
      </c>
    </row>
    <row r="730">
      <c r="A730" s="2" t="n">
        <v>505</v>
      </c>
      <c r="B730" s="2" t="s">
        <v>13644</v>
      </c>
      <c r="C730" s="2" t="s">
        <v>5711</v>
      </c>
      <c r="D730" s="2" t="n">
        <v>452.278263279</v>
      </c>
      <c r="E730" s="2" t="n">
        <v>8.35032391967268</v>
      </c>
      <c r="F730" s="2" t="s">
        <v>13645</v>
      </c>
      <c r="G730" s="2" t="n">
        <v>21197</v>
      </c>
      <c r="H730" s="3" t="str">
        <f>HYPERLINK("http://funmeta.oebiotech.com/network/21197", "http://funmeta.oebiotech.com/network/21197")</f>
      </c>
      <c r="I730" s="2" t="s">
        <v>13646</v>
      </c>
      <c r="J730" s="2" t="s">
        <v>13647</v>
      </c>
      <c r="K730" s="2" t="s">
        <v>13648</v>
      </c>
      <c r="L730" s="2"/>
      <c r="M730" s="2" t="s">
        <v>13649</v>
      </c>
      <c r="N730" s="2" t="s">
        <v>13650</v>
      </c>
      <c r="O730" s="2"/>
      <c r="P730" s="2" t="s">
        <v>13651</v>
      </c>
      <c r="Q730" s="2" t="s">
        <v>13652</v>
      </c>
      <c r="R730" s="2" t="s">
        <v>1490</v>
      </c>
      <c r="S730" s="2" t="s">
        <v>4236</v>
      </c>
      <c r="T730" s="2" t="s">
        <v>5369</v>
      </c>
      <c r="U730" s="2" t="s">
        <v>5712</v>
      </c>
      <c r="V730" s="2" t="s">
        <v>110</v>
      </c>
      <c r="W730" s="2"/>
    </row>
    <row r="731">
      <c r="A731" s="2" t="n">
        <v>505</v>
      </c>
      <c r="B731" s="2" t="s">
        <v>13653</v>
      </c>
      <c r="C731" s="2" t="s">
        <v>5711</v>
      </c>
      <c r="D731" s="2" t="n">
        <v>452.278263279</v>
      </c>
      <c r="E731" s="2" t="n">
        <v>8.35032391967268</v>
      </c>
      <c r="F731" s="2" t="s">
        <v>13654</v>
      </c>
      <c r="G731" s="2" t="n">
        <v>209928</v>
      </c>
      <c r="H731" s="3" t="str">
        <f>HYPERLINK("http://funmeta.oebiotech.com/network/209928", "http://funmeta.oebiotech.com/network/209928")</f>
      </c>
      <c r="I731" s="2" t="s">
        <v>13655</v>
      </c>
      <c r="J731" s="2"/>
      <c r="K731" s="2"/>
      <c r="L731" s="2"/>
      <c r="M731" s="2"/>
      <c r="N731" s="2"/>
      <c r="O731" s="2"/>
      <c r="P731" s="2" t="s">
        <v>13656</v>
      </c>
      <c r="Q731" s="2" t="s">
        <v>13657</v>
      </c>
      <c r="R731" s="2" t="s">
        <v>1490</v>
      </c>
      <c r="S731" s="2" t="s">
        <v>4236</v>
      </c>
      <c r="T731" s="2" t="s">
        <v>5369</v>
      </c>
      <c r="U731" s="2" t="s">
        <v>5712</v>
      </c>
      <c r="V731" s="2" t="s">
        <v>110</v>
      </c>
      <c r="W731" s="2"/>
    </row>
    <row r="732">
      <c r="A732" s="2" t="n">
        <v>505</v>
      </c>
      <c r="B732" s="2" t="s">
        <v>13658</v>
      </c>
      <c r="C732" s="2" t="s">
        <v>5711</v>
      </c>
      <c r="D732" s="2" t="n">
        <v>452.278263279</v>
      </c>
      <c r="E732" s="2" t="n">
        <v>8.35032391967268</v>
      </c>
      <c r="F732" s="2" t="s">
        <v>13659</v>
      </c>
      <c r="G732" s="2" t="n">
        <v>21164</v>
      </c>
      <c r="H732" s="3" t="str">
        <f>HYPERLINK("http://funmeta.oebiotech.com/network/21164", "http://funmeta.oebiotech.com/network/21164")</f>
      </c>
      <c r="I732" s="2" t="s">
        <v>13660</v>
      </c>
      <c r="J732" s="2" t="s">
        <v>13661</v>
      </c>
      <c r="K732" s="2" t="s">
        <v>13662</v>
      </c>
      <c r="L732" s="2"/>
      <c r="M732" s="2" t="s">
        <v>13663</v>
      </c>
      <c r="N732" s="2" t="s">
        <v>13664</v>
      </c>
      <c r="O732" s="2" t="s">
        <v>13665</v>
      </c>
      <c r="P732" s="2" t="s">
        <v>13666</v>
      </c>
      <c r="Q732" s="2" t="s">
        <v>13667</v>
      </c>
      <c r="R732" s="2" t="s">
        <v>1490</v>
      </c>
      <c r="S732" s="2" t="s">
        <v>4236</v>
      </c>
      <c r="T732" s="2" t="s">
        <v>5369</v>
      </c>
      <c r="U732" s="2" t="s">
        <v>5712</v>
      </c>
      <c r="V732" s="2" t="s">
        <v>110</v>
      </c>
      <c r="W732" s="2"/>
    </row>
    <row r="733">
      <c r="A733" s="2" t="n">
        <v>506</v>
      </c>
      <c r="B733" s="2" t="s">
        <v>13668</v>
      </c>
      <c r="C733" s="2" t="s">
        <v>5725</v>
      </c>
      <c r="D733" s="2" t="n">
        <v>453.0188745</v>
      </c>
      <c r="E733" s="2" t="n">
        <v>7.01283579435652</v>
      </c>
      <c r="F733" s="2" t="s">
        <v>5727</v>
      </c>
      <c r="G733" s="2" t="n">
        <v>209468</v>
      </c>
      <c r="H733" s="3" t="str">
        <f>HYPERLINK("http://funmeta.oebiotech.com/network/209468", "http://funmeta.oebiotech.com/network/209468")</f>
      </c>
      <c r="I733" s="2" t="s">
        <v>5729</v>
      </c>
      <c r="J733" s="2" t="s">
        <v>5730</v>
      </c>
      <c r="K733" s="2"/>
      <c r="L733" s="2"/>
      <c r="M733" s="2"/>
      <c r="N733" s="2" t="s">
        <v>5731</v>
      </c>
      <c r="O733" s="2"/>
      <c r="P733" s="2" t="s">
        <v>5732</v>
      </c>
      <c r="Q733" s="2" t="s">
        <v>5733</v>
      </c>
      <c r="R733" s="2" t="s">
        <v>36</v>
      </c>
      <c r="S733" s="2" t="s">
        <v>37</v>
      </c>
      <c r="T733" s="2" t="s">
        <v>679</v>
      </c>
      <c r="U733" s="2" t="s">
        <v>5726</v>
      </c>
      <c r="V733" s="2" t="s">
        <v>360</v>
      </c>
      <c r="W733" s="2"/>
    </row>
    <row r="734">
      <c r="A734" s="2" t="n">
        <v>507</v>
      </c>
      <c r="B734" s="2" t="s">
        <v>13669</v>
      </c>
      <c r="C734" s="2" t="s">
        <v>5734</v>
      </c>
      <c r="D734" s="2" t="n">
        <v>453.076191797</v>
      </c>
      <c r="E734" s="2" t="n">
        <v>4.01834920600278</v>
      </c>
      <c r="F734" s="2" t="s">
        <v>5736</v>
      </c>
      <c r="G734" s="2" t="n">
        <v>212118</v>
      </c>
      <c r="H734" s="3" t="str">
        <f>HYPERLINK("http://funmeta.oebiotech.com/network/212118", "http://funmeta.oebiotech.com/network/212118")</f>
      </c>
      <c r="I734" s="2" t="s">
        <v>5738</v>
      </c>
      <c r="J734" s="2" t="s">
        <v>5739</v>
      </c>
      <c r="K734" s="2"/>
      <c r="L734" s="2"/>
      <c r="M734" s="2"/>
      <c r="N734" s="2" t="s">
        <v>5740</v>
      </c>
      <c r="O734" s="2"/>
      <c r="P734" s="2" t="s">
        <v>5741</v>
      </c>
      <c r="Q734" s="2" t="s">
        <v>5742</v>
      </c>
      <c r="R734" s="2" t="s">
        <v>502</v>
      </c>
      <c r="S734" s="2" t="s">
        <v>503</v>
      </c>
      <c r="T734" s="2" t="s">
        <v>1964</v>
      </c>
      <c r="U734" s="2" t="s">
        <v>5735</v>
      </c>
      <c r="V734" s="2" t="s">
        <v>24</v>
      </c>
      <c r="W734" s="2"/>
    </row>
    <row r="735">
      <c r="A735" s="2" t="n">
        <v>508</v>
      </c>
      <c r="B735" s="2" t="s">
        <v>13670</v>
      </c>
      <c r="C735" s="2" t="s">
        <v>5743</v>
      </c>
      <c r="D735" s="2" t="n">
        <v>454.077313998</v>
      </c>
      <c r="E735" s="2" t="n">
        <v>3.04715333082606</v>
      </c>
      <c r="F735" s="2" t="s">
        <v>5745</v>
      </c>
      <c r="G735" s="2" t="n">
        <v>208635</v>
      </c>
      <c r="H735" s="3" t="str">
        <f>HYPERLINK("http://funmeta.oebiotech.com/network/208635", "http://funmeta.oebiotech.com/network/208635")</f>
      </c>
      <c r="I735" s="2" t="s">
        <v>5747</v>
      </c>
      <c r="J735" s="2"/>
      <c r="K735" s="2"/>
      <c r="L735" s="2"/>
      <c r="M735" s="2"/>
      <c r="N735" s="2" t="s">
        <v>5748</v>
      </c>
      <c r="O735" s="2"/>
      <c r="P735" s="2" t="s">
        <v>5749</v>
      </c>
      <c r="Q735" s="2" t="s">
        <v>5750</v>
      </c>
      <c r="R735" s="2" t="s">
        <v>49</v>
      </c>
      <c r="S735" s="2" t="s">
        <v>165</v>
      </c>
      <c r="T735" s="2" t="s">
        <v>5751</v>
      </c>
      <c r="U735" s="2" t="s">
        <v>5744</v>
      </c>
      <c r="V735" s="2" t="s">
        <v>24</v>
      </c>
      <c r="W735" s="2"/>
    </row>
    <row r="736">
      <c r="A736" s="2" t="n">
        <v>509</v>
      </c>
      <c r="B736" s="2" t="s">
        <v>13671</v>
      </c>
      <c r="C736" s="2" t="s">
        <v>5752</v>
      </c>
      <c r="D736" s="2" t="n">
        <v>455.00221629</v>
      </c>
      <c r="E736" s="2" t="n">
        <v>5.80302673544456</v>
      </c>
      <c r="F736" s="2" t="s">
        <v>5754</v>
      </c>
      <c r="G736" s="2" t="n">
        <v>58585</v>
      </c>
      <c r="H736" s="3" t="str">
        <f>HYPERLINK("http://funmeta.oebiotech.com/network/58585", "http://funmeta.oebiotech.com/network/58585")</f>
      </c>
      <c r="I736" s="2" t="s">
        <v>5756</v>
      </c>
      <c r="J736" s="2" t="s">
        <v>5757</v>
      </c>
      <c r="K736" s="2"/>
      <c r="L736" s="2"/>
      <c r="M736" s="2"/>
      <c r="N736" s="2" t="s">
        <v>5758</v>
      </c>
      <c r="O736" s="2" t="s">
        <v>5759</v>
      </c>
      <c r="P736" s="2" t="s">
        <v>5760</v>
      </c>
      <c r="Q736" s="2" t="s">
        <v>5761</v>
      </c>
      <c r="R736" s="2" t="s">
        <v>2509</v>
      </c>
      <c r="S736" s="2" t="s">
        <v>4720</v>
      </c>
      <c r="T736" s="2" t="s">
        <v>4721</v>
      </c>
      <c r="U736" s="2" t="s">
        <v>5753</v>
      </c>
      <c r="V736" s="2" t="s">
        <v>250</v>
      </c>
      <c r="W736" s="2"/>
    </row>
    <row r="737">
      <c r="A737" s="2" t="n">
        <v>510</v>
      </c>
      <c r="B737" s="2" t="s">
        <v>13672</v>
      </c>
      <c r="C737" s="2" t="s">
        <v>5762</v>
      </c>
      <c r="D737" s="2" t="n">
        <v>455.090304994</v>
      </c>
      <c r="E737" s="2" t="n">
        <v>0.315595594395825</v>
      </c>
      <c r="F737" s="2" t="s">
        <v>5764</v>
      </c>
      <c r="G737" s="2" t="n">
        <v>55297</v>
      </c>
      <c r="H737" s="3" t="str">
        <f>HYPERLINK("http://funmeta.oebiotech.com/network/55297", "http://funmeta.oebiotech.com/network/55297")</f>
      </c>
      <c r="I737" s="2" t="s">
        <v>5766</v>
      </c>
      <c r="J737" s="2" t="s">
        <v>5767</v>
      </c>
      <c r="K737" s="2"/>
      <c r="L737" s="2"/>
      <c r="M737" s="2"/>
      <c r="N737" s="2" t="s">
        <v>5768</v>
      </c>
      <c r="O737" s="2" t="s">
        <v>5769</v>
      </c>
      <c r="P737" s="2" t="s">
        <v>5770</v>
      </c>
      <c r="Q737" s="2" t="s">
        <v>5771</v>
      </c>
      <c r="R737" s="2" t="s">
        <v>355</v>
      </c>
      <c r="S737" s="2" t="s">
        <v>5537</v>
      </c>
      <c r="T737" s="2" t="s">
        <v>5538</v>
      </c>
      <c r="U737" s="2" t="s">
        <v>5763</v>
      </c>
      <c r="V737" s="2" t="s">
        <v>522</v>
      </c>
      <c r="W737" s="2"/>
    </row>
    <row r="738">
      <c r="A738" s="2" t="n">
        <v>511</v>
      </c>
      <c r="B738" s="2" t="s">
        <v>13673</v>
      </c>
      <c r="C738" s="2" t="s">
        <v>5772</v>
      </c>
      <c r="D738" s="2" t="n">
        <v>457.0574761</v>
      </c>
      <c r="E738" s="2" t="n">
        <v>2.93781217451086</v>
      </c>
      <c r="F738" s="2" t="s">
        <v>5774</v>
      </c>
      <c r="G738" s="2" t="n">
        <v>209604</v>
      </c>
      <c r="H738" s="3" t="str">
        <f>HYPERLINK("http://funmeta.oebiotech.com/network/209604", "http://funmeta.oebiotech.com/network/209604")</f>
      </c>
      <c r="I738" s="2" t="s">
        <v>5776</v>
      </c>
      <c r="J738" s="2"/>
      <c r="K738" s="2"/>
      <c r="L738" s="2"/>
      <c r="M738" s="2"/>
      <c r="N738" s="2" t="s">
        <v>5777</v>
      </c>
      <c r="O738" s="2"/>
      <c r="P738" s="2" t="s">
        <v>5778</v>
      </c>
      <c r="Q738" s="2" t="s">
        <v>5779</v>
      </c>
      <c r="R738" s="2" t="s">
        <v>502</v>
      </c>
      <c r="S738" s="2" t="s">
        <v>503</v>
      </c>
      <c r="T738" s="2" t="s">
        <v>2313</v>
      </c>
      <c r="U738" s="2" t="s">
        <v>5773</v>
      </c>
      <c r="V738" s="2" t="s">
        <v>24</v>
      </c>
      <c r="W738" s="2"/>
    </row>
    <row r="739">
      <c r="A739" s="2" t="n">
        <v>512</v>
      </c>
      <c r="B739" s="2" t="s">
        <v>13674</v>
      </c>
      <c r="C739" s="2" t="s">
        <v>5780</v>
      </c>
      <c r="D739" s="2" t="n">
        <v>458.133849982</v>
      </c>
      <c r="E739" s="2" t="n">
        <v>1.13866693888988</v>
      </c>
      <c r="F739" s="2" t="s">
        <v>5782</v>
      </c>
      <c r="G739" s="2" t="n">
        <v>211199</v>
      </c>
      <c r="H739" s="3" t="str">
        <f>HYPERLINK("http://funmeta.oebiotech.com/network/211199", "http://funmeta.oebiotech.com/network/211199")</f>
      </c>
      <c r="I739" s="2" t="s">
        <v>5784</v>
      </c>
      <c r="J739" s="2"/>
      <c r="K739" s="2"/>
      <c r="L739" s="2"/>
      <c r="M739" s="2"/>
      <c r="N739" s="2" t="s">
        <v>5785</v>
      </c>
      <c r="O739" s="2"/>
      <c r="P739" s="2" t="s">
        <v>5786</v>
      </c>
      <c r="Q739" s="2" t="s">
        <v>5787</v>
      </c>
      <c r="R739" s="2" t="s">
        <v>355</v>
      </c>
      <c r="S739" s="2" t="s">
        <v>5788</v>
      </c>
      <c r="T739" s="2" t="s">
        <v>205</v>
      </c>
      <c r="U739" s="2" t="s">
        <v>5781</v>
      </c>
      <c r="V739" s="2" t="s">
        <v>42</v>
      </c>
      <c r="W739" s="2"/>
    </row>
    <row r="740">
      <c r="A740" s="2" t="n">
        <v>513</v>
      </c>
      <c r="B740" s="2" t="s">
        <v>13675</v>
      </c>
      <c r="C740" s="2" t="s">
        <v>5789</v>
      </c>
      <c r="D740" s="2" t="n">
        <v>458.183378313</v>
      </c>
      <c r="E740" s="2" t="n">
        <v>6.16217897005514</v>
      </c>
      <c r="F740" s="2" t="s">
        <v>5791</v>
      </c>
      <c r="G740" s="2" t="n">
        <v>203595</v>
      </c>
      <c r="H740" s="3" t="str">
        <f>HYPERLINK("http://funmeta.oebiotech.com/network/203595", "http://funmeta.oebiotech.com/network/203595")</f>
      </c>
      <c r="I740" s="2" t="s">
        <v>5793</v>
      </c>
      <c r="J740" s="2"/>
      <c r="K740" s="2"/>
      <c r="L740" s="2"/>
      <c r="M740" s="2" t="s">
        <v>5794</v>
      </c>
      <c r="N740" s="2" t="s">
        <v>5795</v>
      </c>
      <c r="O740" s="2"/>
      <c r="P740" s="2" t="s">
        <v>5796</v>
      </c>
      <c r="Q740" s="2" t="s">
        <v>5797</v>
      </c>
      <c r="R740" s="2" t="s">
        <v>355</v>
      </c>
      <c r="S740" s="2" t="s">
        <v>1580</v>
      </c>
      <c r="T740" s="2" t="s">
        <v>4820</v>
      </c>
      <c r="U740" s="2" t="s">
        <v>5790</v>
      </c>
      <c r="V740" s="2" t="s">
        <v>110</v>
      </c>
      <c r="W740" s="2"/>
    </row>
    <row r="741">
      <c r="A741" s="2" t="n">
        <v>514</v>
      </c>
      <c r="B741" s="2" t="s">
        <v>13676</v>
      </c>
      <c r="C741" s="2" t="s">
        <v>5798</v>
      </c>
      <c r="D741" s="2" t="n">
        <v>459.123146295</v>
      </c>
      <c r="E741" s="2" t="n">
        <v>4.75813481037519</v>
      </c>
      <c r="F741" s="2" t="s">
        <v>5800</v>
      </c>
      <c r="G741" s="2" t="n">
        <v>203611</v>
      </c>
      <c r="H741" s="3" t="str">
        <f>HYPERLINK("http://funmeta.oebiotech.com/network/203611", "http://funmeta.oebiotech.com/network/203611")</f>
      </c>
      <c r="I741" s="2" t="s">
        <v>5802</v>
      </c>
      <c r="J741" s="2"/>
      <c r="K741" s="2"/>
      <c r="L741" s="2"/>
      <c r="M741" s="2"/>
      <c r="N741" s="2" t="s">
        <v>5803</v>
      </c>
      <c r="O741" s="2"/>
      <c r="P741" s="2" t="s">
        <v>5804</v>
      </c>
      <c r="Q741" s="2" t="s">
        <v>5805</v>
      </c>
      <c r="R741" s="2" t="s">
        <v>355</v>
      </c>
      <c r="S741" s="2" t="s">
        <v>5806</v>
      </c>
      <c r="T741" s="2" t="s">
        <v>5807</v>
      </c>
      <c r="U741" s="2" t="s">
        <v>5799</v>
      </c>
      <c r="V741" s="2" t="s">
        <v>110</v>
      </c>
      <c r="W741" s="2"/>
    </row>
    <row r="742">
      <c r="A742" s="2" t="n">
        <v>515</v>
      </c>
      <c r="B742" s="2" t="s">
        <v>13677</v>
      </c>
      <c r="C742" s="2" t="s">
        <v>5808</v>
      </c>
      <c r="D742" s="2" t="n">
        <v>461.051189362</v>
      </c>
      <c r="E742" s="2" t="n">
        <v>1.71137710274015</v>
      </c>
      <c r="F742" s="2" t="s">
        <v>5810</v>
      </c>
      <c r="G742" s="2" t="n">
        <v>57404</v>
      </c>
      <c r="H742" s="3" t="str">
        <f>HYPERLINK("http://funmeta.oebiotech.com/network/57404", "http://funmeta.oebiotech.com/network/57404")</f>
      </c>
      <c r="I742" s="2" t="s">
        <v>5812</v>
      </c>
      <c r="J742" s="2" t="s">
        <v>5813</v>
      </c>
      <c r="K742" s="2"/>
      <c r="L742" s="2" t="s">
        <v>5814</v>
      </c>
      <c r="M742" s="2" t="s">
        <v>5815</v>
      </c>
      <c r="N742" s="2" t="s">
        <v>5816</v>
      </c>
      <c r="O742" s="2" t="s">
        <v>5817</v>
      </c>
      <c r="P742" s="2" t="s">
        <v>5818</v>
      </c>
      <c r="Q742" s="2" t="s">
        <v>5819</v>
      </c>
      <c r="R742" s="2" t="s">
        <v>36</v>
      </c>
      <c r="S742" s="2" t="s">
        <v>37</v>
      </c>
      <c r="T742" s="2" t="s">
        <v>3071</v>
      </c>
      <c r="U742" s="2" t="s">
        <v>5809</v>
      </c>
      <c r="V742" s="2" t="s">
        <v>250</v>
      </c>
      <c r="W742" s="2" t="s">
        <v>39</v>
      </c>
    </row>
    <row r="743">
      <c r="A743" s="2" t="n">
        <v>516</v>
      </c>
      <c r="B743" s="2" t="s">
        <v>13678</v>
      </c>
      <c r="C743" s="2" t="s">
        <v>5820</v>
      </c>
      <c r="D743" s="2" t="n">
        <v>461.137255186</v>
      </c>
      <c r="E743" s="2" t="n">
        <v>1.14995521331847</v>
      </c>
      <c r="F743" s="2" t="s">
        <v>13679</v>
      </c>
      <c r="G743" s="2" t="n">
        <v>54749</v>
      </c>
      <c r="H743" s="3" t="str">
        <f>HYPERLINK("http://funmeta.oebiotech.com/network/54749", "http://funmeta.oebiotech.com/network/54749")</f>
      </c>
      <c r="I743" s="2" t="s">
        <v>13680</v>
      </c>
      <c r="J743" s="2" t="s">
        <v>13681</v>
      </c>
      <c r="K743" s="2"/>
      <c r="L743" s="2"/>
      <c r="M743" s="2" t="s">
        <v>13682</v>
      </c>
      <c r="N743" s="2" t="s">
        <v>13683</v>
      </c>
      <c r="O743" s="2" t="s">
        <v>13684</v>
      </c>
      <c r="P743" s="2" t="s">
        <v>13685</v>
      </c>
      <c r="Q743" s="2" t="s">
        <v>13686</v>
      </c>
      <c r="R743" s="2" t="s">
        <v>355</v>
      </c>
      <c r="S743" s="2" t="s">
        <v>5537</v>
      </c>
      <c r="T743" s="2" t="s">
        <v>5538</v>
      </c>
      <c r="U743" s="2" t="s">
        <v>5821</v>
      </c>
      <c r="V743" s="2" t="s">
        <v>522</v>
      </c>
      <c r="W743" s="2"/>
    </row>
    <row r="744">
      <c r="A744" s="2" t="n">
        <v>516</v>
      </c>
      <c r="B744" s="2" t="s">
        <v>13687</v>
      </c>
      <c r="C744" s="2" t="s">
        <v>5820</v>
      </c>
      <c r="D744" s="2" t="n">
        <v>461.137255186</v>
      </c>
      <c r="E744" s="2" t="n">
        <v>1.14995521331847</v>
      </c>
      <c r="F744" s="2" t="s">
        <v>13688</v>
      </c>
      <c r="G744" s="2" t="n">
        <v>55379</v>
      </c>
      <c r="H744" s="3" t="str">
        <f>HYPERLINK("http://funmeta.oebiotech.com/network/55379", "http://funmeta.oebiotech.com/network/55379")</f>
      </c>
      <c r="I744" s="2" t="s">
        <v>13689</v>
      </c>
      <c r="J744" s="2" t="s">
        <v>13690</v>
      </c>
      <c r="K744" s="2"/>
      <c r="L744" s="2"/>
      <c r="M744" s="2"/>
      <c r="N744" s="2" t="s">
        <v>13691</v>
      </c>
      <c r="O744" s="2" t="s">
        <v>13692</v>
      </c>
      <c r="P744" s="2" t="s">
        <v>13693</v>
      </c>
      <c r="Q744" s="2" t="s">
        <v>13694</v>
      </c>
      <c r="R744" s="2" t="s">
        <v>2509</v>
      </c>
      <c r="S744" s="2" t="s">
        <v>2840</v>
      </c>
      <c r="T744" s="2" t="s">
        <v>8768</v>
      </c>
      <c r="U744" s="2" t="s">
        <v>5821</v>
      </c>
      <c r="V744" s="2" t="s">
        <v>522</v>
      </c>
      <c r="W744" s="2"/>
    </row>
    <row r="745">
      <c r="A745" s="2" t="n">
        <v>516</v>
      </c>
      <c r="B745" s="2" t="s">
        <v>13695</v>
      </c>
      <c r="C745" s="2" t="s">
        <v>5820</v>
      </c>
      <c r="D745" s="2" t="n">
        <v>461.137255186</v>
      </c>
      <c r="E745" s="2" t="n">
        <v>1.14995521331847</v>
      </c>
      <c r="F745" s="2" t="s">
        <v>13696</v>
      </c>
      <c r="G745" s="2" t="n">
        <v>55574</v>
      </c>
      <c r="H745" s="3" t="str">
        <f>HYPERLINK("http://funmeta.oebiotech.com/network/55574", "http://funmeta.oebiotech.com/network/55574")</f>
      </c>
      <c r="I745" s="2" t="s">
        <v>13697</v>
      </c>
      <c r="J745" s="2"/>
      <c r="K745" s="2"/>
      <c r="L745" s="2"/>
      <c r="M745" s="2"/>
      <c r="N745" s="2" t="s">
        <v>13698</v>
      </c>
      <c r="O745" s="2" t="s">
        <v>13699</v>
      </c>
      <c r="P745" s="2" t="s">
        <v>13700</v>
      </c>
      <c r="Q745" s="2" t="s">
        <v>13701</v>
      </c>
      <c r="R745" s="2" t="s">
        <v>2509</v>
      </c>
      <c r="S745" s="2" t="s">
        <v>2840</v>
      </c>
      <c r="T745" s="2" t="s">
        <v>8768</v>
      </c>
      <c r="U745" s="2" t="s">
        <v>5821</v>
      </c>
      <c r="V745" s="2" t="s">
        <v>522</v>
      </c>
      <c r="W745" s="2"/>
    </row>
    <row r="746">
      <c r="A746" s="2" t="n">
        <v>517</v>
      </c>
      <c r="B746" s="2" t="s">
        <v>13702</v>
      </c>
      <c r="C746" s="2" t="s">
        <v>5834</v>
      </c>
      <c r="D746" s="2" t="n">
        <v>462.118585416</v>
      </c>
      <c r="E746" s="2" t="n">
        <v>4.45990418937587</v>
      </c>
      <c r="F746" s="2" t="s">
        <v>13703</v>
      </c>
      <c r="G746" s="2" t="n">
        <v>199300</v>
      </c>
      <c r="H746" s="3" t="str">
        <f>HYPERLINK("http://funmeta.oebiotech.com/network/199300", "http://funmeta.oebiotech.com/network/199300")</f>
      </c>
      <c r="I746" s="2" t="s">
        <v>13704</v>
      </c>
      <c r="J746" s="2"/>
      <c r="K746" s="2"/>
      <c r="L746" s="2"/>
      <c r="M746" s="2"/>
      <c r="N746" s="2" t="s">
        <v>13705</v>
      </c>
      <c r="O746" s="2"/>
      <c r="P746" s="2" t="s">
        <v>13706</v>
      </c>
      <c r="Q746" s="2" t="s">
        <v>13707</v>
      </c>
      <c r="R746" s="2" t="s">
        <v>49</v>
      </c>
      <c r="S746" s="2" t="s">
        <v>165</v>
      </c>
      <c r="T746" s="2" t="s">
        <v>166</v>
      </c>
      <c r="U746" s="2" t="s">
        <v>5835</v>
      </c>
      <c r="V746" s="2" t="s">
        <v>522</v>
      </c>
      <c r="W746" s="2"/>
    </row>
    <row r="747">
      <c r="A747" s="2" t="n">
        <v>517</v>
      </c>
      <c r="B747" s="2" t="s">
        <v>13708</v>
      </c>
      <c r="C747" s="2" t="s">
        <v>5834</v>
      </c>
      <c r="D747" s="2" t="n">
        <v>462.118585429</v>
      </c>
      <c r="E747" s="2" t="n">
        <v>4.45990418937587</v>
      </c>
      <c r="F747" s="2" t="s">
        <v>13709</v>
      </c>
      <c r="G747" s="2" t="n">
        <v>52959</v>
      </c>
      <c r="H747" s="3" t="str">
        <f>HYPERLINK("http://funmeta.oebiotech.com/network/52959", "http://funmeta.oebiotech.com/network/52959")</f>
      </c>
      <c r="I747" s="2" t="s">
        <v>13710</v>
      </c>
      <c r="J747" s="2"/>
      <c r="K747" s="2"/>
      <c r="L747" s="2"/>
      <c r="M747" s="2" t="s">
        <v>13711</v>
      </c>
      <c r="N747" s="2" t="s">
        <v>13712</v>
      </c>
      <c r="O747" s="2" t="s">
        <v>13713</v>
      </c>
      <c r="P747" s="2" t="s">
        <v>13714</v>
      </c>
      <c r="Q747" s="2" t="s">
        <v>13715</v>
      </c>
      <c r="R747" s="2" t="s">
        <v>49</v>
      </c>
      <c r="S747" s="2" t="s">
        <v>165</v>
      </c>
      <c r="T747" s="2" t="s">
        <v>166</v>
      </c>
      <c r="U747" s="2" t="s">
        <v>5835</v>
      </c>
      <c r="V747" s="2" t="s">
        <v>522</v>
      </c>
      <c r="W747" s="2"/>
    </row>
    <row r="748">
      <c r="A748" s="2" t="n">
        <v>518</v>
      </c>
      <c r="B748" s="2" t="s">
        <v>13716</v>
      </c>
      <c r="C748" s="2" t="s">
        <v>5844</v>
      </c>
      <c r="D748" s="2" t="n">
        <v>463.041198128</v>
      </c>
      <c r="E748" s="2" t="n">
        <v>5.49025921149457</v>
      </c>
      <c r="F748" s="2" t="s">
        <v>5846</v>
      </c>
      <c r="G748" s="2" t="n">
        <v>54807</v>
      </c>
      <c r="H748" s="3" t="str">
        <f>HYPERLINK("http://funmeta.oebiotech.com/network/54807", "http://funmeta.oebiotech.com/network/54807")</f>
      </c>
      <c r="I748" s="2" t="s">
        <v>5848</v>
      </c>
      <c r="J748" s="2"/>
      <c r="K748" s="2"/>
      <c r="L748" s="2" t="s">
        <v>5849</v>
      </c>
      <c r="M748" s="2" t="s">
        <v>5850</v>
      </c>
      <c r="N748" s="2" t="s">
        <v>5851</v>
      </c>
      <c r="O748" s="2" t="s">
        <v>5852</v>
      </c>
      <c r="P748" s="2" t="s">
        <v>5853</v>
      </c>
      <c r="Q748" s="2" t="s">
        <v>5854</v>
      </c>
      <c r="R748" s="2" t="s">
        <v>64</v>
      </c>
      <c r="S748" s="2" t="s">
        <v>65</v>
      </c>
      <c r="T748" s="2" t="s">
        <v>66</v>
      </c>
      <c r="U748" s="2" t="s">
        <v>5845</v>
      </c>
      <c r="V748" s="2" t="s">
        <v>24</v>
      </c>
      <c r="W748" s="2" t="s">
        <v>39</v>
      </c>
    </row>
    <row r="749">
      <c r="A749" s="2" t="n">
        <v>519</v>
      </c>
      <c r="B749" s="2" t="s">
        <v>13717</v>
      </c>
      <c r="C749" s="2" t="s">
        <v>5855</v>
      </c>
      <c r="D749" s="2" t="n">
        <v>465.103850148</v>
      </c>
      <c r="E749" s="2" t="n">
        <v>3.25522629625865</v>
      </c>
      <c r="F749" s="2" t="s">
        <v>13718</v>
      </c>
      <c r="G749" s="2" t="n">
        <v>64673</v>
      </c>
      <c r="H749" s="3" t="str">
        <f>HYPERLINK("http://funmeta.oebiotech.com/network/64673", "http://funmeta.oebiotech.com/network/64673")</f>
      </c>
      <c r="I749" s="2" t="s">
        <v>13719</v>
      </c>
      <c r="J749" s="2" t="s">
        <v>13720</v>
      </c>
      <c r="K749" s="2"/>
      <c r="L749" s="2"/>
      <c r="M749" s="2"/>
      <c r="N749" s="2" t="s">
        <v>13721</v>
      </c>
      <c r="O749" s="2" t="s">
        <v>13722</v>
      </c>
      <c r="P749" s="2" t="s">
        <v>13723</v>
      </c>
      <c r="Q749" s="2" t="s">
        <v>13724</v>
      </c>
      <c r="R749" s="2" t="s">
        <v>2509</v>
      </c>
      <c r="S749" s="2" t="s">
        <v>5520</v>
      </c>
      <c r="T749" s="2" t="s">
        <v>5664</v>
      </c>
      <c r="U749" s="2" t="s">
        <v>5856</v>
      </c>
      <c r="V749" s="2" t="s">
        <v>110</v>
      </c>
      <c r="W749" s="2"/>
    </row>
    <row r="750">
      <c r="A750" s="2" t="n">
        <v>519</v>
      </c>
      <c r="B750" s="2" t="s">
        <v>13725</v>
      </c>
      <c r="C750" s="2" t="s">
        <v>5855</v>
      </c>
      <c r="D750" s="2" t="n">
        <v>465.103850168</v>
      </c>
      <c r="E750" s="2" t="n">
        <v>3.25522629625865</v>
      </c>
      <c r="F750" s="2" t="s">
        <v>13726</v>
      </c>
      <c r="G750" s="2" t="n">
        <v>54193</v>
      </c>
      <c r="H750" s="3" t="str">
        <f>HYPERLINK("http://funmeta.oebiotech.com/network/54193", "http://funmeta.oebiotech.com/network/54193")</f>
      </c>
      <c r="I750" s="2" t="s">
        <v>13727</v>
      </c>
      <c r="J750" s="2" t="s">
        <v>13728</v>
      </c>
      <c r="K750" s="2"/>
      <c r="L750" s="2"/>
      <c r="M750" s="2"/>
      <c r="N750" s="2" t="s">
        <v>13729</v>
      </c>
      <c r="O750" s="2"/>
      <c r="P750" s="2" t="s">
        <v>13730</v>
      </c>
      <c r="Q750" s="2" t="s">
        <v>13731</v>
      </c>
      <c r="R750" s="2" t="s">
        <v>355</v>
      </c>
      <c r="S750" s="2" t="s">
        <v>6510</v>
      </c>
      <c r="T750" s="2" t="s">
        <v>6511</v>
      </c>
      <c r="U750" s="2" t="s">
        <v>5856</v>
      </c>
      <c r="V750" s="2" t="s">
        <v>110</v>
      </c>
      <c r="W750" s="2"/>
    </row>
    <row r="751">
      <c r="A751" s="2" t="n">
        <v>520</v>
      </c>
      <c r="B751" s="2" t="s">
        <v>13732</v>
      </c>
      <c r="C751" s="2" t="s">
        <v>5868</v>
      </c>
      <c r="D751" s="2" t="n">
        <v>465.216174208</v>
      </c>
      <c r="E751" s="2" t="n">
        <v>1.33833938735966</v>
      </c>
      <c r="F751" s="2" t="s">
        <v>5870</v>
      </c>
      <c r="G751" s="2" t="n">
        <v>52860</v>
      </c>
      <c r="H751" s="3" t="str">
        <f>HYPERLINK("http://funmeta.oebiotech.com/network/52860", "http://funmeta.oebiotech.com/network/52860")</f>
      </c>
      <c r="I751" s="2" t="s">
        <v>5872</v>
      </c>
      <c r="J751" s="2" t="s">
        <v>5873</v>
      </c>
      <c r="K751" s="2"/>
      <c r="L751" s="2" t="s">
        <v>5874</v>
      </c>
      <c r="M751" s="2" t="s">
        <v>5875</v>
      </c>
      <c r="N751" s="2" t="s">
        <v>5876</v>
      </c>
      <c r="O751" s="2" t="s">
        <v>5877</v>
      </c>
      <c r="P751" s="2" t="s">
        <v>5878</v>
      </c>
      <c r="Q751" s="2" t="s">
        <v>5879</v>
      </c>
      <c r="R751" s="2" t="s">
        <v>49</v>
      </c>
      <c r="S751" s="2" t="s">
        <v>165</v>
      </c>
      <c r="T751" s="2" t="s">
        <v>166</v>
      </c>
      <c r="U751" s="2" t="s">
        <v>5869</v>
      </c>
      <c r="V751" s="2" t="s">
        <v>522</v>
      </c>
      <c r="W751" s="2" t="s">
        <v>39</v>
      </c>
    </row>
    <row r="752">
      <c r="A752" s="2" t="n">
        <v>521</v>
      </c>
      <c r="B752" s="2" t="s">
        <v>13733</v>
      </c>
      <c r="C752" s="2" t="s">
        <v>5880</v>
      </c>
      <c r="D752" s="2" t="n">
        <v>465.300483518</v>
      </c>
      <c r="E752" s="2" t="n">
        <v>0.587941204017418</v>
      </c>
      <c r="F752" s="2" t="s">
        <v>13734</v>
      </c>
      <c r="G752" s="2" t="n">
        <v>58512</v>
      </c>
      <c r="H752" s="3" t="str">
        <f>HYPERLINK("http://funmeta.oebiotech.com/network/58512", "http://funmeta.oebiotech.com/network/58512")</f>
      </c>
      <c r="I752" s="2" t="s">
        <v>13735</v>
      </c>
      <c r="J752" s="2" t="s">
        <v>13736</v>
      </c>
      <c r="K752" s="2"/>
      <c r="L752" s="2"/>
      <c r="M752" s="2"/>
      <c r="N752" s="2" t="s">
        <v>13737</v>
      </c>
      <c r="O752" s="2"/>
      <c r="P752" s="2" t="s">
        <v>13738</v>
      </c>
      <c r="Q752" s="2" t="s">
        <v>13739</v>
      </c>
      <c r="R752" s="2" t="s">
        <v>1490</v>
      </c>
      <c r="S752" s="2" t="s">
        <v>4971</v>
      </c>
      <c r="T752" s="2" t="s">
        <v>7445</v>
      </c>
      <c r="U752" s="2" t="s">
        <v>5881</v>
      </c>
      <c r="V752" s="2" t="s">
        <v>42</v>
      </c>
      <c r="W752" s="2"/>
    </row>
    <row r="753">
      <c r="A753" s="2" t="n">
        <v>521</v>
      </c>
      <c r="B753" s="2" t="s">
        <v>13740</v>
      </c>
      <c r="C753" s="2" t="s">
        <v>5880</v>
      </c>
      <c r="D753" s="2" t="n">
        <v>465.300483518</v>
      </c>
      <c r="E753" s="2" t="n">
        <v>0.587941204017418</v>
      </c>
      <c r="F753" s="2" t="s">
        <v>13741</v>
      </c>
      <c r="G753" s="2" t="n">
        <v>59140</v>
      </c>
      <c r="H753" s="3" t="str">
        <f>HYPERLINK("http://funmeta.oebiotech.com/network/59140", "http://funmeta.oebiotech.com/network/59140")</f>
      </c>
      <c r="I753" s="2" t="s">
        <v>13742</v>
      </c>
      <c r="J753" s="2" t="s">
        <v>13743</v>
      </c>
      <c r="K753" s="2"/>
      <c r="L753" s="2"/>
      <c r="M753" s="2"/>
      <c r="N753" s="2" t="s">
        <v>13744</v>
      </c>
      <c r="O753" s="2" t="s">
        <v>13745</v>
      </c>
      <c r="P753" s="2" t="s">
        <v>13746</v>
      </c>
      <c r="Q753" s="2" t="s">
        <v>13747</v>
      </c>
      <c r="R753" s="2" t="s">
        <v>1490</v>
      </c>
      <c r="S753" s="2" t="s">
        <v>4971</v>
      </c>
      <c r="T753" s="2" t="s">
        <v>7445</v>
      </c>
      <c r="U753" s="2" t="s">
        <v>5881</v>
      </c>
      <c r="V753" s="2" t="s">
        <v>42</v>
      </c>
      <c r="W753" s="2"/>
    </row>
    <row r="754">
      <c r="A754" s="2" t="n">
        <v>521</v>
      </c>
      <c r="B754" s="2" t="s">
        <v>13748</v>
      </c>
      <c r="C754" s="2" t="s">
        <v>5880</v>
      </c>
      <c r="D754" s="2" t="n">
        <v>465.300483518</v>
      </c>
      <c r="E754" s="2" t="n">
        <v>0.587941204017418</v>
      </c>
      <c r="F754" s="2" t="s">
        <v>13749</v>
      </c>
      <c r="G754" s="2" t="n">
        <v>61139</v>
      </c>
      <c r="H754" s="3" t="str">
        <f>HYPERLINK("http://funmeta.oebiotech.com/network/61139", "http://funmeta.oebiotech.com/network/61139")</f>
      </c>
      <c r="I754" s="2" t="s">
        <v>13750</v>
      </c>
      <c r="J754" s="2"/>
      <c r="K754" s="2"/>
      <c r="L754" s="2"/>
      <c r="M754" s="2"/>
      <c r="N754" s="2" t="s">
        <v>13751</v>
      </c>
      <c r="O754" s="2" t="s">
        <v>13752</v>
      </c>
      <c r="P754" s="2" t="s">
        <v>13753</v>
      </c>
      <c r="Q754" s="2" t="s">
        <v>13754</v>
      </c>
      <c r="R754" s="2" t="s">
        <v>1490</v>
      </c>
      <c r="S754" s="2" t="s">
        <v>4971</v>
      </c>
      <c r="T754" s="2" t="s">
        <v>7445</v>
      </c>
      <c r="U754" s="2" t="s">
        <v>5881</v>
      </c>
      <c r="V754" s="2" t="s">
        <v>42</v>
      </c>
      <c r="W754" s="2"/>
    </row>
    <row r="755">
      <c r="A755" s="2" t="n">
        <v>522</v>
      </c>
      <c r="B755" s="2" t="s">
        <v>13755</v>
      </c>
      <c r="C755" s="2" t="s">
        <v>5891</v>
      </c>
      <c r="D755" s="2" t="n">
        <v>466.008705</v>
      </c>
      <c r="E755" s="2" t="n">
        <v>7.04296041274806</v>
      </c>
      <c r="F755" s="2" t="s">
        <v>5893</v>
      </c>
      <c r="G755" s="2" t="n">
        <v>203376</v>
      </c>
      <c r="H755" s="3" t="str">
        <f>HYPERLINK("http://funmeta.oebiotech.com/network/203376", "http://funmeta.oebiotech.com/network/203376")</f>
      </c>
      <c r="I755" s="2" t="s">
        <v>5895</v>
      </c>
      <c r="J755" s="2"/>
      <c r="K755" s="2"/>
      <c r="L755" s="2"/>
      <c r="M755" s="2"/>
      <c r="N755" s="2" t="s">
        <v>5896</v>
      </c>
      <c r="O755" s="2"/>
      <c r="P755" s="2" t="s">
        <v>5897</v>
      </c>
      <c r="Q755" s="2" t="s">
        <v>5898</v>
      </c>
      <c r="R755" s="2" t="s">
        <v>4189</v>
      </c>
      <c r="S755" s="2" t="s">
        <v>5899</v>
      </c>
      <c r="T755" s="2" t="s">
        <v>5900</v>
      </c>
      <c r="U755" s="2" t="s">
        <v>5892</v>
      </c>
      <c r="V755" s="2" t="s">
        <v>250</v>
      </c>
      <c r="W755" s="2"/>
    </row>
    <row r="756">
      <c r="A756" s="2" t="n">
        <v>523</v>
      </c>
      <c r="B756" s="2" t="s">
        <v>13756</v>
      </c>
      <c r="C756" s="2" t="s">
        <v>5901</v>
      </c>
      <c r="D756" s="2" t="n">
        <v>466.099683363</v>
      </c>
      <c r="E756" s="2" t="n">
        <v>8.76396627890539</v>
      </c>
      <c r="F756" s="2" t="s">
        <v>5903</v>
      </c>
      <c r="G756" s="2" t="n">
        <v>204349</v>
      </c>
      <c r="H756" s="3" t="str">
        <f>HYPERLINK("http://funmeta.oebiotech.com/network/204349", "http://funmeta.oebiotech.com/network/204349")</f>
      </c>
      <c r="I756" s="2" t="s">
        <v>5905</v>
      </c>
      <c r="J756" s="2"/>
      <c r="K756" s="2"/>
      <c r="L756" s="2"/>
      <c r="M756" s="2"/>
      <c r="N756" s="2" t="s">
        <v>5906</v>
      </c>
      <c r="O756" s="2"/>
      <c r="P756" s="2" t="s">
        <v>5907</v>
      </c>
      <c r="Q756" s="2" t="s">
        <v>5908</v>
      </c>
      <c r="R756" s="2" t="s">
        <v>64</v>
      </c>
      <c r="S756" s="2" t="s">
        <v>65</v>
      </c>
      <c r="T756" s="2" t="s">
        <v>66</v>
      </c>
      <c r="U756" s="2" t="s">
        <v>5902</v>
      </c>
      <c r="V756" s="2" t="s">
        <v>360</v>
      </c>
      <c r="W756" s="2"/>
    </row>
    <row r="757">
      <c r="A757" s="2" t="n">
        <v>524</v>
      </c>
      <c r="B757" s="2" t="s">
        <v>13757</v>
      </c>
      <c r="C757" s="2" t="s">
        <v>5909</v>
      </c>
      <c r="D757" s="2" t="n">
        <v>468.0038567</v>
      </c>
      <c r="E757" s="2" t="n">
        <v>4.95087428829997</v>
      </c>
      <c r="F757" s="2" t="s">
        <v>5911</v>
      </c>
      <c r="G757" s="2" t="n">
        <v>204563</v>
      </c>
      <c r="H757" s="3" t="str">
        <f>HYPERLINK("http://funmeta.oebiotech.com/network/204563", "http://funmeta.oebiotech.com/network/204563")</f>
      </c>
      <c r="I757" s="2" t="s">
        <v>5913</v>
      </c>
      <c r="J757" s="2"/>
      <c r="K757" s="2"/>
      <c r="L757" s="2"/>
      <c r="M757" s="2"/>
      <c r="N757" s="2" t="s">
        <v>5914</v>
      </c>
      <c r="O757" s="2"/>
      <c r="P757" s="2" t="s">
        <v>5915</v>
      </c>
      <c r="Q757" s="2" t="s">
        <v>5916</v>
      </c>
      <c r="R757" s="2" t="s">
        <v>502</v>
      </c>
      <c r="S757" s="2" t="s">
        <v>503</v>
      </c>
      <c r="T757" s="2" t="s">
        <v>5917</v>
      </c>
      <c r="U757" s="2" t="s">
        <v>5910</v>
      </c>
      <c r="V757" s="2" t="s">
        <v>24</v>
      </c>
      <c r="W757" s="2"/>
    </row>
    <row r="758">
      <c r="A758" s="2" t="n">
        <v>525</v>
      </c>
      <c r="B758" s="2" t="s">
        <v>13758</v>
      </c>
      <c r="C758" s="2" t="s">
        <v>5918</v>
      </c>
      <c r="D758" s="2" t="n">
        <v>468.070297572</v>
      </c>
      <c r="E758" s="2" t="n">
        <v>3.74653167224942</v>
      </c>
      <c r="F758" s="2" t="s">
        <v>5920</v>
      </c>
      <c r="G758" s="2" t="n">
        <v>82048</v>
      </c>
      <c r="H758" s="3" t="str">
        <f>HYPERLINK("http://funmeta.oebiotech.com/network/82048", "http://funmeta.oebiotech.com/network/82048")</f>
      </c>
      <c r="I758" s="2" t="s">
        <v>5922</v>
      </c>
      <c r="J758" s="2"/>
      <c r="K758" s="2"/>
      <c r="L758" s="2"/>
      <c r="M758" s="2"/>
      <c r="N758" s="2" t="s">
        <v>5923</v>
      </c>
      <c r="O758" s="2"/>
      <c r="P758" s="2" t="s">
        <v>5924</v>
      </c>
      <c r="Q758" s="2" t="s">
        <v>5925</v>
      </c>
      <c r="R758" s="2" t="s">
        <v>64</v>
      </c>
      <c r="S758" s="2" t="s">
        <v>65</v>
      </c>
      <c r="T758" s="2" t="s">
        <v>66</v>
      </c>
      <c r="U758" s="2" t="s">
        <v>5919</v>
      </c>
      <c r="V758" s="2" t="s">
        <v>110</v>
      </c>
      <c r="W758" s="2"/>
    </row>
    <row r="759">
      <c r="A759" s="2" t="n">
        <v>526</v>
      </c>
      <c r="B759" s="2" t="s">
        <v>13759</v>
      </c>
      <c r="C759" s="2" t="s">
        <v>5926</v>
      </c>
      <c r="D759" s="2" t="n">
        <v>470.063910606</v>
      </c>
      <c r="E759" s="2" t="n">
        <v>5.923975637986</v>
      </c>
      <c r="F759" s="2" t="s">
        <v>5928</v>
      </c>
      <c r="G759" s="2" t="n">
        <v>203237</v>
      </c>
      <c r="H759" s="3" t="str">
        <f>HYPERLINK("http://funmeta.oebiotech.com/network/203237", "http://funmeta.oebiotech.com/network/203237")</f>
      </c>
      <c r="I759" s="2" t="s">
        <v>5930</v>
      </c>
      <c r="J759" s="2"/>
      <c r="K759" s="2"/>
      <c r="L759" s="2"/>
      <c r="M759" s="2"/>
      <c r="N759" s="2" t="s">
        <v>5931</v>
      </c>
      <c r="O759" s="2"/>
      <c r="P759" s="2" t="s">
        <v>5932</v>
      </c>
      <c r="Q759" s="2" t="s">
        <v>5933</v>
      </c>
      <c r="R759" s="2" t="s">
        <v>355</v>
      </c>
      <c r="S759" s="2" t="s">
        <v>356</v>
      </c>
      <c r="T759" s="2" t="s">
        <v>5282</v>
      </c>
      <c r="U759" s="2" t="s">
        <v>5927</v>
      </c>
      <c r="V759" s="2" t="s">
        <v>24</v>
      </c>
      <c r="W759" s="2"/>
    </row>
    <row r="760">
      <c r="A760" s="2" t="n">
        <v>527</v>
      </c>
      <c r="B760" s="2" t="s">
        <v>13760</v>
      </c>
      <c r="C760" s="2" t="s">
        <v>5934</v>
      </c>
      <c r="D760" s="2" t="n">
        <v>472.077986543</v>
      </c>
      <c r="E760" s="2" t="n">
        <v>6.74615171549927</v>
      </c>
      <c r="F760" s="2" t="s">
        <v>5936</v>
      </c>
      <c r="G760" s="2" t="n">
        <v>83640</v>
      </c>
      <c r="H760" s="3" t="str">
        <f>HYPERLINK("http://funmeta.oebiotech.com/network/83640", "http://funmeta.oebiotech.com/network/83640")</f>
      </c>
      <c r="I760" s="2" t="s">
        <v>5938</v>
      </c>
      <c r="J760" s="2" t="s">
        <v>5939</v>
      </c>
      <c r="K760" s="2"/>
      <c r="L760" s="2" t="s">
        <v>5940</v>
      </c>
      <c r="M760" s="2" t="s">
        <v>5941</v>
      </c>
      <c r="N760" s="2" t="s">
        <v>5942</v>
      </c>
      <c r="O760" s="2" t="s">
        <v>5943</v>
      </c>
      <c r="P760" s="2" t="s">
        <v>5944</v>
      </c>
      <c r="Q760" s="2" t="s">
        <v>5945</v>
      </c>
      <c r="R760" s="2" t="s">
        <v>49</v>
      </c>
      <c r="S760" s="2" t="s">
        <v>165</v>
      </c>
      <c r="T760" s="2" t="s">
        <v>166</v>
      </c>
      <c r="U760" s="2" t="s">
        <v>5935</v>
      </c>
      <c r="V760" s="2" t="s">
        <v>110</v>
      </c>
      <c r="W760" s="2" t="s">
        <v>39</v>
      </c>
    </row>
    <row r="761">
      <c r="A761" s="2" t="n">
        <v>528</v>
      </c>
      <c r="B761" s="2" t="s">
        <v>13761</v>
      </c>
      <c r="C761" s="2" t="s">
        <v>5946</v>
      </c>
      <c r="D761" s="2" t="n">
        <v>472.200858495</v>
      </c>
      <c r="E761" s="2" t="n">
        <v>6.63776404365475</v>
      </c>
      <c r="F761" s="2" t="s">
        <v>5948</v>
      </c>
      <c r="G761" s="2" t="n">
        <v>57699</v>
      </c>
      <c r="H761" s="3" t="str">
        <f>HYPERLINK("http://funmeta.oebiotech.com/network/57699", "http://funmeta.oebiotech.com/network/57699")</f>
      </c>
      <c r="I761" s="2" t="s">
        <v>5950</v>
      </c>
      <c r="J761" s="2" t="s">
        <v>5951</v>
      </c>
      <c r="K761" s="2"/>
      <c r="L761" s="2"/>
      <c r="M761" s="2" t="s">
        <v>5952</v>
      </c>
      <c r="N761" s="2" t="s">
        <v>5953</v>
      </c>
      <c r="O761" s="2" t="s">
        <v>5954</v>
      </c>
      <c r="P761" s="2" t="s">
        <v>5955</v>
      </c>
      <c r="Q761" s="2" t="s">
        <v>5956</v>
      </c>
      <c r="R761" s="2" t="s">
        <v>2509</v>
      </c>
      <c r="S761" s="2" t="s">
        <v>4528</v>
      </c>
      <c r="T761" s="2" t="s">
        <v>4529</v>
      </c>
      <c r="U761" s="2" t="s">
        <v>5947</v>
      </c>
      <c r="V761" s="2" t="s">
        <v>522</v>
      </c>
      <c r="W761" s="2"/>
    </row>
    <row r="762">
      <c r="A762" s="2" t="n">
        <v>529</v>
      </c>
      <c r="B762" s="2" t="s">
        <v>13762</v>
      </c>
      <c r="C762" s="2" t="s">
        <v>5957</v>
      </c>
      <c r="D762" s="2" t="n">
        <v>473.158384558</v>
      </c>
      <c r="E762" s="2" t="n">
        <v>3.95619417555501</v>
      </c>
      <c r="F762" s="2" t="s">
        <v>5959</v>
      </c>
      <c r="G762" s="2" t="n">
        <v>61933</v>
      </c>
      <c r="H762" s="3" t="str">
        <f>HYPERLINK("http://funmeta.oebiotech.com/network/61933", "http://funmeta.oebiotech.com/network/61933")</f>
      </c>
      <c r="I762" s="2" t="s">
        <v>5961</v>
      </c>
      <c r="J762" s="2"/>
      <c r="K762" s="2"/>
      <c r="L762" s="2"/>
      <c r="M762" s="2"/>
      <c r="N762" s="2" t="s">
        <v>5962</v>
      </c>
      <c r="O762" s="2" t="s">
        <v>5963</v>
      </c>
      <c r="P762" s="2" t="s">
        <v>5964</v>
      </c>
      <c r="Q762" s="2" t="s">
        <v>5965</v>
      </c>
      <c r="R762" s="2" t="s">
        <v>1490</v>
      </c>
      <c r="S762" s="2" t="s">
        <v>4971</v>
      </c>
      <c r="T762" s="2" t="s">
        <v>5966</v>
      </c>
      <c r="U762" s="2" t="s">
        <v>5958</v>
      </c>
      <c r="V762" s="2" t="s">
        <v>522</v>
      </c>
      <c r="W762" s="2"/>
    </row>
    <row r="763">
      <c r="A763" s="2" t="n">
        <v>530</v>
      </c>
      <c r="B763" s="2" t="s">
        <v>13763</v>
      </c>
      <c r="C763" s="2" t="s">
        <v>5967</v>
      </c>
      <c r="D763" s="2" t="n">
        <v>473.282735657</v>
      </c>
      <c r="E763" s="2" t="n">
        <v>0.41128306302107</v>
      </c>
      <c r="F763" s="2" t="s">
        <v>5969</v>
      </c>
      <c r="G763" s="2" t="n">
        <v>48302</v>
      </c>
      <c r="H763" s="3" t="str">
        <f>HYPERLINK("http://funmeta.oebiotech.com/network/48302", "http://funmeta.oebiotech.com/network/48302")</f>
      </c>
      <c r="I763" s="2" t="s">
        <v>5971</v>
      </c>
      <c r="J763" s="2" t="s">
        <v>5972</v>
      </c>
      <c r="K763" s="2"/>
      <c r="L763" s="2" t="s">
        <v>5973</v>
      </c>
      <c r="M763" s="2" t="s">
        <v>5974</v>
      </c>
      <c r="N763" s="2" t="s">
        <v>5975</v>
      </c>
      <c r="O763" s="2" t="s">
        <v>5976</v>
      </c>
      <c r="P763" s="2" t="s">
        <v>5977</v>
      </c>
      <c r="Q763" s="2" t="s">
        <v>5978</v>
      </c>
      <c r="R763" s="2" t="s">
        <v>1490</v>
      </c>
      <c r="S763" s="2" t="s">
        <v>4971</v>
      </c>
      <c r="T763" s="2" t="s">
        <v>5979</v>
      </c>
      <c r="U763" s="2" t="s">
        <v>5968</v>
      </c>
      <c r="V763" s="2" t="s">
        <v>250</v>
      </c>
      <c r="W763" s="2" t="s">
        <v>39</v>
      </c>
    </row>
    <row r="764">
      <c r="A764" s="2" t="n">
        <v>531</v>
      </c>
      <c r="B764" s="2" t="s">
        <v>13764</v>
      </c>
      <c r="C764" s="2" t="s">
        <v>5980</v>
      </c>
      <c r="D764" s="2" t="n">
        <v>474.143737537</v>
      </c>
      <c r="E764" s="2" t="n">
        <v>6.46486205262664</v>
      </c>
      <c r="F764" s="2" t="s">
        <v>5982</v>
      </c>
      <c r="G764" s="2" t="n">
        <v>208224</v>
      </c>
      <c r="H764" s="3" t="str">
        <f>HYPERLINK("http://funmeta.oebiotech.com/network/208224", "http://funmeta.oebiotech.com/network/208224")</f>
      </c>
      <c r="I764" s="2" t="s">
        <v>5984</v>
      </c>
      <c r="J764" s="2"/>
      <c r="K764" s="2"/>
      <c r="L764" s="2"/>
      <c r="M764" s="2"/>
      <c r="N764" s="2" t="s">
        <v>5985</v>
      </c>
      <c r="O764" s="2"/>
      <c r="P764" s="2" t="s">
        <v>5986</v>
      </c>
      <c r="Q764" s="2" t="s">
        <v>5987</v>
      </c>
      <c r="R764" s="2" t="s">
        <v>502</v>
      </c>
      <c r="S764" s="2" t="s">
        <v>503</v>
      </c>
      <c r="T764" s="2" t="s">
        <v>3450</v>
      </c>
      <c r="U764" s="2" t="s">
        <v>5981</v>
      </c>
      <c r="V764" s="2" t="s">
        <v>522</v>
      </c>
      <c r="W764" s="2"/>
    </row>
    <row r="765">
      <c r="A765" s="2" t="n">
        <v>532</v>
      </c>
      <c r="B765" s="2" t="s">
        <v>13765</v>
      </c>
      <c r="C765" s="2" t="s">
        <v>5988</v>
      </c>
      <c r="D765" s="2" t="n">
        <v>476.041200058</v>
      </c>
      <c r="E765" s="2" t="n">
        <v>8.20971074605622</v>
      </c>
      <c r="F765" s="2" t="s">
        <v>5990</v>
      </c>
      <c r="G765" s="2" t="n">
        <v>205223</v>
      </c>
      <c r="H765" s="3" t="str">
        <f>HYPERLINK("http://funmeta.oebiotech.com/network/205223", "http://funmeta.oebiotech.com/network/205223")</f>
      </c>
      <c r="I765" s="2" t="s">
        <v>5992</v>
      </c>
      <c r="J765" s="2"/>
      <c r="K765" s="2"/>
      <c r="L765" s="2"/>
      <c r="M765" s="2"/>
      <c r="N765" s="2" t="s">
        <v>5993</v>
      </c>
      <c r="O765" s="2"/>
      <c r="P765" s="2" t="s">
        <v>5994</v>
      </c>
      <c r="Q765" s="2" t="s">
        <v>5995</v>
      </c>
      <c r="R765" s="2" t="s">
        <v>502</v>
      </c>
      <c r="S765" s="2" t="s">
        <v>503</v>
      </c>
      <c r="T765" s="2" t="s">
        <v>1964</v>
      </c>
      <c r="U765" s="2" t="s">
        <v>5989</v>
      </c>
      <c r="V765" s="2" t="s">
        <v>250</v>
      </c>
      <c r="W765" s="2"/>
    </row>
    <row r="766">
      <c r="A766" s="2" t="n">
        <v>533</v>
      </c>
      <c r="B766" s="2" t="s">
        <v>13766</v>
      </c>
      <c r="C766" s="2" t="s">
        <v>5996</v>
      </c>
      <c r="D766" s="2" t="n">
        <v>476.132898089</v>
      </c>
      <c r="E766" s="2" t="n">
        <v>4.34826195938918</v>
      </c>
      <c r="F766" s="2" t="s">
        <v>5998</v>
      </c>
      <c r="G766" s="2" t="n">
        <v>57073</v>
      </c>
      <c r="H766" s="3" t="str">
        <f>HYPERLINK("http://funmeta.oebiotech.com/network/57073", "http://funmeta.oebiotech.com/network/57073")</f>
      </c>
      <c r="I766" s="2" t="s">
        <v>6000</v>
      </c>
      <c r="J766" s="2" t="s">
        <v>6001</v>
      </c>
      <c r="K766" s="2"/>
      <c r="L766" s="2"/>
      <c r="M766" s="2"/>
      <c r="N766" s="2" t="s">
        <v>6002</v>
      </c>
      <c r="O766" s="2" t="s">
        <v>6003</v>
      </c>
      <c r="P766" s="2" t="s">
        <v>6004</v>
      </c>
      <c r="Q766" s="2" t="s">
        <v>6005</v>
      </c>
      <c r="R766" s="2" t="s">
        <v>64</v>
      </c>
      <c r="S766" s="2" t="s">
        <v>65</v>
      </c>
      <c r="T766" s="2" t="s">
        <v>66</v>
      </c>
      <c r="U766" s="2" t="s">
        <v>5997</v>
      </c>
      <c r="V766" s="2" t="s">
        <v>522</v>
      </c>
      <c r="W766" s="2"/>
    </row>
    <row r="767">
      <c r="A767" s="2" t="n">
        <v>534</v>
      </c>
      <c r="B767" s="2" t="s">
        <v>13767</v>
      </c>
      <c r="C767" s="2" t="s">
        <v>6006</v>
      </c>
      <c r="D767" s="2" t="n">
        <v>476.278263279</v>
      </c>
      <c r="E767" s="2" t="n">
        <v>5.28929297053689</v>
      </c>
      <c r="F767" s="2" t="s">
        <v>6008</v>
      </c>
      <c r="G767" s="2" t="n">
        <v>21202</v>
      </c>
      <c r="H767" s="3" t="str">
        <f>HYPERLINK("http://funmeta.oebiotech.com/network/21202", "http://funmeta.oebiotech.com/network/21202")</f>
      </c>
      <c r="I767" s="2" t="s">
        <v>6010</v>
      </c>
      <c r="J767" s="2" t="s">
        <v>6011</v>
      </c>
      <c r="K767" s="2" t="s">
        <v>6012</v>
      </c>
      <c r="L767" s="2"/>
      <c r="M767" s="2" t="s">
        <v>6013</v>
      </c>
      <c r="N767" s="2" t="s">
        <v>6014</v>
      </c>
      <c r="O767" s="2"/>
      <c r="P767" s="2" t="s">
        <v>6015</v>
      </c>
      <c r="Q767" s="2" t="s">
        <v>6016</v>
      </c>
      <c r="R767" s="2" t="s">
        <v>1490</v>
      </c>
      <c r="S767" s="2" t="s">
        <v>4236</v>
      </c>
      <c r="T767" s="2" t="s">
        <v>5369</v>
      </c>
      <c r="U767" s="2" t="s">
        <v>6007</v>
      </c>
      <c r="V767" s="2" t="s">
        <v>110</v>
      </c>
      <c r="W767" s="2"/>
    </row>
    <row r="768">
      <c r="A768" s="2" t="n">
        <v>535</v>
      </c>
      <c r="B768" s="2" t="s">
        <v>13768</v>
      </c>
      <c r="C768" s="2" t="s">
        <v>6017</v>
      </c>
      <c r="D768" s="2" t="n">
        <v>477.030528842</v>
      </c>
      <c r="E768" s="2" t="n">
        <v>2.19506778210629</v>
      </c>
      <c r="F768" s="2" t="s">
        <v>6019</v>
      </c>
      <c r="G768" s="2" t="n">
        <v>60825</v>
      </c>
      <c r="H768" s="3" t="str">
        <f>HYPERLINK("http://funmeta.oebiotech.com/network/60825", "http://funmeta.oebiotech.com/network/60825")</f>
      </c>
      <c r="I768" s="2" t="s">
        <v>6021</v>
      </c>
      <c r="J768" s="2" t="s">
        <v>6022</v>
      </c>
      <c r="K768" s="2"/>
      <c r="L768" s="2"/>
      <c r="M768" s="2"/>
      <c r="N768" s="2" t="s">
        <v>6023</v>
      </c>
      <c r="O768" s="2"/>
      <c r="P768" s="2" t="s">
        <v>6024</v>
      </c>
      <c r="Q768" s="2" t="s">
        <v>6025</v>
      </c>
      <c r="R768" s="2" t="s">
        <v>49</v>
      </c>
      <c r="S768" s="2" t="s">
        <v>165</v>
      </c>
      <c r="T768" s="2" t="s">
        <v>2874</v>
      </c>
      <c r="U768" s="2" t="s">
        <v>6018</v>
      </c>
      <c r="V768" s="2" t="s">
        <v>42</v>
      </c>
      <c r="W768" s="2"/>
    </row>
    <row r="769">
      <c r="A769" s="2" t="n">
        <v>536</v>
      </c>
      <c r="B769" s="2" t="s">
        <v>13769</v>
      </c>
      <c r="C769" s="2" t="s">
        <v>6026</v>
      </c>
      <c r="D769" s="2" t="n">
        <v>477.267831903</v>
      </c>
      <c r="E769" s="2" t="n">
        <v>4.00537842523985</v>
      </c>
      <c r="F769" s="2" t="s">
        <v>6028</v>
      </c>
      <c r="G769" s="2" t="n">
        <v>205522</v>
      </c>
      <c r="H769" s="3" t="str">
        <f>HYPERLINK("http://funmeta.oebiotech.com/network/205522", "http://funmeta.oebiotech.com/network/205522")</f>
      </c>
      <c r="I769" s="2" t="s">
        <v>6030</v>
      </c>
      <c r="J769" s="2"/>
      <c r="K769" s="2"/>
      <c r="L769" s="2"/>
      <c r="M769" s="2"/>
      <c r="N769" s="2" t="s">
        <v>6031</v>
      </c>
      <c r="O769" s="2"/>
      <c r="P769" s="2" t="s">
        <v>6032</v>
      </c>
      <c r="Q769" s="2" t="s">
        <v>6033</v>
      </c>
      <c r="R769" s="2" t="s">
        <v>64</v>
      </c>
      <c r="S769" s="2" t="s">
        <v>65</v>
      </c>
      <c r="T769" s="2" t="s">
        <v>66</v>
      </c>
      <c r="U769" s="2" t="s">
        <v>6027</v>
      </c>
      <c r="V769" s="2" t="s">
        <v>24</v>
      </c>
      <c r="W769" s="2"/>
    </row>
    <row r="770">
      <c r="A770" s="2" t="n">
        <v>537</v>
      </c>
      <c r="B770" s="2" t="s">
        <v>13770</v>
      </c>
      <c r="C770" s="2" t="s">
        <v>6034</v>
      </c>
      <c r="D770" s="2" t="n">
        <v>479.117246026</v>
      </c>
      <c r="E770" s="2" t="n">
        <v>0.76756313839744</v>
      </c>
      <c r="F770" s="2" t="s">
        <v>6036</v>
      </c>
      <c r="G770" s="2" t="n">
        <v>64326</v>
      </c>
      <c r="H770" s="3" t="str">
        <f>HYPERLINK("http://funmeta.oebiotech.com/network/64326", "http://funmeta.oebiotech.com/network/64326")</f>
      </c>
      <c r="I770" s="2" t="s">
        <v>6038</v>
      </c>
      <c r="J770" s="2"/>
      <c r="K770" s="2"/>
      <c r="L770" s="2"/>
      <c r="M770" s="2"/>
      <c r="N770" s="2" t="s">
        <v>6039</v>
      </c>
      <c r="O770" s="2"/>
      <c r="P770" s="2" t="s">
        <v>6040</v>
      </c>
      <c r="Q770" s="2" t="s">
        <v>6041</v>
      </c>
      <c r="R770" s="2" t="s">
        <v>64</v>
      </c>
      <c r="S770" s="2" t="s">
        <v>65</v>
      </c>
      <c r="T770" s="2" t="s">
        <v>66</v>
      </c>
      <c r="U770" s="2" t="s">
        <v>6035</v>
      </c>
      <c r="V770" s="2" t="s">
        <v>250</v>
      </c>
      <c r="W770" s="2"/>
    </row>
    <row r="771">
      <c r="A771" s="2" t="n">
        <v>538</v>
      </c>
      <c r="B771" s="2" t="s">
        <v>13771</v>
      </c>
      <c r="C771" s="2" t="s">
        <v>6042</v>
      </c>
      <c r="D771" s="2" t="n">
        <v>480.03214179</v>
      </c>
      <c r="E771" s="2" t="n">
        <v>4.99176123568827</v>
      </c>
      <c r="F771" s="2" t="s">
        <v>6044</v>
      </c>
      <c r="G771" s="2" t="n">
        <v>212134</v>
      </c>
      <c r="H771" s="3" t="str">
        <f>HYPERLINK("http://funmeta.oebiotech.com/network/212134", "http://funmeta.oebiotech.com/network/212134")</f>
      </c>
      <c r="I771" s="2" t="s">
        <v>6046</v>
      </c>
      <c r="J771" s="2" t="s">
        <v>6047</v>
      </c>
      <c r="K771" s="2"/>
      <c r="L771" s="2" t="s">
        <v>6048</v>
      </c>
      <c r="M771" s="2"/>
      <c r="N771" s="2" t="s">
        <v>6049</v>
      </c>
      <c r="O771" s="2" t="s">
        <v>6050</v>
      </c>
      <c r="P771" s="2" t="s">
        <v>6051</v>
      </c>
      <c r="Q771" s="2" t="s">
        <v>6052</v>
      </c>
      <c r="R771" s="2" t="s">
        <v>502</v>
      </c>
      <c r="S771" s="2" t="s">
        <v>503</v>
      </c>
      <c r="T771" s="2" t="s">
        <v>6053</v>
      </c>
      <c r="U771" s="2" t="s">
        <v>6043</v>
      </c>
      <c r="V771" s="2" t="s">
        <v>110</v>
      </c>
      <c r="W771" s="2" t="s">
        <v>39</v>
      </c>
    </row>
    <row r="772">
      <c r="A772" s="2" t="n">
        <v>539</v>
      </c>
      <c r="B772" s="2" t="s">
        <v>13772</v>
      </c>
      <c r="C772" s="2" t="s">
        <v>6054</v>
      </c>
      <c r="D772" s="2" t="n">
        <v>480.307910117</v>
      </c>
      <c r="E772" s="2" t="n">
        <v>1.44156940493869</v>
      </c>
      <c r="F772" s="2" t="s">
        <v>6056</v>
      </c>
      <c r="G772" s="2" t="n">
        <v>209975</v>
      </c>
      <c r="H772" s="3" t="str">
        <f>HYPERLINK("http://funmeta.oebiotech.com/network/209975", "http://funmeta.oebiotech.com/network/209975")</f>
      </c>
      <c r="I772" s="2" t="s">
        <v>6058</v>
      </c>
      <c r="J772" s="2"/>
      <c r="K772" s="2"/>
      <c r="L772" s="2"/>
      <c r="M772" s="2"/>
      <c r="N772" s="2" t="s">
        <v>6059</v>
      </c>
      <c r="O772" s="2"/>
      <c r="P772" s="2" t="s">
        <v>6060</v>
      </c>
      <c r="Q772" s="2" t="s">
        <v>6061</v>
      </c>
      <c r="R772" s="2" t="s">
        <v>2590</v>
      </c>
      <c r="S772" s="2" t="s">
        <v>2591</v>
      </c>
      <c r="T772" s="2" t="s">
        <v>205</v>
      </c>
      <c r="U772" s="2" t="s">
        <v>6055</v>
      </c>
      <c r="V772" s="2" t="s">
        <v>110</v>
      </c>
      <c r="W772" s="2"/>
    </row>
    <row r="773">
      <c r="A773" s="2" t="n">
        <v>540</v>
      </c>
      <c r="B773" s="2" t="s">
        <v>13773</v>
      </c>
      <c r="C773" s="2" t="s">
        <v>6062</v>
      </c>
      <c r="D773" s="2" t="n">
        <v>482.0681895</v>
      </c>
      <c r="E773" s="2" t="n">
        <v>5.38060251954588</v>
      </c>
      <c r="F773" s="2" t="s">
        <v>6064</v>
      </c>
      <c r="G773" s="2" t="n">
        <v>212899</v>
      </c>
      <c r="H773" s="3" t="str">
        <f>HYPERLINK("http://funmeta.oebiotech.com/network/212899", "http://funmeta.oebiotech.com/network/212899")</f>
      </c>
      <c r="I773" s="2" t="s">
        <v>6066</v>
      </c>
      <c r="J773" s="2"/>
      <c r="K773" s="2"/>
      <c r="L773" s="2"/>
      <c r="M773" s="2"/>
      <c r="N773" s="2" t="s">
        <v>6067</v>
      </c>
      <c r="O773" s="2"/>
      <c r="P773" s="2" t="s">
        <v>6068</v>
      </c>
      <c r="Q773" s="2" t="s">
        <v>6069</v>
      </c>
      <c r="R773" s="2" t="s">
        <v>49</v>
      </c>
      <c r="S773" s="2" t="s">
        <v>165</v>
      </c>
      <c r="T773" s="2" t="s">
        <v>166</v>
      </c>
      <c r="U773" s="2" t="s">
        <v>6063</v>
      </c>
      <c r="V773" s="2" t="s">
        <v>110</v>
      </c>
      <c r="W773" s="2"/>
    </row>
    <row r="774">
      <c r="A774" s="2" t="n">
        <v>541</v>
      </c>
      <c r="B774" s="2" t="s">
        <v>13774</v>
      </c>
      <c r="C774" s="2" t="s">
        <v>6070</v>
      </c>
      <c r="D774" s="2" t="n">
        <v>483.272839242</v>
      </c>
      <c r="E774" s="2" t="n">
        <v>1.14053276640339</v>
      </c>
      <c r="F774" s="2" t="s">
        <v>6072</v>
      </c>
      <c r="G774" s="2" t="n">
        <v>49557</v>
      </c>
      <c r="H774" s="3" t="str">
        <f>HYPERLINK("http://funmeta.oebiotech.com/network/49557", "http://funmeta.oebiotech.com/network/49557")</f>
      </c>
      <c r="I774" s="2" t="s">
        <v>6074</v>
      </c>
      <c r="J774" s="2"/>
      <c r="K774" s="2"/>
      <c r="L774" s="2"/>
      <c r="M774" s="2"/>
      <c r="N774" s="2" t="s">
        <v>6075</v>
      </c>
      <c r="O774" s="2"/>
      <c r="P774" s="2" t="s">
        <v>6076</v>
      </c>
      <c r="Q774" s="2" t="s">
        <v>6077</v>
      </c>
      <c r="R774" s="2" t="s">
        <v>1490</v>
      </c>
      <c r="S774" s="2" t="s">
        <v>4236</v>
      </c>
      <c r="T774" s="2" t="s">
        <v>5175</v>
      </c>
      <c r="U774" s="2" t="s">
        <v>6071</v>
      </c>
      <c r="V774" s="2" t="s">
        <v>24</v>
      </c>
      <c r="W774" s="2"/>
    </row>
    <row r="775">
      <c r="A775" s="2" t="n">
        <v>542</v>
      </c>
      <c r="B775" s="2" t="s">
        <v>13775</v>
      </c>
      <c r="C775" s="2" t="s">
        <v>6078</v>
      </c>
      <c r="D775" s="2" t="n">
        <v>484.0767646</v>
      </c>
      <c r="E775" s="2" t="n">
        <v>3.30623213476312</v>
      </c>
      <c r="F775" s="2" t="s">
        <v>6080</v>
      </c>
      <c r="G775" s="2" t="n">
        <v>211953</v>
      </c>
      <c r="H775" s="3" t="str">
        <f>HYPERLINK("http://funmeta.oebiotech.com/network/211953", "http://funmeta.oebiotech.com/network/211953")</f>
      </c>
      <c r="I775" s="2" t="s">
        <v>6082</v>
      </c>
      <c r="J775" s="2"/>
      <c r="K775" s="2"/>
      <c r="L775" s="2"/>
      <c r="M775" s="2"/>
      <c r="N775" s="2" t="s">
        <v>6083</v>
      </c>
      <c r="O775" s="2"/>
      <c r="P775" s="2" t="s">
        <v>6084</v>
      </c>
      <c r="Q775" s="2" t="s">
        <v>6085</v>
      </c>
      <c r="R775" s="2" t="s">
        <v>355</v>
      </c>
      <c r="S775" s="2" t="s">
        <v>2424</v>
      </c>
      <c r="T775" s="2" t="s">
        <v>4246</v>
      </c>
      <c r="U775" s="2" t="s">
        <v>6079</v>
      </c>
      <c r="V775" s="2" t="s">
        <v>42</v>
      </c>
      <c r="W775" s="2"/>
    </row>
    <row r="776">
      <c r="A776" s="2" t="n">
        <v>543</v>
      </c>
      <c r="B776" s="2" t="s">
        <v>13776</v>
      </c>
      <c r="C776" s="2" t="s">
        <v>6086</v>
      </c>
      <c r="D776" s="2" t="n">
        <v>485.229321138</v>
      </c>
      <c r="E776" s="2" t="n">
        <v>2.0024034420159</v>
      </c>
      <c r="F776" s="2" t="s">
        <v>6088</v>
      </c>
      <c r="G776" s="2" t="n">
        <v>203066</v>
      </c>
      <c r="H776" s="3" t="str">
        <f>HYPERLINK("http://funmeta.oebiotech.com/network/203066", "http://funmeta.oebiotech.com/network/203066")</f>
      </c>
      <c r="I776" s="2" t="s">
        <v>6090</v>
      </c>
      <c r="J776" s="2"/>
      <c r="K776" s="2"/>
      <c r="L776" s="2"/>
      <c r="M776" s="2"/>
      <c r="N776" s="2" t="s">
        <v>6091</v>
      </c>
      <c r="O776" s="2"/>
      <c r="P776" s="2" t="s">
        <v>6092</v>
      </c>
      <c r="Q776" s="2" t="s">
        <v>6093</v>
      </c>
      <c r="R776" s="2" t="s">
        <v>2509</v>
      </c>
      <c r="S776" s="2" t="s">
        <v>6094</v>
      </c>
      <c r="T776" s="2" t="s">
        <v>205</v>
      </c>
      <c r="U776" s="2" t="s">
        <v>6087</v>
      </c>
      <c r="V776" s="2" t="s">
        <v>24</v>
      </c>
      <c r="W776" s="2"/>
    </row>
    <row r="777">
      <c r="A777" s="2" t="n">
        <v>544</v>
      </c>
      <c r="B777" s="2" t="s">
        <v>13777</v>
      </c>
      <c r="C777" s="2" t="s">
        <v>6095</v>
      </c>
      <c r="D777" s="2" t="n">
        <v>486.067010677</v>
      </c>
      <c r="E777" s="2" t="n">
        <v>4.16022244574094</v>
      </c>
      <c r="F777" s="2" t="s">
        <v>6097</v>
      </c>
      <c r="G777" s="2" t="n">
        <v>205718</v>
      </c>
      <c r="H777" s="3" t="str">
        <f>HYPERLINK("http://funmeta.oebiotech.com/network/205718", "http://funmeta.oebiotech.com/network/205718")</f>
      </c>
      <c r="I777" s="2" t="s">
        <v>6099</v>
      </c>
      <c r="J777" s="2"/>
      <c r="K777" s="2"/>
      <c r="L777" s="2"/>
      <c r="M777" s="2"/>
      <c r="N777" s="2" t="s">
        <v>6100</v>
      </c>
      <c r="O777" s="2"/>
      <c r="P777" s="2" t="s">
        <v>6101</v>
      </c>
      <c r="Q777" s="2" t="s">
        <v>6102</v>
      </c>
      <c r="R777" s="2" t="s">
        <v>502</v>
      </c>
      <c r="S777" s="2" t="s">
        <v>503</v>
      </c>
      <c r="T777" s="2" t="s">
        <v>6053</v>
      </c>
      <c r="U777" s="2" t="s">
        <v>6096</v>
      </c>
      <c r="V777" s="2" t="s">
        <v>42</v>
      </c>
      <c r="W777" s="2"/>
    </row>
    <row r="778">
      <c r="A778" s="2" t="n">
        <v>545</v>
      </c>
      <c r="B778" s="2" t="s">
        <v>13778</v>
      </c>
      <c r="C778" s="2" t="s">
        <v>6103</v>
      </c>
      <c r="D778" s="2" t="n">
        <v>487.18209618</v>
      </c>
      <c r="E778" s="2" t="n">
        <v>5.58180471744184</v>
      </c>
      <c r="F778" s="2" t="s">
        <v>6105</v>
      </c>
      <c r="G778" s="2" t="n">
        <v>58219</v>
      </c>
      <c r="H778" s="3" t="str">
        <f>HYPERLINK("http://funmeta.oebiotech.com/network/58219", "http://funmeta.oebiotech.com/network/58219")</f>
      </c>
      <c r="I778" s="2" t="s">
        <v>6107</v>
      </c>
      <c r="J778" s="2"/>
      <c r="K778" s="2"/>
      <c r="L778" s="2" t="s">
        <v>6108</v>
      </c>
      <c r="M778" s="2"/>
      <c r="N778" s="2" t="s">
        <v>6109</v>
      </c>
      <c r="O778" s="2"/>
      <c r="P778" s="2" t="s">
        <v>6110</v>
      </c>
      <c r="Q778" s="2" t="s">
        <v>6111</v>
      </c>
      <c r="R778" s="2" t="s">
        <v>64</v>
      </c>
      <c r="S778" s="2" t="s">
        <v>65</v>
      </c>
      <c r="T778" s="2" t="s">
        <v>66</v>
      </c>
      <c r="U778" s="2" t="s">
        <v>6104</v>
      </c>
      <c r="V778" s="2" t="s">
        <v>24</v>
      </c>
      <c r="W778" s="2" t="s">
        <v>39</v>
      </c>
    </row>
    <row r="779">
      <c r="A779" s="2" t="n">
        <v>546</v>
      </c>
      <c r="B779" s="2" t="s">
        <v>13779</v>
      </c>
      <c r="C779" s="2" t="s">
        <v>6112</v>
      </c>
      <c r="D779" s="2" t="n">
        <v>488.166417583</v>
      </c>
      <c r="E779" s="2" t="n">
        <v>1.04182505773728</v>
      </c>
      <c r="F779" s="2" t="s">
        <v>6114</v>
      </c>
      <c r="G779" s="2" t="n">
        <v>202649</v>
      </c>
      <c r="H779" s="3" t="str">
        <f>HYPERLINK("http://funmeta.oebiotech.com/network/202649", "http://funmeta.oebiotech.com/network/202649")</f>
      </c>
      <c r="I779" s="2" t="s">
        <v>6116</v>
      </c>
      <c r="J779" s="2"/>
      <c r="K779" s="2"/>
      <c r="L779" s="2"/>
      <c r="M779" s="2"/>
      <c r="N779" s="2" t="s">
        <v>6117</v>
      </c>
      <c r="O779" s="2"/>
      <c r="P779" s="2" t="s">
        <v>6118</v>
      </c>
      <c r="Q779" s="2" t="s">
        <v>6119</v>
      </c>
      <c r="R779" s="2" t="s">
        <v>2590</v>
      </c>
      <c r="S779" s="2" t="s">
        <v>6120</v>
      </c>
      <c r="T779" s="2" t="s">
        <v>6121</v>
      </c>
      <c r="U779" s="2" t="s">
        <v>6113</v>
      </c>
      <c r="V779" s="2" t="s">
        <v>24</v>
      </c>
      <c r="W779" s="2"/>
    </row>
    <row r="780">
      <c r="A780" s="2" t="n">
        <v>547</v>
      </c>
      <c r="B780" s="2" t="s">
        <v>13780</v>
      </c>
      <c r="C780" s="2" t="s">
        <v>6122</v>
      </c>
      <c r="D780" s="2" t="n">
        <v>489.169831158</v>
      </c>
      <c r="E780" s="2" t="n">
        <v>5.42620264247642</v>
      </c>
      <c r="F780" s="2" t="s">
        <v>6124</v>
      </c>
      <c r="G780" s="2" t="n">
        <v>210995</v>
      </c>
      <c r="H780" s="3" t="str">
        <f>HYPERLINK("http://funmeta.oebiotech.com/network/210995", "http://funmeta.oebiotech.com/network/210995")</f>
      </c>
      <c r="I780" s="2" t="s">
        <v>6126</v>
      </c>
      <c r="J780" s="2"/>
      <c r="K780" s="2"/>
      <c r="L780" s="2"/>
      <c r="M780" s="2"/>
      <c r="N780" s="2" t="s">
        <v>6127</v>
      </c>
      <c r="O780" s="2"/>
      <c r="P780" s="2" t="s">
        <v>6128</v>
      </c>
      <c r="Q780" s="2" t="s">
        <v>6129</v>
      </c>
      <c r="R780" s="2" t="s">
        <v>355</v>
      </c>
      <c r="S780" s="2" t="s">
        <v>2424</v>
      </c>
      <c r="T780" s="2" t="s">
        <v>6130</v>
      </c>
      <c r="U780" s="2" t="s">
        <v>6123</v>
      </c>
      <c r="V780" s="2" t="s">
        <v>250</v>
      </c>
      <c r="W780" s="2"/>
    </row>
    <row r="781">
      <c r="A781" s="2" t="n">
        <v>548</v>
      </c>
      <c r="B781" s="2" t="s">
        <v>13781</v>
      </c>
      <c r="C781" s="2" t="s">
        <v>6131</v>
      </c>
      <c r="D781" s="2" t="n">
        <v>490.016624442</v>
      </c>
      <c r="E781" s="2" t="n">
        <v>0.944174275869575</v>
      </c>
      <c r="F781" s="2" t="s">
        <v>6133</v>
      </c>
      <c r="G781" s="2" t="n">
        <v>201511</v>
      </c>
      <c r="H781" s="3" t="str">
        <f>HYPERLINK("http://funmeta.oebiotech.com/network/201511", "http://funmeta.oebiotech.com/network/201511")</f>
      </c>
      <c r="I781" s="2" t="s">
        <v>6135</v>
      </c>
      <c r="J781" s="2"/>
      <c r="K781" s="2"/>
      <c r="L781" s="2"/>
      <c r="M781" s="2" t="s">
        <v>6136</v>
      </c>
      <c r="N781" s="2" t="s">
        <v>6137</v>
      </c>
      <c r="O781" s="2"/>
      <c r="P781" s="2" t="s">
        <v>6138</v>
      </c>
      <c r="Q781" s="2" t="s">
        <v>6139</v>
      </c>
      <c r="R781" s="2" t="s">
        <v>502</v>
      </c>
      <c r="S781" s="2" t="s">
        <v>503</v>
      </c>
      <c r="T781" s="2" t="s">
        <v>5144</v>
      </c>
      <c r="U781" s="2" t="s">
        <v>6132</v>
      </c>
      <c r="V781" s="2" t="s">
        <v>250</v>
      </c>
      <c r="W781" s="2"/>
    </row>
    <row r="782">
      <c r="A782" s="2" t="n">
        <v>549</v>
      </c>
      <c r="B782" s="2" t="s">
        <v>13782</v>
      </c>
      <c r="C782" s="2" t="s">
        <v>6140</v>
      </c>
      <c r="D782" s="2" t="n">
        <v>490.112101073</v>
      </c>
      <c r="E782" s="2" t="n">
        <v>1.51920992818972</v>
      </c>
      <c r="F782" s="2" t="s">
        <v>6142</v>
      </c>
      <c r="G782" s="2" t="n">
        <v>56410</v>
      </c>
      <c r="H782" s="3" t="str">
        <f>HYPERLINK("http://funmeta.oebiotech.com/network/56410", "http://funmeta.oebiotech.com/network/56410")</f>
      </c>
      <c r="I782" s="2" t="s">
        <v>6144</v>
      </c>
      <c r="J782" s="2"/>
      <c r="K782" s="2"/>
      <c r="L782" s="2"/>
      <c r="M782" s="2"/>
      <c r="N782" s="2" t="s">
        <v>6145</v>
      </c>
      <c r="O782" s="2" t="s">
        <v>6146</v>
      </c>
      <c r="P782" s="2" t="s">
        <v>6147</v>
      </c>
      <c r="Q782" s="2" t="s">
        <v>6148</v>
      </c>
      <c r="R782" s="2" t="s">
        <v>64</v>
      </c>
      <c r="S782" s="2" t="s">
        <v>65</v>
      </c>
      <c r="T782" s="2" t="s">
        <v>66</v>
      </c>
      <c r="U782" s="2" t="s">
        <v>6141</v>
      </c>
      <c r="V782" s="2" t="s">
        <v>250</v>
      </c>
      <c r="W782" s="2"/>
    </row>
    <row r="783">
      <c r="A783" s="2" t="n">
        <v>550</v>
      </c>
      <c r="B783" s="2" t="s">
        <v>13783</v>
      </c>
      <c r="C783" s="2" t="s">
        <v>6149</v>
      </c>
      <c r="D783" s="2" t="n">
        <v>492.033085769</v>
      </c>
      <c r="E783" s="2" t="n">
        <v>8.43148982320339</v>
      </c>
      <c r="F783" s="2" t="s">
        <v>6151</v>
      </c>
      <c r="G783" s="2" t="n">
        <v>52660</v>
      </c>
      <c r="H783" s="3" t="str">
        <f>HYPERLINK("http://funmeta.oebiotech.com/network/52660", "http://funmeta.oebiotech.com/network/52660")</f>
      </c>
      <c r="I783" s="2" t="s">
        <v>6153</v>
      </c>
      <c r="J783" s="2" t="s">
        <v>6154</v>
      </c>
      <c r="K783" s="2"/>
      <c r="L783" s="2"/>
      <c r="M783" s="2" t="s">
        <v>6155</v>
      </c>
      <c r="N783" s="2" t="s">
        <v>6156</v>
      </c>
      <c r="O783" s="2" t="s">
        <v>6157</v>
      </c>
      <c r="P783" s="2" t="s">
        <v>6158</v>
      </c>
      <c r="Q783" s="2" t="s">
        <v>6159</v>
      </c>
      <c r="R783" s="2" t="s">
        <v>355</v>
      </c>
      <c r="S783" s="2" t="s">
        <v>4796</v>
      </c>
      <c r="T783" s="2" t="s">
        <v>4797</v>
      </c>
      <c r="U783" s="2" t="s">
        <v>6150</v>
      </c>
      <c r="V783" s="2" t="s">
        <v>42</v>
      </c>
      <c r="W783" s="2"/>
    </row>
    <row r="784">
      <c r="A784" s="2" t="n">
        <v>551</v>
      </c>
      <c r="B784" s="2" t="s">
        <v>13784</v>
      </c>
      <c r="C784" s="2" t="s">
        <v>6160</v>
      </c>
      <c r="D784" s="2" t="n">
        <v>492.136543418</v>
      </c>
      <c r="E784" s="2" t="n">
        <v>1.19112021627835</v>
      </c>
      <c r="F784" s="2" t="s">
        <v>6162</v>
      </c>
      <c r="G784" s="2" t="n">
        <v>53259</v>
      </c>
      <c r="H784" s="3" t="str">
        <f>HYPERLINK("http://funmeta.oebiotech.com/network/53259", "http://funmeta.oebiotech.com/network/53259")</f>
      </c>
      <c r="I784" s="2" t="s">
        <v>6164</v>
      </c>
      <c r="J784" s="2" t="s">
        <v>6165</v>
      </c>
      <c r="K784" s="2"/>
      <c r="L784" s="2" t="s">
        <v>6166</v>
      </c>
      <c r="M784" s="2" t="s">
        <v>6167</v>
      </c>
      <c r="N784" s="2" t="s">
        <v>6168</v>
      </c>
      <c r="O784" s="2" t="s">
        <v>6169</v>
      </c>
      <c r="P784" s="2" t="s">
        <v>6170</v>
      </c>
      <c r="Q784" s="2" t="s">
        <v>6171</v>
      </c>
      <c r="R784" s="2" t="s">
        <v>502</v>
      </c>
      <c r="S784" s="2" t="s">
        <v>503</v>
      </c>
      <c r="T784" s="2" t="s">
        <v>1964</v>
      </c>
      <c r="U784" s="2" t="s">
        <v>6161</v>
      </c>
      <c r="V784" s="2" t="s">
        <v>110</v>
      </c>
      <c r="W784" s="2" t="s">
        <v>39</v>
      </c>
    </row>
    <row r="785">
      <c r="A785" s="2" t="n">
        <v>552</v>
      </c>
      <c r="B785" s="2" t="s">
        <v>13785</v>
      </c>
      <c r="C785" s="2" t="s">
        <v>6172</v>
      </c>
      <c r="D785" s="2" t="n">
        <v>494.037933823</v>
      </c>
      <c r="E785" s="2" t="n">
        <v>4.56461444406083</v>
      </c>
      <c r="F785" s="2" t="s">
        <v>6174</v>
      </c>
      <c r="G785" s="2" t="n">
        <v>208908</v>
      </c>
      <c r="H785" s="3" t="str">
        <f>HYPERLINK("http://funmeta.oebiotech.com/network/208908", "http://funmeta.oebiotech.com/network/208908")</f>
      </c>
      <c r="I785" s="2" t="s">
        <v>6176</v>
      </c>
      <c r="J785" s="2"/>
      <c r="K785" s="2"/>
      <c r="L785" s="2"/>
      <c r="M785" s="2"/>
      <c r="N785" s="2" t="s">
        <v>6177</v>
      </c>
      <c r="O785" s="2"/>
      <c r="P785" s="2" t="s">
        <v>6178</v>
      </c>
      <c r="Q785" s="2" t="s">
        <v>6179</v>
      </c>
      <c r="R785" s="2" t="s">
        <v>502</v>
      </c>
      <c r="S785" s="2" t="s">
        <v>503</v>
      </c>
      <c r="T785" s="2" t="s">
        <v>2174</v>
      </c>
      <c r="U785" s="2" t="s">
        <v>6173</v>
      </c>
      <c r="V785" s="2" t="s">
        <v>360</v>
      </c>
      <c r="W785" s="2"/>
    </row>
    <row r="786">
      <c r="A786" s="2" t="n">
        <v>553</v>
      </c>
      <c r="B786" s="2" t="s">
        <v>13786</v>
      </c>
      <c r="C786" s="2" t="s">
        <v>6180</v>
      </c>
      <c r="D786" s="2" t="n">
        <v>495.202442</v>
      </c>
      <c r="E786" s="2" t="n">
        <v>9.53176593114356</v>
      </c>
      <c r="F786" s="2" t="s">
        <v>6182</v>
      </c>
      <c r="G786" s="2" t="n">
        <v>59837</v>
      </c>
      <c r="H786" s="3" t="str">
        <f>HYPERLINK("http://funmeta.oebiotech.com/network/59837", "http://funmeta.oebiotech.com/network/59837")</f>
      </c>
      <c r="I786" s="2" t="s">
        <v>6184</v>
      </c>
      <c r="J786" s="2" t="s">
        <v>6185</v>
      </c>
      <c r="K786" s="2"/>
      <c r="L786" s="2"/>
      <c r="M786" s="2"/>
      <c r="N786" s="2" t="s">
        <v>6186</v>
      </c>
      <c r="O786" s="2" t="s">
        <v>6187</v>
      </c>
      <c r="P786" s="2" t="s">
        <v>6188</v>
      </c>
      <c r="Q786" s="2" t="s">
        <v>6189</v>
      </c>
      <c r="R786" s="2" t="s">
        <v>355</v>
      </c>
      <c r="S786" s="2" t="s">
        <v>6190</v>
      </c>
      <c r="T786" s="2" t="s">
        <v>205</v>
      </c>
      <c r="U786" s="2" t="s">
        <v>6181</v>
      </c>
      <c r="V786" s="2" t="s">
        <v>110</v>
      </c>
      <c r="W786" s="2"/>
    </row>
    <row r="787">
      <c r="A787" s="2" t="n">
        <v>554</v>
      </c>
      <c r="B787" s="2" t="s">
        <v>13787</v>
      </c>
      <c r="C787" s="2" t="s">
        <v>6191</v>
      </c>
      <c r="D787" s="2" t="n">
        <v>497.101758452</v>
      </c>
      <c r="E787" s="2" t="n">
        <v>1.79396050658294</v>
      </c>
      <c r="F787" s="2" t="s">
        <v>6193</v>
      </c>
      <c r="G787" s="2" t="n">
        <v>61842</v>
      </c>
      <c r="H787" s="3" t="str">
        <f>HYPERLINK("http://funmeta.oebiotech.com/network/61842", "http://funmeta.oebiotech.com/network/61842")</f>
      </c>
      <c r="I787" s="2" t="s">
        <v>6195</v>
      </c>
      <c r="J787" s="2" t="s">
        <v>6196</v>
      </c>
      <c r="K787" s="2"/>
      <c r="L787" s="2"/>
      <c r="M787" s="2" t="s">
        <v>6197</v>
      </c>
      <c r="N787" s="2" t="s">
        <v>6198</v>
      </c>
      <c r="O787" s="2" t="s">
        <v>6199</v>
      </c>
      <c r="P787" s="2" t="s">
        <v>6200</v>
      </c>
      <c r="Q787" s="2" t="s">
        <v>6201</v>
      </c>
      <c r="R787" s="2" t="s">
        <v>49</v>
      </c>
      <c r="S787" s="2" t="s">
        <v>165</v>
      </c>
      <c r="T787" s="2" t="s">
        <v>166</v>
      </c>
      <c r="U787" s="2" t="s">
        <v>6192</v>
      </c>
      <c r="V787" s="2" t="s">
        <v>110</v>
      </c>
      <c r="W787" s="2"/>
    </row>
    <row r="788">
      <c r="A788" s="2" t="n">
        <v>555</v>
      </c>
      <c r="B788" s="2" t="s">
        <v>13788</v>
      </c>
      <c r="C788" s="2" t="s">
        <v>6202</v>
      </c>
      <c r="D788" s="2" t="n">
        <v>499.10126361</v>
      </c>
      <c r="E788" s="2" t="n">
        <v>1.56308154389715</v>
      </c>
      <c r="F788" s="2" t="s">
        <v>13789</v>
      </c>
      <c r="G788" s="2" t="n">
        <v>34554</v>
      </c>
      <c r="H788" s="3" t="str">
        <f>HYPERLINK("http://funmeta.oebiotech.com/network/34554", "http://funmeta.oebiotech.com/network/34554")</f>
      </c>
      <c r="I788" s="2" t="s">
        <v>13790</v>
      </c>
      <c r="J788" s="2"/>
      <c r="K788" s="2" t="s">
        <v>13791</v>
      </c>
      <c r="L788" s="2"/>
      <c r="M788" s="2"/>
      <c r="N788" s="2" t="s">
        <v>13792</v>
      </c>
      <c r="O788" s="2" t="s">
        <v>13793</v>
      </c>
      <c r="P788" s="2" t="s">
        <v>13794</v>
      </c>
      <c r="Q788" s="2" t="s">
        <v>13795</v>
      </c>
      <c r="R788" s="2" t="s">
        <v>2509</v>
      </c>
      <c r="S788" s="2" t="s">
        <v>5520</v>
      </c>
      <c r="T788" s="2" t="s">
        <v>5664</v>
      </c>
      <c r="U788" s="2" t="s">
        <v>6203</v>
      </c>
      <c r="V788" s="2" t="s">
        <v>522</v>
      </c>
      <c r="W788" s="2"/>
    </row>
    <row r="789">
      <c r="A789" s="2" t="n">
        <v>555</v>
      </c>
      <c r="B789" s="2" t="s">
        <v>13796</v>
      </c>
      <c r="C789" s="2" t="s">
        <v>6202</v>
      </c>
      <c r="D789" s="2" t="n">
        <v>499.10126361</v>
      </c>
      <c r="E789" s="2" t="n">
        <v>1.56308154389715</v>
      </c>
      <c r="F789" s="2" t="s">
        <v>13797</v>
      </c>
      <c r="G789" s="2" t="n">
        <v>256647</v>
      </c>
      <c r="H789" s="3" t="str">
        <f>HYPERLINK("http://funmeta.oebiotech.com/network/256647", "http://funmeta.oebiotech.com/network/256647")</f>
      </c>
      <c r="I789" s="2" t="s">
        <v>13798</v>
      </c>
      <c r="J789" s="2"/>
      <c r="K789" s="2"/>
      <c r="L789" s="2"/>
      <c r="M789" s="2"/>
      <c r="N789" s="2"/>
      <c r="O789" s="2"/>
      <c r="P789" s="2" t="s">
        <v>13799</v>
      </c>
      <c r="Q789" s="2" t="s">
        <v>13800</v>
      </c>
      <c r="R789" s="2" t="s">
        <v>64</v>
      </c>
      <c r="S789" s="2" t="s">
        <v>65</v>
      </c>
      <c r="T789" s="2" t="s">
        <v>66</v>
      </c>
      <c r="U789" s="2" t="s">
        <v>6203</v>
      </c>
      <c r="V789" s="2" t="s">
        <v>522</v>
      </c>
      <c r="W789" s="2"/>
    </row>
    <row r="790">
      <c r="A790" s="2" t="n">
        <v>555</v>
      </c>
      <c r="B790" s="2" t="s">
        <v>13801</v>
      </c>
      <c r="C790" s="2" t="s">
        <v>6202</v>
      </c>
      <c r="D790" s="2" t="n">
        <v>499.10126361</v>
      </c>
      <c r="E790" s="2" t="n">
        <v>1.56308154389715</v>
      </c>
      <c r="F790" s="2" t="s">
        <v>13802</v>
      </c>
      <c r="G790" s="2" t="n">
        <v>34553</v>
      </c>
      <c r="H790" s="3" t="str">
        <f>HYPERLINK("http://funmeta.oebiotech.com/network/34553", "http://funmeta.oebiotech.com/network/34553")</f>
      </c>
      <c r="I790" s="2" t="s">
        <v>13803</v>
      </c>
      <c r="J790" s="2" t="s">
        <v>13804</v>
      </c>
      <c r="K790" s="2" t="s">
        <v>13805</v>
      </c>
      <c r="L790" s="2"/>
      <c r="M790" s="2"/>
      <c r="N790" s="2" t="s">
        <v>13806</v>
      </c>
      <c r="O790" s="2" t="s">
        <v>13807</v>
      </c>
      <c r="P790" s="2" t="s">
        <v>13808</v>
      </c>
      <c r="Q790" s="2" t="s">
        <v>13809</v>
      </c>
      <c r="R790" s="2" t="s">
        <v>2509</v>
      </c>
      <c r="S790" s="2" t="s">
        <v>5520</v>
      </c>
      <c r="T790" s="2" t="s">
        <v>5664</v>
      </c>
      <c r="U790" s="2" t="s">
        <v>6203</v>
      </c>
      <c r="V790" s="2" t="s">
        <v>522</v>
      </c>
      <c r="W790" s="2"/>
    </row>
    <row r="791">
      <c r="A791" s="2" t="n">
        <v>556</v>
      </c>
      <c r="B791" s="2" t="s">
        <v>13810</v>
      </c>
      <c r="C791" s="2" t="s">
        <v>6216</v>
      </c>
      <c r="D791" s="2" t="n">
        <v>500.067276136</v>
      </c>
      <c r="E791" s="2" t="n">
        <v>9.9312707924771</v>
      </c>
      <c r="F791" s="2" t="s">
        <v>6218</v>
      </c>
      <c r="G791" s="2" t="n">
        <v>207238</v>
      </c>
      <c r="H791" s="3" t="str">
        <f>HYPERLINK("http://funmeta.oebiotech.com/network/207238", "http://funmeta.oebiotech.com/network/207238")</f>
      </c>
      <c r="I791" s="2" t="s">
        <v>6220</v>
      </c>
      <c r="J791" s="2"/>
      <c r="K791" s="2"/>
      <c r="L791" s="2"/>
      <c r="M791" s="2"/>
      <c r="N791" s="2"/>
      <c r="O791" s="2"/>
      <c r="P791" s="2" t="s">
        <v>6221</v>
      </c>
      <c r="Q791" s="2" t="s">
        <v>6222</v>
      </c>
      <c r="R791" s="2" t="s">
        <v>49</v>
      </c>
      <c r="S791" s="2" t="s">
        <v>165</v>
      </c>
      <c r="T791" s="2" t="s">
        <v>6223</v>
      </c>
      <c r="U791" s="2" t="s">
        <v>6217</v>
      </c>
      <c r="V791" s="2" t="s">
        <v>250</v>
      </c>
      <c r="W791" s="2"/>
    </row>
    <row r="792">
      <c r="A792" s="2" t="n">
        <v>557</v>
      </c>
      <c r="B792" s="2" t="s">
        <v>13811</v>
      </c>
      <c r="C792" s="2" t="s">
        <v>6224</v>
      </c>
      <c r="D792" s="2" t="n">
        <v>502.155051112</v>
      </c>
      <c r="E792" s="2" t="n">
        <v>2.15267008857515</v>
      </c>
      <c r="F792" s="2" t="s">
        <v>6226</v>
      </c>
      <c r="G792" s="2" t="n">
        <v>206771</v>
      </c>
      <c r="H792" s="3" t="str">
        <f>HYPERLINK("http://funmeta.oebiotech.com/network/206771", "http://funmeta.oebiotech.com/network/206771")</f>
      </c>
      <c r="I792" s="2" t="s">
        <v>6228</v>
      </c>
      <c r="J792" s="2"/>
      <c r="K792" s="2"/>
      <c r="L792" s="2"/>
      <c r="M792" s="2"/>
      <c r="N792" s="2" t="s">
        <v>6229</v>
      </c>
      <c r="O792" s="2"/>
      <c r="P792" s="2" t="s">
        <v>6230</v>
      </c>
      <c r="Q792" s="2" t="s">
        <v>6231</v>
      </c>
      <c r="R792" s="2" t="s">
        <v>64</v>
      </c>
      <c r="S792" s="2" t="s">
        <v>65</v>
      </c>
      <c r="T792" s="2" t="s">
        <v>91</v>
      </c>
      <c r="U792" s="2" t="s">
        <v>6225</v>
      </c>
      <c r="V792" s="2" t="s">
        <v>522</v>
      </c>
      <c r="W792" s="2"/>
    </row>
    <row r="793">
      <c r="A793" s="2" t="n">
        <v>558</v>
      </c>
      <c r="B793" s="2" t="s">
        <v>13812</v>
      </c>
      <c r="C793" s="2" t="s">
        <v>6232</v>
      </c>
      <c r="D793" s="2" t="n">
        <v>503.170286638</v>
      </c>
      <c r="E793" s="2" t="n">
        <v>0.641497974160446</v>
      </c>
      <c r="F793" s="2" t="s">
        <v>6234</v>
      </c>
      <c r="G793" s="2" t="n">
        <v>204451</v>
      </c>
      <c r="H793" s="3" t="str">
        <f>HYPERLINK("http://funmeta.oebiotech.com/network/204451", "http://funmeta.oebiotech.com/network/204451")</f>
      </c>
      <c r="I793" s="2" t="s">
        <v>6236</v>
      </c>
      <c r="J793" s="2"/>
      <c r="K793" s="2"/>
      <c r="L793" s="2"/>
      <c r="M793" s="2"/>
      <c r="N793" s="2" t="s">
        <v>6237</v>
      </c>
      <c r="O793" s="2"/>
      <c r="P793" s="2" t="s">
        <v>6238</v>
      </c>
      <c r="Q793" s="2" t="s">
        <v>6239</v>
      </c>
      <c r="R793" s="2" t="s">
        <v>502</v>
      </c>
      <c r="S793" s="2" t="s">
        <v>503</v>
      </c>
      <c r="T793" s="2" t="s">
        <v>2174</v>
      </c>
      <c r="U793" s="2" t="s">
        <v>6233</v>
      </c>
      <c r="V793" s="2" t="s">
        <v>522</v>
      </c>
      <c r="W793" s="2"/>
    </row>
    <row r="794">
      <c r="A794" s="2" t="n">
        <v>559</v>
      </c>
      <c r="B794" s="2" t="s">
        <v>13813</v>
      </c>
      <c r="C794" s="2" t="s">
        <v>6240</v>
      </c>
      <c r="D794" s="2" t="n">
        <v>504.1374829</v>
      </c>
      <c r="E794" s="2" t="n">
        <v>1.19320177973888</v>
      </c>
      <c r="F794" s="2" t="s">
        <v>6242</v>
      </c>
      <c r="G794" s="2" t="n">
        <v>205521</v>
      </c>
      <c r="H794" s="3" t="str">
        <f>HYPERLINK("http://funmeta.oebiotech.com/network/205521", "http://funmeta.oebiotech.com/network/205521")</f>
      </c>
      <c r="I794" s="2" t="s">
        <v>6244</v>
      </c>
      <c r="J794" s="2"/>
      <c r="K794" s="2"/>
      <c r="L794" s="2"/>
      <c r="M794" s="2" t="s">
        <v>6245</v>
      </c>
      <c r="N794" s="2" t="s">
        <v>6246</v>
      </c>
      <c r="O794" s="2"/>
      <c r="P794" s="2" t="s">
        <v>6247</v>
      </c>
      <c r="Q794" s="2" t="s">
        <v>6248</v>
      </c>
      <c r="R794" s="2" t="s">
        <v>355</v>
      </c>
      <c r="S794" s="2" t="s">
        <v>3533</v>
      </c>
      <c r="T794" s="2" t="s">
        <v>3534</v>
      </c>
      <c r="U794" s="2" t="s">
        <v>6241</v>
      </c>
      <c r="V794" s="2" t="s">
        <v>522</v>
      </c>
      <c r="W794" s="2"/>
    </row>
    <row r="795">
      <c r="A795" s="2" t="n">
        <v>560</v>
      </c>
      <c r="B795" s="2" t="s">
        <v>13814</v>
      </c>
      <c r="C795" s="2" t="s">
        <v>6249</v>
      </c>
      <c r="D795" s="2" t="n">
        <v>504.309563407</v>
      </c>
      <c r="E795" s="2" t="n">
        <v>1.17794955284225</v>
      </c>
      <c r="F795" s="2" t="s">
        <v>13815</v>
      </c>
      <c r="G795" s="2" t="n">
        <v>21208</v>
      </c>
      <c r="H795" s="3" t="str">
        <f>HYPERLINK("http://funmeta.oebiotech.com/network/21208", "http://funmeta.oebiotech.com/network/21208")</f>
      </c>
      <c r="I795" s="2" t="s">
        <v>13816</v>
      </c>
      <c r="J795" s="2" t="s">
        <v>13817</v>
      </c>
      <c r="K795" s="2" t="s">
        <v>13818</v>
      </c>
      <c r="L795" s="2"/>
      <c r="M795" s="2" t="s">
        <v>13819</v>
      </c>
      <c r="N795" s="2" t="s">
        <v>13820</v>
      </c>
      <c r="O795" s="2"/>
      <c r="P795" s="2" t="s">
        <v>13821</v>
      </c>
      <c r="Q795" s="2" t="s">
        <v>13822</v>
      </c>
      <c r="R795" s="2" t="s">
        <v>1490</v>
      </c>
      <c r="S795" s="2" t="s">
        <v>4236</v>
      </c>
      <c r="T795" s="2" t="s">
        <v>5369</v>
      </c>
      <c r="U795" s="2" t="s">
        <v>6250</v>
      </c>
      <c r="V795" s="2" t="s">
        <v>110</v>
      </c>
      <c r="W795" s="2"/>
    </row>
    <row r="796">
      <c r="A796" s="2" t="n">
        <v>560</v>
      </c>
      <c r="B796" s="2" t="s">
        <v>13823</v>
      </c>
      <c r="C796" s="2" t="s">
        <v>6249</v>
      </c>
      <c r="D796" s="2" t="n">
        <v>504.309563888</v>
      </c>
      <c r="E796" s="2" t="n">
        <v>1.17794955284225</v>
      </c>
      <c r="F796" s="2" t="s">
        <v>13824</v>
      </c>
      <c r="G796" s="2" t="n">
        <v>210037</v>
      </c>
      <c r="H796" s="3" t="str">
        <f>HYPERLINK("http://funmeta.oebiotech.com/network/210037", "http://funmeta.oebiotech.com/network/210037")</f>
      </c>
      <c r="I796" s="2" t="s">
        <v>13825</v>
      </c>
      <c r="J796" s="2"/>
      <c r="K796" s="2"/>
      <c r="L796" s="2"/>
      <c r="M796" s="2"/>
      <c r="N796" s="2"/>
      <c r="O796" s="2"/>
      <c r="P796" s="2" t="s">
        <v>13826</v>
      </c>
      <c r="Q796" s="2" t="s">
        <v>13827</v>
      </c>
      <c r="R796" s="2" t="s">
        <v>1490</v>
      </c>
      <c r="S796" s="2" t="s">
        <v>4236</v>
      </c>
      <c r="T796" s="2" t="s">
        <v>8613</v>
      </c>
      <c r="U796" s="2" t="s">
        <v>6250</v>
      </c>
      <c r="V796" s="2" t="s">
        <v>110</v>
      </c>
      <c r="W796" s="2"/>
    </row>
    <row r="797">
      <c r="A797" s="2" t="n">
        <v>561</v>
      </c>
      <c r="B797" s="2" t="s">
        <v>13828</v>
      </c>
      <c r="C797" s="2" t="s">
        <v>6262</v>
      </c>
      <c r="D797" s="2" t="n">
        <v>505.135632476</v>
      </c>
      <c r="E797" s="2" t="n">
        <v>2.56509594786799</v>
      </c>
      <c r="F797" s="2" t="s">
        <v>6264</v>
      </c>
      <c r="G797" s="2" t="n">
        <v>82929</v>
      </c>
      <c r="H797" s="3" t="str">
        <f>HYPERLINK("http://funmeta.oebiotech.com/network/82929", "http://funmeta.oebiotech.com/network/82929")</f>
      </c>
      <c r="I797" s="2" t="s">
        <v>6266</v>
      </c>
      <c r="J797" s="2" t="s">
        <v>6267</v>
      </c>
      <c r="K797" s="2"/>
      <c r="L797" s="2"/>
      <c r="M797" s="2"/>
      <c r="N797" s="2" t="s">
        <v>6268</v>
      </c>
      <c r="O797" s="2" t="s">
        <v>6269</v>
      </c>
      <c r="P797" s="2" t="s">
        <v>6270</v>
      </c>
      <c r="Q797" s="2" t="s">
        <v>6271</v>
      </c>
      <c r="R797" s="2" t="s">
        <v>355</v>
      </c>
      <c r="S797" s="2" t="s">
        <v>1477</v>
      </c>
      <c r="T797" s="2" t="s">
        <v>1478</v>
      </c>
      <c r="U797" s="2" t="s">
        <v>6263</v>
      </c>
      <c r="V797" s="2" t="s">
        <v>522</v>
      </c>
      <c r="W797" s="2"/>
    </row>
    <row r="798">
      <c r="A798" s="2" t="n">
        <v>562</v>
      </c>
      <c r="B798" s="2" t="s">
        <v>13829</v>
      </c>
      <c r="C798" s="2" t="s">
        <v>6272</v>
      </c>
      <c r="D798" s="2" t="n">
        <v>505.264523388</v>
      </c>
      <c r="E798" s="2" t="n">
        <v>6.01980367309291</v>
      </c>
      <c r="F798" s="2" t="s">
        <v>6274</v>
      </c>
      <c r="G798" s="2" t="n">
        <v>202945</v>
      </c>
      <c r="H798" s="3" t="str">
        <f>HYPERLINK("http://funmeta.oebiotech.com/network/202945", "http://funmeta.oebiotech.com/network/202945")</f>
      </c>
      <c r="I798" s="2" t="s">
        <v>6276</v>
      </c>
      <c r="J798" s="2" t="s">
        <v>6277</v>
      </c>
      <c r="K798" s="2"/>
      <c r="L798" s="2"/>
      <c r="M798" s="2"/>
      <c r="N798" s="2" t="s">
        <v>6278</v>
      </c>
      <c r="O798" s="2"/>
      <c r="P798" s="2" t="s">
        <v>6279</v>
      </c>
      <c r="Q798" s="2" t="s">
        <v>6280</v>
      </c>
      <c r="R798" s="2" t="s">
        <v>355</v>
      </c>
      <c r="S798" s="2" t="s">
        <v>1396</v>
      </c>
      <c r="T798" s="2" t="s">
        <v>205</v>
      </c>
      <c r="U798" s="2" t="s">
        <v>6273</v>
      </c>
      <c r="V798" s="2" t="s">
        <v>110</v>
      </c>
      <c r="W798" s="2"/>
    </row>
    <row r="799">
      <c r="A799" s="2" t="n">
        <v>563</v>
      </c>
      <c r="B799" s="2" t="s">
        <v>13830</v>
      </c>
      <c r="C799" s="2" t="s">
        <v>6281</v>
      </c>
      <c r="D799" s="2" t="n">
        <v>507.276550416</v>
      </c>
      <c r="E799" s="2" t="n">
        <v>5.42777158104112</v>
      </c>
      <c r="F799" s="2" t="s">
        <v>13831</v>
      </c>
      <c r="G799" s="2" t="n">
        <v>57658</v>
      </c>
      <c r="H799" s="3" t="str">
        <f>HYPERLINK("http://funmeta.oebiotech.com/network/57658", "http://funmeta.oebiotech.com/network/57658")</f>
      </c>
      <c r="I799" s="2" t="s">
        <v>13832</v>
      </c>
      <c r="J799" s="2" t="s">
        <v>13833</v>
      </c>
      <c r="K799" s="2"/>
      <c r="L799" s="2"/>
      <c r="M799" s="2"/>
      <c r="N799" s="2" t="s">
        <v>13834</v>
      </c>
      <c r="O799" s="2" t="s">
        <v>13835</v>
      </c>
      <c r="P799" s="2" t="s">
        <v>13836</v>
      </c>
      <c r="Q799" s="2" t="s">
        <v>13837</v>
      </c>
      <c r="R799" s="2" t="s">
        <v>4189</v>
      </c>
      <c r="S799" s="2" t="s">
        <v>7252</v>
      </c>
      <c r="T799" s="2" t="s">
        <v>13838</v>
      </c>
      <c r="U799" s="2" t="s">
        <v>6282</v>
      </c>
      <c r="V799" s="2" t="s">
        <v>1019</v>
      </c>
      <c r="W799" s="2"/>
    </row>
    <row r="800">
      <c r="A800" s="2" t="n">
        <v>563</v>
      </c>
      <c r="B800" s="2" t="s">
        <v>13839</v>
      </c>
      <c r="C800" s="2" t="s">
        <v>6281</v>
      </c>
      <c r="D800" s="2" t="n">
        <v>507.276550416</v>
      </c>
      <c r="E800" s="2" t="n">
        <v>5.42777158104112</v>
      </c>
      <c r="F800" s="2" t="s">
        <v>13840</v>
      </c>
      <c r="G800" s="2" t="n">
        <v>201644</v>
      </c>
      <c r="H800" s="3" t="str">
        <f>HYPERLINK("http://funmeta.oebiotech.com/network/201644", "http://funmeta.oebiotech.com/network/201644")</f>
      </c>
      <c r="I800" s="2" t="s">
        <v>13841</v>
      </c>
      <c r="J800" s="2"/>
      <c r="K800" s="2"/>
      <c r="L800" s="2"/>
      <c r="M800" s="2"/>
      <c r="N800" s="2" t="s">
        <v>13842</v>
      </c>
      <c r="O800" s="2"/>
      <c r="P800" s="2" t="s">
        <v>13843</v>
      </c>
      <c r="Q800" s="2" t="s">
        <v>13844</v>
      </c>
      <c r="R800" s="2" t="s">
        <v>355</v>
      </c>
      <c r="S800" s="2" t="s">
        <v>8320</v>
      </c>
      <c r="T800" s="2" t="s">
        <v>13845</v>
      </c>
      <c r="U800" s="2" t="s">
        <v>6282</v>
      </c>
      <c r="V800" s="2" t="s">
        <v>1019</v>
      </c>
      <c r="W800" s="2"/>
    </row>
    <row r="801">
      <c r="A801" s="2" t="n">
        <v>563</v>
      </c>
      <c r="B801" s="2" t="s">
        <v>13846</v>
      </c>
      <c r="C801" s="2" t="s">
        <v>6281</v>
      </c>
      <c r="D801" s="2" t="n">
        <v>507.276550416</v>
      </c>
      <c r="E801" s="2" t="n">
        <v>5.42777158104112</v>
      </c>
      <c r="F801" s="2" t="s">
        <v>13847</v>
      </c>
      <c r="G801" s="2" t="n">
        <v>206352</v>
      </c>
      <c r="H801" s="3" t="str">
        <f>HYPERLINK("http://funmeta.oebiotech.com/network/206352", "http://funmeta.oebiotech.com/network/206352")</f>
      </c>
      <c r="I801" s="2" t="s">
        <v>13848</v>
      </c>
      <c r="J801" s="2"/>
      <c r="K801" s="2"/>
      <c r="L801" s="2"/>
      <c r="M801" s="2"/>
      <c r="N801" s="2" t="s">
        <v>13849</v>
      </c>
      <c r="O801" s="2"/>
      <c r="P801" s="2" t="s">
        <v>13850</v>
      </c>
      <c r="Q801" s="2" t="s">
        <v>13851</v>
      </c>
      <c r="R801" s="2" t="s">
        <v>4189</v>
      </c>
      <c r="S801" s="2" t="s">
        <v>7252</v>
      </c>
      <c r="T801" s="2" t="s">
        <v>13838</v>
      </c>
      <c r="U801" s="2" t="s">
        <v>6282</v>
      </c>
      <c r="V801" s="2" t="s">
        <v>1019</v>
      </c>
      <c r="W801" s="2"/>
    </row>
    <row r="802">
      <c r="A802" s="2" t="n">
        <v>564</v>
      </c>
      <c r="B802" s="2" t="s">
        <v>13852</v>
      </c>
      <c r="C802" s="2" t="s">
        <v>6294</v>
      </c>
      <c r="D802" s="2" t="n">
        <v>508.0175459</v>
      </c>
      <c r="E802" s="2" t="n">
        <v>5.0917422936876</v>
      </c>
      <c r="F802" s="2" t="s">
        <v>6296</v>
      </c>
      <c r="G802" s="2" t="n">
        <v>205111</v>
      </c>
      <c r="H802" s="3" t="str">
        <f>HYPERLINK("http://funmeta.oebiotech.com/network/205111", "http://funmeta.oebiotech.com/network/205111")</f>
      </c>
      <c r="I802" s="2" t="s">
        <v>6298</v>
      </c>
      <c r="J802" s="2" t="s">
        <v>6299</v>
      </c>
      <c r="K802" s="2"/>
      <c r="L802" s="2"/>
      <c r="M802" s="2"/>
      <c r="N802" s="2" t="s">
        <v>6300</v>
      </c>
      <c r="O802" s="2"/>
      <c r="P802" s="2" t="s">
        <v>6301</v>
      </c>
      <c r="Q802" s="2" t="s">
        <v>6302</v>
      </c>
      <c r="R802" s="2" t="s">
        <v>502</v>
      </c>
      <c r="S802" s="2" t="s">
        <v>503</v>
      </c>
      <c r="T802" s="2" t="s">
        <v>1964</v>
      </c>
      <c r="U802" s="2" t="s">
        <v>6295</v>
      </c>
      <c r="V802" s="2" t="s">
        <v>250</v>
      </c>
      <c r="W802" s="2"/>
    </row>
    <row r="803">
      <c r="A803" s="2" t="n">
        <v>565</v>
      </c>
      <c r="B803" s="2" t="s">
        <v>13853</v>
      </c>
      <c r="C803" s="2" t="s">
        <v>6303</v>
      </c>
      <c r="D803" s="2" t="n">
        <v>508.136556772</v>
      </c>
      <c r="E803" s="2" t="n">
        <v>8.52379557337595</v>
      </c>
      <c r="F803" s="2" t="s">
        <v>13854</v>
      </c>
      <c r="G803" s="2" t="n">
        <v>53680</v>
      </c>
      <c r="H803" s="3" t="str">
        <f>HYPERLINK("http://funmeta.oebiotech.com/network/53680", "http://funmeta.oebiotech.com/network/53680")</f>
      </c>
      <c r="I803" s="2" t="s">
        <v>13855</v>
      </c>
      <c r="J803" s="2" t="s">
        <v>13856</v>
      </c>
      <c r="K803" s="2"/>
      <c r="L803" s="2"/>
      <c r="M803" s="2" t="s">
        <v>13857</v>
      </c>
      <c r="N803" s="2" t="s">
        <v>13858</v>
      </c>
      <c r="O803" s="2" t="s">
        <v>13859</v>
      </c>
      <c r="P803" s="2" t="s">
        <v>13860</v>
      </c>
      <c r="Q803" s="2" t="s">
        <v>13861</v>
      </c>
      <c r="R803" s="2" t="s">
        <v>502</v>
      </c>
      <c r="S803" s="2" t="s">
        <v>13862</v>
      </c>
      <c r="T803" s="2" t="s">
        <v>205</v>
      </c>
      <c r="U803" s="2" t="s">
        <v>6304</v>
      </c>
      <c r="V803" s="2" t="s">
        <v>42</v>
      </c>
      <c r="W803" s="2"/>
    </row>
    <row r="804">
      <c r="A804" s="2" t="n">
        <v>565</v>
      </c>
      <c r="B804" s="2" t="s">
        <v>13863</v>
      </c>
      <c r="C804" s="2" t="s">
        <v>6303</v>
      </c>
      <c r="D804" s="2" t="n">
        <v>508.1365568</v>
      </c>
      <c r="E804" s="2" t="n">
        <v>8.52379557337595</v>
      </c>
      <c r="F804" s="2" t="s">
        <v>13864</v>
      </c>
      <c r="G804" s="2" t="n">
        <v>201003</v>
      </c>
      <c r="H804" s="3" t="str">
        <f>HYPERLINK("http://funmeta.oebiotech.com/network/201003", "http://funmeta.oebiotech.com/network/201003")</f>
      </c>
      <c r="I804" s="2" t="s">
        <v>13865</v>
      </c>
      <c r="J804" s="2"/>
      <c r="K804" s="2"/>
      <c r="L804" s="2"/>
      <c r="M804" s="2"/>
      <c r="N804" s="2" t="s">
        <v>13866</v>
      </c>
      <c r="O804" s="2"/>
      <c r="P804" s="2" t="s">
        <v>13867</v>
      </c>
      <c r="Q804" s="2" t="s">
        <v>13868</v>
      </c>
      <c r="R804" s="2" t="s">
        <v>502</v>
      </c>
      <c r="S804" s="2" t="s">
        <v>13862</v>
      </c>
      <c r="T804" s="2" t="s">
        <v>205</v>
      </c>
      <c r="U804" s="2" t="s">
        <v>6304</v>
      </c>
      <c r="V804" s="2" t="s">
        <v>42</v>
      </c>
      <c r="W804" s="2"/>
    </row>
    <row r="805">
      <c r="A805" s="2" t="n">
        <v>566</v>
      </c>
      <c r="B805" s="2" t="s">
        <v>13869</v>
      </c>
      <c r="C805" s="2" t="s">
        <v>6315</v>
      </c>
      <c r="D805" s="2" t="n">
        <v>510.129757249</v>
      </c>
      <c r="E805" s="2" t="n">
        <v>2.57615044217917</v>
      </c>
      <c r="F805" s="2" t="s">
        <v>6317</v>
      </c>
      <c r="G805" s="2" t="n">
        <v>204289</v>
      </c>
      <c r="H805" s="3" t="str">
        <f>HYPERLINK("http://funmeta.oebiotech.com/network/204289", "http://funmeta.oebiotech.com/network/204289")</f>
      </c>
      <c r="I805" s="2" t="s">
        <v>6319</v>
      </c>
      <c r="J805" s="2"/>
      <c r="K805" s="2"/>
      <c r="L805" s="2"/>
      <c r="M805" s="2"/>
      <c r="N805" s="2" t="s">
        <v>6320</v>
      </c>
      <c r="O805" s="2"/>
      <c r="P805" s="2" t="s">
        <v>6321</v>
      </c>
      <c r="Q805" s="2" t="s">
        <v>6322</v>
      </c>
      <c r="R805" s="2" t="s">
        <v>355</v>
      </c>
      <c r="S805" s="2" t="s">
        <v>1316</v>
      </c>
      <c r="T805" s="2" t="s">
        <v>6323</v>
      </c>
      <c r="U805" s="2" t="s">
        <v>6316</v>
      </c>
      <c r="V805" s="2" t="s">
        <v>250</v>
      </c>
      <c r="W805" s="2"/>
    </row>
    <row r="806">
      <c r="A806" s="2" t="n">
        <v>567</v>
      </c>
      <c r="B806" s="2" t="s">
        <v>13870</v>
      </c>
      <c r="C806" s="2" t="s">
        <v>6324</v>
      </c>
      <c r="D806" s="2" t="n">
        <v>512.0929408</v>
      </c>
      <c r="E806" s="2" t="n">
        <v>1.70429027369966</v>
      </c>
      <c r="F806" s="2" t="s">
        <v>6326</v>
      </c>
      <c r="G806" s="2" t="n">
        <v>201000</v>
      </c>
      <c r="H806" s="3" t="str">
        <f>HYPERLINK("http://funmeta.oebiotech.com/network/201000", "http://funmeta.oebiotech.com/network/201000")</f>
      </c>
      <c r="I806" s="2" t="s">
        <v>6328</v>
      </c>
      <c r="J806" s="2"/>
      <c r="K806" s="2"/>
      <c r="L806" s="2"/>
      <c r="M806" s="2"/>
      <c r="N806" s="2" t="s">
        <v>6329</v>
      </c>
      <c r="O806" s="2"/>
      <c r="P806" s="2" t="s">
        <v>6330</v>
      </c>
      <c r="Q806" s="2" t="s">
        <v>6331</v>
      </c>
      <c r="R806" s="2" t="s">
        <v>355</v>
      </c>
      <c r="S806" s="2" t="s">
        <v>6332</v>
      </c>
      <c r="T806" s="2" t="s">
        <v>205</v>
      </c>
      <c r="U806" s="2" t="s">
        <v>6325</v>
      </c>
      <c r="V806" s="2" t="s">
        <v>360</v>
      </c>
      <c r="W806" s="2"/>
    </row>
    <row r="807">
      <c r="A807" s="2" t="n">
        <v>568</v>
      </c>
      <c r="B807" s="2" t="s">
        <v>13871</v>
      </c>
      <c r="C807" s="2" t="s">
        <v>6333</v>
      </c>
      <c r="D807" s="2" t="n">
        <v>513.003643012</v>
      </c>
      <c r="E807" s="2" t="n">
        <v>4.63367730199037</v>
      </c>
      <c r="F807" s="2" t="s">
        <v>6335</v>
      </c>
      <c r="G807" s="2" t="n">
        <v>201135</v>
      </c>
      <c r="H807" s="3" t="str">
        <f>HYPERLINK("http://funmeta.oebiotech.com/network/201135", "http://funmeta.oebiotech.com/network/201135")</f>
      </c>
      <c r="I807" s="2" t="s">
        <v>6337</v>
      </c>
      <c r="J807" s="2"/>
      <c r="K807" s="2"/>
      <c r="L807" s="2"/>
      <c r="M807" s="2"/>
      <c r="N807" s="2" t="s">
        <v>6338</v>
      </c>
      <c r="O807" s="2"/>
      <c r="P807" s="2" t="s">
        <v>6339</v>
      </c>
      <c r="Q807" s="2" t="s">
        <v>6340</v>
      </c>
      <c r="R807" s="2" t="s">
        <v>355</v>
      </c>
      <c r="S807" s="2" t="s">
        <v>4124</v>
      </c>
      <c r="T807" s="2" t="s">
        <v>205</v>
      </c>
      <c r="U807" s="2" t="s">
        <v>6334</v>
      </c>
      <c r="V807" s="2" t="s">
        <v>110</v>
      </c>
      <c r="W807" s="2"/>
    </row>
    <row r="808">
      <c r="A808" s="2" t="n">
        <v>569</v>
      </c>
      <c r="B808" s="2" t="s">
        <v>13872</v>
      </c>
      <c r="C808" s="2" t="s">
        <v>6341</v>
      </c>
      <c r="D808" s="2" t="n">
        <v>513.249392192</v>
      </c>
      <c r="E808" s="2" t="n">
        <v>2.63292609114704</v>
      </c>
      <c r="F808" s="2" t="s">
        <v>13873</v>
      </c>
      <c r="G808" s="2" t="n">
        <v>60189</v>
      </c>
      <c r="H808" s="3" t="str">
        <f>HYPERLINK("http://funmeta.oebiotech.com/network/60189", "http://funmeta.oebiotech.com/network/60189")</f>
      </c>
      <c r="I808" s="2" t="s">
        <v>13874</v>
      </c>
      <c r="J808" s="2"/>
      <c r="K808" s="2"/>
      <c r="L808" s="2"/>
      <c r="M808" s="2"/>
      <c r="N808" s="2" t="s">
        <v>13875</v>
      </c>
      <c r="O808" s="2" t="s">
        <v>13876</v>
      </c>
      <c r="P808" s="2" t="s">
        <v>13877</v>
      </c>
      <c r="Q808" s="2" t="s">
        <v>13878</v>
      </c>
      <c r="R808" s="2" t="s">
        <v>1490</v>
      </c>
      <c r="S808" s="2" t="s">
        <v>4971</v>
      </c>
      <c r="T808" s="2" t="s">
        <v>7445</v>
      </c>
      <c r="U808" s="2" t="s">
        <v>6342</v>
      </c>
      <c r="V808" s="2" t="s">
        <v>110</v>
      </c>
      <c r="W808" s="2"/>
    </row>
    <row r="809">
      <c r="A809" s="2" t="n">
        <v>569</v>
      </c>
      <c r="B809" s="2" t="s">
        <v>13879</v>
      </c>
      <c r="C809" s="2" t="s">
        <v>6341</v>
      </c>
      <c r="D809" s="2" t="n">
        <v>513.249392192</v>
      </c>
      <c r="E809" s="2" t="n">
        <v>2.63292609114704</v>
      </c>
      <c r="F809" s="2" t="s">
        <v>13880</v>
      </c>
      <c r="G809" s="2" t="n">
        <v>60685</v>
      </c>
      <c r="H809" s="3" t="str">
        <f>HYPERLINK("http://funmeta.oebiotech.com/network/60685", "http://funmeta.oebiotech.com/network/60685")</f>
      </c>
      <c r="I809" s="2" t="s">
        <v>13881</v>
      </c>
      <c r="J809" s="2"/>
      <c r="K809" s="2"/>
      <c r="L809" s="2"/>
      <c r="M809" s="2"/>
      <c r="N809" s="2" t="s">
        <v>13882</v>
      </c>
      <c r="O809" s="2"/>
      <c r="P809" s="2" t="s">
        <v>13883</v>
      </c>
      <c r="Q809" s="2" t="s">
        <v>13884</v>
      </c>
      <c r="R809" s="2" t="s">
        <v>1490</v>
      </c>
      <c r="S809" s="2" t="s">
        <v>4971</v>
      </c>
      <c r="T809" s="2" t="s">
        <v>5966</v>
      </c>
      <c r="U809" s="2" t="s">
        <v>6342</v>
      </c>
      <c r="V809" s="2" t="s">
        <v>110</v>
      </c>
      <c r="W809" s="2"/>
    </row>
    <row r="810">
      <c r="A810" s="2" t="n">
        <v>570</v>
      </c>
      <c r="B810" s="2" t="s">
        <v>13885</v>
      </c>
      <c r="C810" s="2" t="s">
        <v>6352</v>
      </c>
      <c r="D810" s="2" t="n">
        <v>514.09574197</v>
      </c>
      <c r="E810" s="2" t="n">
        <v>1.28430156014142</v>
      </c>
      <c r="F810" s="2" t="s">
        <v>6354</v>
      </c>
      <c r="G810" s="2" t="n">
        <v>203790</v>
      </c>
      <c r="H810" s="3" t="str">
        <f>HYPERLINK("http://funmeta.oebiotech.com/network/203790", "http://funmeta.oebiotech.com/network/203790")</f>
      </c>
      <c r="I810" s="2" t="s">
        <v>6356</v>
      </c>
      <c r="J810" s="2"/>
      <c r="K810" s="2"/>
      <c r="L810" s="2"/>
      <c r="M810" s="2"/>
      <c r="N810" s="2" t="s">
        <v>6357</v>
      </c>
      <c r="O810" s="2"/>
      <c r="P810" s="2" t="s">
        <v>6358</v>
      </c>
      <c r="Q810" s="2" t="s">
        <v>6359</v>
      </c>
      <c r="R810" s="2" t="s">
        <v>355</v>
      </c>
      <c r="S810" s="2" t="s">
        <v>3687</v>
      </c>
      <c r="T810" s="2" t="s">
        <v>3688</v>
      </c>
      <c r="U810" s="2" t="s">
        <v>6353</v>
      </c>
      <c r="V810" s="2" t="s">
        <v>522</v>
      </c>
      <c r="W810" s="2"/>
    </row>
    <row r="811">
      <c r="A811" s="2" t="n">
        <v>571</v>
      </c>
      <c r="B811" s="2" t="s">
        <v>13886</v>
      </c>
      <c r="C811" s="2" t="s">
        <v>6360</v>
      </c>
      <c r="D811" s="2" t="n">
        <v>514.255870239</v>
      </c>
      <c r="E811" s="2" t="n">
        <v>7.89068147350415</v>
      </c>
      <c r="F811" s="2" t="s">
        <v>6362</v>
      </c>
      <c r="G811" s="2" t="n">
        <v>208099</v>
      </c>
      <c r="H811" s="3" t="str">
        <f>HYPERLINK("http://funmeta.oebiotech.com/network/208099", "http://funmeta.oebiotech.com/network/208099")</f>
      </c>
      <c r="I811" s="2" t="s">
        <v>6364</v>
      </c>
      <c r="J811" s="2"/>
      <c r="K811" s="2"/>
      <c r="L811" s="2"/>
      <c r="M811" s="2"/>
      <c r="N811" s="2" t="s">
        <v>6365</v>
      </c>
      <c r="O811" s="2"/>
      <c r="P811" s="2" t="s">
        <v>6366</v>
      </c>
      <c r="Q811" s="2" t="s">
        <v>6367</v>
      </c>
      <c r="R811" s="2" t="s">
        <v>355</v>
      </c>
      <c r="S811" s="2" t="s">
        <v>2424</v>
      </c>
      <c r="T811" s="2" t="s">
        <v>6368</v>
      </c>
      <c r="U811" s="2" t="s">
        <v>6361</v>
      </c>
      <c r="V811" s="2" t="s">
        <v>24</v>
      </c>
      <c r="W811" s="2"/>
    </row>
    <row r="812">
      <c r="A812" s="2" t="n">
        <v>572</v>
      </c>
      <c r="B812" s="2" t="s">
        <v>13887</v>
      </c>
      <c r="C812" s="2" t="s">
        <v>6369</v>
      </c>
      <c r="D812" s="2" t="n">
        <v>515.252701484</v>
      </c>
      <c r="E812" s="2" t="n">
        <v>0.0931044127596433</v>
      </c>
      <c r="F812" s="2" t="s">
        <v>6371</v>
      </c>
      <c r="G812" s="2" t="n">
        <v>203882</v>
      </c>
      <c r="H812" s="3" t="str">
        <f>HYPERLINK("http://funmeta.oebiotech.com/network/203882", "http://funmeta.oebiotech.com/network/203882")</f>
      </c>
      <c r="I812" s="2" t="s">
        <v>6373</v>
      </c>
      <c r="J812" s="2"/>
      <c r="K812" s="2"/>
      <c r="L812" s="2"/>
      <c r="M812" s="2"/>
      <c r="N812" s="2" t="s">
        <v>6374</v>
      </c>
      <c r="O812" s="2"/>
      <c r="P812" s="2" t="s">
        <v>6375</v>
      </c>
      <c r="Q812" s="2" t="s">
        <v>6376</v>
      </c>
      <c r="R812" s="2" t="s">
        <v>502</v>
      </c>
      <c r="S812" s="2" t="s">
        <v>503</v>
      </c>
      <c r="T812" s="2" t="s">
        <v>1421</v>
      </c>
      <c r="U812" s="2" t="s">
        <v>6370</v>
      </c>
      <c r="V812" s="2" t="s">
        <v>110</v>
      </c>
      <c r="W812" s="2"/>
    </row>
    <row r="813">
      <c r="A813" s="2" t="n">
        <v>573</v>
      </c>
      <c r="B813" s="2" t="s">
        <v>13888</v>
      </c>
      <c r="C813" s="2" t="s">
        <v>6377</v>
      </c>
      <c r="D813" s="2" t="n">
        <v>516.20594387</v>
      </c>
      <c r="E813" s="2" t="n">
        <v>8.72120012544067</v>
      </c>
      <c r="F813" s="2" t="s">
        <v>6379</v>
      </c>
      <c r="G813" s="2" t="n">
        <v>206188</v>
      </c>
      <c r="H813" s="3" t="str">
        <f>HYPERLINK("http://funmeta.oebiotech.com/network/206188", "http://funmeta.oebiotech.com/network/206188")</f>
      </c>
      <c r="I813" s="2" t="s">
        <v>6381</v>
      </c>
      <c r="J813" s="2"/>
      <c r="K813" s="2"/>
      <c r="L813" s="2"/>
      <c r="M813" s="2"/>
      <c r="N813" s="2"/>
      <c r="O813" s="2"/>
      <c r="P813" s="2" t="s">
        <v>6382</v>
      </c>
      <c r="Q813" s="2" t="s">
        <v>6383</v>
      </c>
      <c r="R813" s="2" t="s">
        <v>502</v>
      </c>
      <c r="S813" s="2" t="s">
        <v>503</v>
      </c>
      <c r="T813" s="2" t="s">
        <v>5166</v>
      </c>
      <c r="U813" s="2" t="s">
        <v>6378</v>
      </c>
      <c r="V813" s="2" t="s">
        <v>522</v>
      </c>
      <c r="W813" s="2"/>
    </row>
    <row r="814">
      <c r="A814" s="2" t="n">
        <v>574</v>
      </c>
      <c r="B814" s="2" t="s">
        <v>13889</v>
      </c>
      <c r="C814" s="2" t="s">
        <v>6384</v>
      </c>
      <c r="D814" s="2" t="n">
        <v>518.1635285</v>
      </c>
      <c r="E814" s="2" t="n">
        <v>0.278770994705309</v>
      </c>
      <c r="F814" s="2" t="s">
        <v>6386</v>
      </c>
      <c r="G814" s="2" t="n">
        <v>204881</v>
      </c>
      <c r="H814" s="3" t="str">
        <f>HYPERLINK("http://funmeta.oebiotech.com/network/204881", "http://funmeta.oebiotech.com/network/204881")</f>
      </c>
      <c r="I814" s="2" t="s">
        <v>6388</v>
      </c>
      <c r="J814" s="2"/>
      <c r="K814" s="2"/>
      <c r="L814" s="2"/>
      <c r="M814" s="2"/>
      <c r="N814" s="2" t="s">
        <v>6389</v>
      </c>
      <c r="O814" s="2"/>
      <c r="P814" s="2" t="s">
        <v>6390</v>
      </c>
      <c r="Q814" s="2" t="s">
        <v>6391</v>
      </c>
      <c r="R814" s="2" t="s">
        <v>502</v>
      </c>
      <c r="S814" s="2" t="s">
        <v>503</v>
      </c>
      <c r="T814" s="2" t="s">
        <v>2651</v>
      </c>
      <c r="U814" s="2" t="s">
        <v>6385</v>
      </c>
      <c r="V814" s="2" t="s">
        <v>42</v>
      </c>
      <c r="W814" s="2"/>
    </row>
    <row r="815">
      <c r="A815" s="2" t="n">
        <v>575</v>
      </c>
      <c r="B815" s="2" t="s">
        <v>13890</v>
      </c>
      <c r="C815" s="2" t="s">
        <v>6392</v>
      </c>
      <c r="D815" s="2" t="n">
        <v>519.157990628</v>
      </c>
      <c r="E815" s="2" t="n">
        <v>0.588036248598907</v>
      </c>
      <c r="F815" s="2" t="s">
        <v>6394</v>
      </c>
      <c r="G815" s="2" t="n">
        <v>55344</v>
      </c>
      <c r="H815" s="3" t="str">
        <f>HYPERLINK("http://funmeta.oebiotech.com/network/55344", "http://funmeta.oebiotech.com/network/55344")</f>
      </c>
      <c r="I815" s="2" t="s">
        <v>6396</v>
      </c>
      <c r="J815" s="2" t="s">
        <v>6397</v>
      </c>
      <c r="K815" s="2"/>
      <c r="L815" s="2"/>
      <c r="M815" s="2"/>
      <c r="N815" s="2" t="s">
        <v>6398</v>
      </c>
      <c r="O815" s="2" t="s">
        <v>6399</v>
      </c>
      <c r="P815" s="2" t="s">
        <v>6400</v>
      </c>
      <c r="Q815" s="2" t="s">
        <v>6401</v>
      </c>
      <c r="R815" s="2" t="s">
        <v>2509</v>
      </c>
      <c r="S815" s="2" t="s">
        <v>2840</v>
      </c>
      <c r="T815" s="2" t="s">
        <v>205</v>
      </c>
      <c r="U815" s="2" t="s">
        <v>6393</v>
      </c>
      <c r="V815" s="2" t="s">
        <v>522</v>
      </c>
      <c r="W815" s="2"/>
    </row>
    <row r="816">
      <c r="A816" s="2" t="n">
        <v>576</v>
      </c>
      <c r="B816" s="2" t="s">
        <v>13891</v>
      </c>
      <c r="C816" s="2" t="s">
        <v>6402</v>
      </c>
      <c r="D816" s="2" t="n">
        <v>520.055038604</v>
      </c>
      <c r="E816" s="2" t="n">
        <v>0.482021910997616</v>
      </c>
      <c r="F816" s="2" t="s">
        <v>6404</v>
      </c>
      <c r="G816" s="2" t="n">
        <v>203887</v>
      </c>
      <c r="H816" s="3" t="str">
        <f>HYPERLINK("http://funmeta.oebiotech.com/network/203887", "http://funmeta.oebiotech.com/network/203887")</f>
      </c>
      <c r="I816" s="2" t="s">
        <v>6406</v>
      </c>
      <c r="J816" s="2"/>
      <c r="K816" s="2"/>
      <c r="L816" s="2"/>
      <c r="M816" s="2"/>
      <c r="N816" s="2" t="s">
        <v>6407</v>
      </c>
      <c r="O816" s="2"/>
      <c r="P816" s="2" t="s">
        <v>6408</v>
      </c>
      <c r="Q816" s="2" t="s">
        <v>6409</v>
      </c>
      <c r="R816" s="2" t="s">
        <v>355</v>
      </c>
      <c r="S816" s="2" t="s">
        <v>6410</v>
      </c>
      <c r="T816" s="2" t="s">
        <v>6411</v>
      </c>
      <c r="U816" s="2" t="s">
        <v>6403</v>
      </c>
      <c r="V816" s="2" t="s">
        <v>250</v>
      </c>
      <c r="W816" s="2"/>
    </row>
    <row r="817">
      <c r="A817" s="2" t="n">
        <v>577</v>
      </c>
      <c r="B817" s="2" t="s">
        <v>13892</v>
      </c>
      <c r="C817" s="2" t="s">
        <v>6412</v>
      </c>
      <c r="D817" s="2" t="n">
        <v>520.129628655</v>
      </c>
      <c r="E817" s="2" t="n">
        <v>4.05244517717468</v>
      </c>
      <c r="F817" s="2" t="s">
        <v>6414</v>
      </c>
      <c r="G817" s="2" t="n">
        <v>203585</v>
      </c>
      <c r="H817" s="3" t="str">
        <f>HYPERLINK("http://funmeta.oebiotech.com/network/203585", "http://funmeta.oebiotech.com/network/203585")</f>
      </c>
      <c r="I817" s="2" t="s">
        <v>6416</v>
      </c>
      <c r="J817" s="2"/>
      <c r="K817" s="2"/>
      <c r="L817" s="2"/>
      <c r="M817" s="2"/>
      <c r="N817" s="2" t="s">
        <v>6417</v>
      </c>
      <c r="O817" s="2"/>
      <c r="P817" s="2" t="s">
        <v>6418</v>
      </c>
      <c r="Q817" s="2" t="s">
        <v>6419</v>
      </c>
      <c r="R817" s="2" t="s">
        <v>49</v>
      </c>
      <c r="S817" s="2" t="s">
        <v>165</v>
      </c>
      <c r="T817" s="2" t="s">
        <v>166</v>
      </c>
      <c r="U817" s="2" t="s">
        <v>6413</v>
      </c>
      <c r="V817" s="2" t="s">
        <v>110</v>
      </c>
      <c r="W817" s="2"/>
    </row>
    <row r="818">
      <c r="A818" s="2" t="n">
        <v>578</v>
      </c>
      <c r="B818" s="2" t="s">
        <v>13893</v>
      </c>
      <c r="C818" s="2" t="s">
        <v>6420</v>
      </c>
      <c r="D818" s="2" t="n">
        <v>520.26186616</v>
      </c>
      <c r="E818" s="2" t="n">
        <v>0.157296418586088</v>
      </c>
      <c r="F818" s="2" t="s">
        <v>6422</v>
      </c>
      <c r="G818" s="2" t="n">
        <v>203609</v>
      </c>
      <c r="H818" s="3" t="str">
        <f>HYPERLINK("http://funmeta.oebiotech.com/network/203609", "http://funmeta.oebiotech.com/network/203609")</f>
      </c>
      <c r="I818" s="2" t="s">
        <v>6424</v>
      </c>
      <c r="J818" s="2"/>
      <c r="K818" s="2"/>
      <c r="L818" s="2"/>
      <c r="M818" s="2"/>
      <c r="N818" s="2" t="s">
        <v>6425</v>
      </c>
      <c r="O818" s="2"/>
      <c r="P818" s="2" t="s">
        <v>6426</v>
      </c>
      <c r="Q818" s="2" t="s">
        <v>6427</v>
      </c>
      <c r="R818" s="2" t="s">
        <v>64</v>
      </c>
      <c r="S818" s="2" t="s">
        <v>65</v>
      </c>
      <c r="T818" s="2" t="s">
        <v>66</v>
      </c>
      <c r="U818" s="2" t="s">
        <v>6421</v>
      </c>
      <c r="V818" s="2" t="s">
        <v>42</v>
      </c>
      <c r="W818" s="2"/>
    </row>
    <row r="819">
      <c r="A819" s="2" t="n">
        <v>579</v>
      </c>
      <c r="B819" s="2" t="s">
        <v>13894</v>
      </c>
      <c r="C819" s="2" t="s">
        <v>6428</v>
      </c>
      <c r="D819" s="2" t="n">
        <v>521.0968423</v>
      </c>
      <c r="E819" s="2" t="n">
        <v>0.519163928884031</v>
      </c>
      <c r="F819" s="2" t="s">
        <v>13895</v>
      </c>
      <c r="G819" s="2" t="n">
        <v>208519</v>
      </c>
      <c r="H819" s="3" t="str">
        <f>HYPERLINK("http://funmeta.oebiotech.com/network/208519", "http://funmeta.oebiotech.com/network/208519")</f>
      </c>
      <c r="I819" s="2" t="s">
        <v>13896</v>
      </c>
      <c r="J819" s="2"/>
      <c r="K819" s="2"/>
      <c r="L819" s="2"/>
      <c r="M819" s="2"/>
      <c r="N819" s="2" t="s">
        <v>13897</v>
      </c>
      <c r="O819" s="2"/>
      <c r="P819" s="2" t="s">
        <v>13898</v>
      </c>
      <c r="Q819" s="2" t="s">
        <v>13899</v>
      </c>
      <c r="R819" s="2" t="s">
        <v>2509</v>
      </c>
      <c r="S819" s="2" t="s">
        <v>7166</v>
      </c>
      <c r="T819" s="2" t="s">
        <v>205</v>
      </c>
      <c r="U819" s="2" t="s">
        <v>6429</v>
      </c>
      <c r="V819" s="2" t="s">
        <v>24</v>
      </c>
      <c r="W819" s="2"/>
    </row>
    <row r="820">
      <c r="A820" s="2" t="n">
        <v>579</v>
      </c>
      <c r="B820" s="2" t="s">
        <v>13900</v>
      </c>
      <c r="C820" s="2" t="s">
        <v>6428</v>
      </c>
      <c r="D820" s="2" t="n">
        <v>521.0968423</v>
      </c>
      <c r="E820" s="2" t="n">
        <v>0.519163928884031</v>
      </c>
      <c r="F820" s="2" t="s">
        <v>13901</v>
      </c>
      <c r="G820" s="2" t="n">
        <v>212244</v>
      </c>
      <c r="H820" s="3" t="str">
        <f>HYPERLINK("http://funmeta.oebiotech.com/network/212244", "http://funmeta.oebiotech.com/network/212244")</f>
      </c>
      <c r="I820" s="2" t="s">
        <v>13902</v>
      </c>
      <c r="J820" s="2"/>
      <c r="K820" s="2"/>
      <c r="L820" s="2"/>
      <c r="M820" s="2"/>
      <c r="N820" s="2" t="s">
        <v>13903</v>
      </c>
      <c r="O820" s="2"/>
      <c r="P820" s="2" t="s">
        <v>13904</v>
      </c>
      <c r="Q820" s="2" t="s">
        <v>13905</v>
      </c>
      <c r="R820" s="2" t="s">
        <v>64</v>
      </c>
      <c r="S820" s="2" t="s">
        <v>65</v>
      </c>
      <c r="T820" s="2" t="s">
        <v>66</v>
      </c>
      <c r="U820" s="2" t="s">
        <v>6429</v>
      </c>
      <c r="V820" s="2" t="s">
        <v>24</v>
      </c>
      <c r="W820" s="2"/>
    </row>
    <row r="821">
      <c r="A821" s="2" t="n">
        <v>580</v>
      </c>
      <c r="B821" s="2" t="s">
        <v>13906</v>
      </c>
      <c r="C821" s="2" t="s">
        <v>6439</v>
      </c>
      <c r="D821" s="2" t="n">
        <v>521.16590009</v>
      </c>
      <c r="E821" s="2" t="n">
        <v>2.51824020496481</v>
      </c>
      <c r="F821" s="2" t="s">
        <v>6441</v>
      </c>
      <c r="G821" s="2" t="n">
        <v>59696</v>
      </c>
      <c r="H821" s="3" t="str">
        <f>HYPERLINK("http://funmeta.oebiotech.com/network/59696", "http://funmeta.oebiotech.com/network/59696")</f>
      </c>
      <c r="I821" s="2" t="s">
        <v>6443</v>
      </c>
      <c r="J821" s="2" t="s">
        <v>6444</v>
      </c>
      <c r="K821" s="2"/>
      <c r="L821" s="2" t="s">
        <v>6445</v>
      </c>
      <c r="M821" s="2" t="s">
        <v>6446</v>
      </c>
      <c r="N821" s="2" t="s">
        <v>6447</v>
      </c>
      <c r="O821" s="2" t="s">
        <v>6448</v>
      </c>
      <c r="P821" s="2" t="s">
        <v>6449</v>
      </c>
      <c r="Q821" s="2" t="s">
        <v>6450</v>
      </c>
      <c r="R821" s="2" t="s">
        <v>1490</v>
      </c>
      <c r="S821" s="2" t="s">
        <v>4971</v>
      </c>
      <c r="T821" s="2" t="s">
        <v>5010</v>
      </c>
      <c r="U821" s="2" t="s">
        <v>6440</v>
      </c>
      <c r="V821" s="2" t="s">
        <v>42</v>
      </c>
      <c r="W821" s="2" t="s">
        <v>39</v>
      </c>
    </row>
    <row r="822">
      <c r="A822" s="2" t="n">
        <v>581</v>
      </c>
      <c r="B822" s="2" t="s">
        <v>13907</v>
      </c>
      <c r="C822" s="2" t="s">
        <v>6451</v>
      </c>
      <c r="D822" s="2" t="n">
        <v>522.042718752</v>
      </c>
      <c r="E822" s="2" t="n">
        <v>2.50787612245489</v>
      </c>
      <c r="F822" s="2" t="s">
        <v>6453</v>
      </c>
      <c r="G822" s="2" t="n">
        <v>204464</v>
      </c>
      <c r="H822" s="3" t="str">
        <f>HYPERLINK("http://funmeta.oebiotech.com/network/204464", "http://funmeta.oebiotech.com/network/204464")</f>
      </c>
      <c r="I822" s="2" t="s">
        <v>6455</v>
      </c>
      <c r="J822" s="2"/>
      <c r="K822" s="2"/>
      <c r="L822" s="2"/>
      <c r="M822" s="2"/>
      <c r="N822" s="2" t="s">
        <v>6456</v>
      </c>
      <c r="O822" s="2"/>
      <c r="P822" s="2" t="s">
        <v>6457</v>
      </c>
      <c r="Q822" s="2" t="s">
        <v>6458</v>
      </c>
      <c r="R822" s="2" t="s">
        <v>64</v>
      </c>
      <c r="S822" s="2" t="s">
        <v>65</v>
      </c>
      <c r="T822" s="2" t="s">
        <v>66</v>
      </c>
      <c r="U822" s="2" t="s">
        <v>6452</v>
      </c>
      <c r="V822" s="2" t="s">
        <v>42</v>
      </c>
      <c r="W822" s="2"/>
    </row>
    <row r="823">
      <c r="A823" s="2" t="n">
        <v>582</v>
      </c>
      <c r="B823" s="2" t="s">
        <v>13908</v>
      </c>
      <c r="C823" s="2" t="s">
        <v>6459</v>
      </c>
      <c r="D823" s="2" t="n">
        <v>522.166838937</v>
      </c>
      <c r="E823" s="2" t="n">
        <v>0.161702095808078</v>
      </c>
      <c r="F823" s="2" t="s">
        <v>6461</v>
      </c>
      <c r="G823" s="2" t="n">
        <v>210967</v>
      </c>
      <c r="H823" s="3" t="str">
        <f>HYPERLINK("http://funmeta.oebiotech.com/network/210967", "http://funmeta.oebiotech.com/network/210967")</f>
      </c>
      <c r="I823" s="2" t="s">
        <v>6463</v>
      </c>
      <c r="J823" s="2" t="s">
        <v>6464</v>
      </c>
      <c r="K823" s="2"/>
      <c r="L823" s="2"/>
      <c r="M823" s="2" t="s">
        <v>6465</v>
      </c>
      <c r="N823" s="2" t="s">
        <v>6466</v>
      </c>
      <c r="O823" s="2" t="s">
        <v>6467</v>
      </c>
      <c r="P823" s="2" t="s">
        <v>6468</v>
      </c>
      <c r="Q823" s="2" t="s">
        <v>6469</v>
      </c>
      <c r="R823" s="2" t="s">
        <v>502</v>
      </c>
      <c r="S823" s="2" t="s">
        <v>503</v>
      </c>
      <c r="T823" s="2" t="s">
        <v>5166</v>
      </c>
      <c r="U823" s="2" t="s">
        <v>6460</v>
      </c>
      <c r="V823" s="2" t="s">
        <v>24</v>
      </c>
      <c r="W823" s="2"/>
    </row>
    <row r="824">
      <c r="A824" s="2" t="n">
        <v>583</v>
      </c>
      <c r="B824" s="2" t="s">
        <v>13909</v>
      </c>
      <c r="C824" s="2" t="s">
        <v>6470</v>
      </c>
      <c r="D824" s="2" t="n">
        <v>523.039632664</v>
      </c>
      <c r="E824" s="2" t="n">
        <v>6.12710192791338</v>
      </c>
      <c r="F824" s="2" t="s">
        <v>6472</v>
      </c>
      <c r="G824" s="2" t="n">
        <v>64170</v>
      </c>
      <c r="H824" s="3" t="str">
        <f>HYPERLINK("http://funmeta.oebiotech.com/network/64170", "http://funmeta.oebiotech.com/network/64170")</f>
      </c>
      <c r="I824" s="2" t="s">
        <v>6474</v>
      </c>
      <c r="J824" s="2" t="s">
        <v>6475</v>
      </c>
      <c r="K824" s="2"/>
      <c r="L824" s="2"/>
      <c r="M824" s="2" t="s">
        <v>6476</v>
      </c>
      <c r="N824" s="2" t="s">
        <v>6477</v>
      </c>
      <c r="O824" s="2" t="s">
        <v>6478</v>
      </c>
      <c r="P824" s="2" t="s">
        <v>6479</v>
      </c>
      <c r="Q824" s="2" t="s">
        <v>6480</v>
      </c>
      <c r="R824" s="2" t="s">
        <v>355</v>
      </c>
      <c r="S824" s="2" t="s">
        <v>2424</v>
      </c>
      <c r="T824" s="2" t="s">
        <v>2425</v>
      </c>
      <c r="U824" s="2" t="s">
        <v>6471</v>
      </c>
      <c r="V824" s="2" t="s">
        <v>1019</v>
      </c>
      <c r="W824" s="2"/>
    </row>
    <row r="825">
      <c r="A825" s="2" t="n">
        <v>584</v>
      </c>
      <c r="B825" s="2" t="s">
        <v>13910</v>
      </c>
      <c r="C825" s="2" t="s">
        <v>6481</v>
      </c>
      <c r="D825" s="2" t="n">
        <v>524.03438241</v>
      </c>
      <c r="E825" s="2" t="n">
        <v>4.10888191140686</v>
      </c>
      <c r="F825" s="2" t="s">
        <v>13911</v>
      </c>
      <c r="G825" s="2" t="n">
        <v>82268</v>
      </c>
      <c r="H825" s="3" t="str">
        <f>HYPERLINK("http://funmeta.oebiotech.com/network/82268", "http://funmeta.oebiotech.com/network/82268")</f>
      </c>
      <c r="I825" s="2" t="s">
        <v>13912</v>
      </c>
      <c r="J825" s="2" t="s">
        <v>13913</v>
      </c>
      <c r="K825" s="2"/>
      <c r="L825" s="2" t="s">
        <v>13914</v>
      </c>
      <c r="M825" s="2" t="s">
        <v>13915</v>
      </c>
      <c r="N825" s="2" t="s">
        <v>13916</v>
      </c>
      <c r="O825" s="2"/>
      <c r="P825" s="2" t="s">
        <v>13917</v>
      </c>
      <c r="Q825" s="2" t="s">
        <v>13918</v>
      </c>
      <c r="R825" s="2" t="s">
        <v>49</v>
      </c>
      <c r="S825" s="2" t="s">
        <v>165</v>
      </c>
      <c r="T825" s="2" t="s">
        <v>166</v>
      </c>
      <c r="U825" s="2" t="s">
        <v>6482</v>
      </c>
      <c r="V825" s="2" t="s">
        <v>24</v>
      </c>
      <c r="W825" s="2" t="s">
        <v>39</v>
      </c>
    </row>
    <row r="826">
      <c r="A826" s="2" t="n">
        <v>584</v>
      </c>
      <c r="B826" s="2" t="s">
        <v>13919</v>
      </c>
      <c r="C826" s="2" t="s">
        <v>6481</v>
      </c>
      <c r="D826" s="2" t="n">
        <v>524.03438241</v>
      </c>
      <c r="E826" s="2" t="n">
        <v>4.10888191140686</v>
      </c>
      <c r="F826" s="2" t="s">
        <v>13920</v>
      </c>
      <c r="G826" s="2" t="n">
        <v>82287</v>
      </c>
      <c r="H826" s="3" t="str">
        <f>HYPERLINK("http://funmeta.oebiotech.com/network/82287", "http://funmeta.oebiotech.com/network/82287")</f>
      </c>
      <c r="I826" s="2" t="s">
        <v>13921</v>
      </c>
      <c r="J826" s="2" t="s">
        <v>13922</v>
      </c>
      <c r="K826" s="2"/>
      <c r="L826" s="2" t="s">
        <v>13923</v>
      </c>
      <c r="M826" s="2" t="s">
        <v>13924</v>
      </c>
      <c r="N826" s="2" t="s">
        <v>13925</v>
      </c>
      <c r="O826" s="2"/>
      <c r="P826" s="2" t="s">
        <v>13926</v>
      </c>
      <c r="Q826" s="2" t="s">
        <v>13927</v>
      </c>
      <c r="R826" s="2" t="s">
        <v>49</v>
      </c>
      <c r="S826" s="2" t="s">
        <v>165</v>
      </c>
      <c r="T826" s="2" t="s">
        <v>166</v>
      </c>
      <c r="U826" s="2" t="s">
        <v>6482</v>
      </c>
      <c r="V826" s="2" t="s">
        <v>24</v>
      </c>
      <c r="W826" s="2" t="s">
        <v>39</v>
      </c>
    </row>
    <row r="827">
      <c r="A827" s="2" t="n">
        <v>585</v>
      </c>
      <c r="B827" s="2" t="s">
        <v>13928</v>
      </c>
      <c r="C827" s="2" t="s">
        <v>6492</v>
      </c>
      <c r="D827" s="2" t="n">
        <v>526.114568883</v>
      </c>
      <c r="E827" s="2" t="n">
        <v>9.29854620092583</v>
      </c>
      <c r="F827" s="2" t="s">
        <v>6494</v>
      </c>
      <c r="G827" s="2" t="n">
        <v>213164</v>
      </c>
      <c r="H827" s="3" t="str">
        <f>HYPERLINK("http://funmeta.oebiotech.com/network/213164", "http://funmeta.oebiotech.com/network/213164")</f>
      </c>
      <c r="I827" s="2" t="s">
        <v>6496</v>
      </c>
      <c r="J827" s="2"/>
      <c r="K827" s="2"/>
      <c r="L827" s="2"/>
      <c r="M827" s="2"/>
      <c r="N827" s="2" t="s">
        <v>6497</v>
      </c>
      <c r="O827" s="2"/>
      <c r="P827" s="2" t="s">
        <v>6498</v>
      </c>
      <c r="Q827" s="2" t="s">
        <v>6499</v>
      </c>
      <c r="R827" s="2" t="s">
        <v>49</v>
      </c>
      <c r="S827" s="2" t="s">
        <v>165</v>
      </c>
      <c r="T827" s="2" t="s">
        <v>166</v>
      </c>
      <c r="U827" s="2" t="s">
        <v>6493</v>
      </c>
      <c r="V827" s="2" t="s">
        <v>24</v>
      </c>
      <c r="W827" s="2"/>
    </row>
    <row r="828">
      <c r="A828" s="2" t="n">
        <v>586</v>
      </c>
      <c r="B828" s="2" t="s">
        <v>13929</v>
      </c>
      <c r="C828" s="2" t="s">
        <v>6500</v>
      </c>
      <c r="D828" s="2" t="n">
        <v>529.090637366</v>
      </c>
      <c r="E828" s="2" t="n">
        <v>3.0363518318498</v>
      </c>
      <c r="F828" s="2" t="s">
        <v>6502</v>
      </c>
      <c r="G828" s="2" t="n">
        <v>60918</v>
      </c>
      <c r="H828" s="3" t="str">
        <f>HYPERLINK("http://funmeta.oebiotech.com/network/60918", "http://funmeta.oebiotech.com/network/60918")</f>
      </c>
      <c r="I828" s="2" t="s">
        <v>6504</v>
      </c>
      <c r="J828" s="2" t="s">
        <v>6505</v>
      </c>
      <c r="K828" s="2"/>
      <c r="L828" s="2"/>
      <c r="M828" s="2"/>
      <c r="N828" s="2" t="s">
        <v>6506</v>
      </c>
      <c r="O828" s="2" t="s">
        <v>6507</v>
      </c>
      <c r="P828" s="2" t="s">
        <v>6508</v>
      </c>
      <c r="Q828" s="2" t="s">
        <v>6509</v>
      </c>
      <c r="R828" s="2" t="s">
        <v>355</v>
      </c>
      <c r="S828" s="2" t="s">
        <v>6510</v>
      </c>
      <c r="T828" s="2" t="s">
        <v>6511</v>
      </c>
      <c r="U828" s="2" t="s">
        <v>6501</v>
      </c>
      <c r="V828" s="2" t="s">
        <v>250</v>
      </c>
      <c r="W828" s="2"/>
    </row>
    <row r="829">
      <c r="A829" s="2" t="n">
        <v>587</v>
      </c>
      <c r="B829" s="2" t="s">
        <v>13930</v>
      </c>
      <c r="C829" s="2" t="s">
        <v>6512</v>
      </c>
      <c r="D829" s="2" t="n">
        <v>529.301821692</v>
      </c>
      <c r="E829" s="2" t="n">
        <v>6.29617256768162</v>
      </c>
      <c r="F829" s="2" t="s">
        <v>6514</v>
      </c>
      <c r="G829" s="2" t="n">
        <v>63969</v>
      </c>
      <c r="H829" s="3" t="str">
        <f>HYPERLINK("http://funmeta.oebiotech.com/network/63969", "http://funmeta.oebiotech.com/network/63969")</f>
      </c>
      <c r="I829" s="2" t="s">
        <v>6516</v>
      </c>
      <c r="J829" s="2" t="s">
        <v>6517</v>
      </c>
      <c r="K829" s="2"/>
      <c r="L829" s="2"/>
      <c r="M829" s="2" t="s">
        <v>6518</v>
      </c>
      <c r="N829" s="2" t="s">
        <v>6519</v>
      </c>
      <c r="O829" s="2" t="s">
        <v>6520</v>
      </c>
      <c r="P829" s="2" t="s">
        <v>6521</v>
      </c>
      <c r="Q829" s="2" t="s">
        <v>6522</v>
      </c>
      <c r="R829" s="2" t="s">
        <v>1490</v>
      </c>
      <c r="S829" s="2" t="s">
        <v>1491</v>
      </c>
      <c r="T829" s="2" t="s">
        <v>6523</v>
      </c>
      <c r="U829" s="2" t="s">
        <v>6513</v>
      </c>
      <c r="V829" s="2" t="s">
        <v>110</v>
      </c>
      <c r="W829" s="2"/>
    </row>
    <row r="830">
      <c r="A830" s="2" t="n">
        <v>588</v>
      </c>
      <c r="B830" s="2" t="s">
        <v>13931</v>
      </c>
      <c r="C830" s="2" t="s">
        <v>6524</v>
      </c>
      <c r="D830" s="2" t="n">
        <v>530.078677877</v>
      </c>
      <c r="E830" s="2" t="n">
        <v>5.88641783166254</v>
      </c>
      <c r="F830" s="2" t="s">
        <v>6526</v>
      </c>
      <c r="G830" s="2" t="n">
        <v>212951</v>
      </c>
      <c r="H830" s="3" t="str">
        <f>HYPERLINK("http://funmeta.oebiotech.com/network/212951", "http://funmeta.oebiotech.com/network/212951")</f>
      </c>
      <c r="I830" s="2" t="s">
        <v>6528</v>
      </c>
      <c r="J830" s="2"/>
      <c r="K830" s="2"/>
      <c r="L830" s="2"/>
      <c r="M830" s="2"/>
      <c r="N830" s="2" t="s">
        <v>6529</v>
      </c>
      <c r="O830" s="2"/>
      <c r="P830" s="2" t="s">
        <v>6530</v>
      </c>
      <c r="Q830" s="2" t="s">
        <v>6531</v>
      </c>
      <c r="R830" s="2" t="s">
        <v>49</v>
      </c>
      <c r="S830" s="2" t="s">
        <v>6532</v>
      </c>
      <c r="T830" s="2" t="s">
        <v>6533</v>
      </c>
      <c r="U830" s="2" t="s">
        <v>6525</v>
      </c>
      <c r="V830" s="2" t="s">
        <v>42</v>
      </c>
      <c r="W830" s="2"/>
    </row>
    <row r="831">
      <c r="A831" s="2" t="n">
        <v>589</v>
      </c>
      <c r="B831" s="2" t="s">
        <v>13932</v>
      </c>
      <c r="C831" s="2" t="s">
        <v>6534</v>
      </c>
      <c r="D831" s="2" t="n">
        <v>530.2175666</v>
      </c>
      <c r="E831" s="2" t="n">
        <v>4.88981648526962</v>
      </c>
      <c r="F831" s="2" t="s">
        <v>13933</v>
      </c>
      <c r="G831" s="2" t="n">
        <v>209940</v>
      </c>
      <c r="H831" s="3" t="str">
        <f>HYPERLINK("http://funmeta.oebiotech.com/network/209940", "http://funmeta.oebiotech.com/network/209940")</f>
      </c>
      <c r="I831" s="2" t="s">
        <v>13934</v>
      </c>
      <c r="J831" s="2" t="s">
        <v>13935</v>
      </c>
      <c r="K831" s="2"/>
      <c r="L831" s="2"/>
      <c r="M831" s="2"/>
      <c r="N831" s="2" t="s">
        <v>13936</v>
      </c>
      <c r="O831" s="2" t="s">
        <v>13937</v>
      </c>
      <c r="P831" s="2" t="s">
        <v>13938</v>
      </c>
      <c r="Q831" s="2" t="s">
        <v>13939</v>
      </c>
      <c r="R831" s="2" t="s">
        <v>355</v>
      </c>
      <c r="S831" s="2" t="s">
        <v>5131</v>
      </c>
      <c r="T831" s="2" t="s">
        <v>5132</v>
      </c>
      <c r="U831" s="2" t="s">
        <v>6535</v>
      </c>
      <c r="V831" s="2" t="s">
        <v>24</v>
      </c>
      <c r="W831" s="2"/>
    </row>
    <row r="832">
      <c r="A832" s="2" t="n">
        <v>589</v>
      </c>
      <c r="B832" s="2" t="s">
        <v>13940</v>
      </c>
      <c r="C832" s="2" t="s">
        <v>6534</v>
      </c>
      <c r="D832" s="2" t="n">
        <v>530.2175666</v>
      </c>
      <c r="E832" s="2" t="n">
        <v>4.88981648526962</v>
      </c>
      <c r="F832" s="2" t="s">
        <v>13941</v>
      </c>
      <c r="G832" s="2" t="n">
        <v>211409</v>
      </c>
      <c r="H832" s="3" t="str">
        <f>HYPERLINK("http://funmeta.oebiotech.com/network/211409", "http://funmeta.oebiotech.com/network/211409")</f>
      </c>
      <c r="I832" s="2" t="s">
        <v>13942</v>
      </c>
      <c r="J832" s="2"/>
      <c r="K832" s="2"/>
      <c r="L832" s="2"/>
      <c r="M832" s="2"/>
      <c r="N832" s="2" t="s">
        <v>13943</v>
      </c>
      <c r="O832" s="2"/>
      <c r="P832" s="2" t="s">
        <v>13944</v>
      </c>
      <c r="Q832" s="2" t="s">
        <v>13945</v>
      </c>
      <c r="R832" s="2" t="s">
        <v>355</v>
      </c>
      <c r="S832" s="2" t="s">
        <v>5131</v>
      </c>
      <c r="T832" s="2" t="s">
        <v>5132</v>
      </c>
      <c r="U832" s="2" t="s">
        <v>6535</v>
      </c>
      <c r="V832" s="2" t="s">
        <v>24</v>
      </c>
      <c r="W832" s="2"/>
    </row>
    <row r="833">
      <c r="A833" s="2" t="n">
        <v>589</v>
      </c>
      <c r="B833" s="2" t="s">
        <v>13946</v>
      </c>
      <c r="C833" s="2" t="s">
        <v>6534</v>
      </c>
      <c r="D833" s="2" t="n">
        <v>530.217566622</v>
      </c>
      <c r="E833" s="2" t="n">
        <v>4.88981648526962</v>
      </c>
      <c r="F833" s="2" t="s">
        <v>13947</v>
      </c>
      <c r="G833" s="2" t="n">
        <v>82875</v>
      </c>
      <c r="H833" s="3" t="str">
        <f>HYPERLINK("http://funmeta.oebiotech.com/network/82875", "http://funmeta.oebiotech.com/network/82875")</f>
      </c>
      <c r="I833" s="2" t="s">
        <v>13948</v>
      </c>
      <c r="J833" s="2" t="s">
        <v>13949</v>
      </c>
      <c r="K833" s="2"/>
      <c r="L833" s="2"/>
      <c r="M833" s="2"/>
      <c r="N833" s="2" t="s">
        <v>13950</v>
      </c>
      <c r="O833" s="2" t="s">
        <v>13951</v>
      </c>
      <c r="P833" s="2" t="s">
        <v>13952</v>
      </c>
      <c r="Q833" s="2" t="s">
        <v>13953</v>
      </c>
      <c r="R833" s="2" t="s">
        <v>355</v>
      </c>
      <c r="S833" s="2" t="s">
        <v>5131</v>
      </c>
      <c r="T833" s="2" t="s">
        <v>5132</v>
      </c>
      <c r="U833" s="2" t="s">
        <v>6535</v>
      </c>
      <c r="V833" s="2" t="s">
        <v>24</v>
      </c>
      <c r="W833" s="2"/>
    </row>
    <row r="834">
      <c r="A834" s="2" t="n">
        <v>590</v>
      </c>
      <c r="B834" s="2" t="s">
        <v>13954</v>
      </c>
      <c r="C834" s="2" t="s">
        <v>6546</v>
      </c>
      <c r="D834" s="2" t="n">
        <v>531.077609254</v>
      </c>
      <c r="E834" s="2" t="n">
        <v>6.17967708716841</v>
      </c>
      <c r="F834" s="2" t="s">
        <v>6548</v>
      </c>
      <c r="G834" s="2" t="n">
        <v>205526</v>
      </c>
      <c r="H834" s="3" t="str">
        <f>HYPERLINK("http://funmeta.oebiotech.com/network/205526", "http://funmeta.oebiotech.com/network/205526")</f>
      </c>
      <c r="I834" s="2" t="s">
        <v>6550</v>
      </c>
      <c r="J834" s="2" t="s">
        <v>6551</v>
      </c>
      <c r="K834" s="2"/>
      <c r="L834" s="2"/>
      <c r="M834" s="2"/>
      <c r="N834" s="2" t="s">
        <v>6552</v>
      </c>
      <c r="O834" s="2"/>
      <c r="P834" s="2" t="s">
        <v>6553</v>
      </c>
      <c r="Q834" s="2" t="s">
        <v>6554</v>
      </c>
      <c r="R834" s="2" t="s">
        <v>355</v>
      </c>
      <c r="S834" s="2" t="s">
        <v>5537</v>
      </c>
      <c r="T834" s="2" t="s">
        <v>5538</v>
      </c>
      <c r="U834" s="2" t="s">
        <v>6547</v>
      </c>
      <c r="V834" s="2" t="s">
        <v>522</v>
      </c>
      <c r="W834" s="2"/>
    </row>
    <row r="835">
      <c r="A835" s="2" t="n">
        <v>591</v>
      </c>
      <c r="B835" s="2" t="s">
        <v>13955</v>
      </c>
      <c r="C835" s="2" t="s">
        <v>6555</v>
      </c>
      <c r="D835" s="2" t="n">
        <v>531.130641</v>
      </c>
      <c r="E835" s="2" t="n">
        <v>5.27989796987207</v>
      </c>
      <c r="F835" s="2" t="s">
        <v>6557</v>
      </c>
      <c r="G835" s="2" t="n">
        <v>209864</v>
      </c>
      <c r="H835" s="3" t="str">
        <f>HYPERLINK("http://funmeta.oebiotech.com/network/209864", "http://funmeta.oebiotech.com/network/209864")</f>
      </c>
      <c r="I835" s="2" t="s">
        <v>6559</v>
      </c>
      <c r="J835" s="2"/>
      <c r="K835" s="2"/>
      <c r="L835" s="2"/>
      <c r="M835" s="2"/>
      <c r="N835" s="2" t="s">
        <v>6560</v>
      </c>
      <c r="O835" s="2"/>
      <c r="P835" s="2" t="s">
        <v>6561</v>
      </c>
      <c r="Q835" s="2" t="s">
        <v>6562</v>
      </c>
      <c r="R835" s="2" t="s">
        <v>355</v>
      </c>
      <c r="S835" s="2" t="s">
        <v>1316</v>
      </c>
      <c r="T835" s="2" t="s">
        <v>4897</v>
      </c>
      <c r="U835" s="2" t="s">
        <v>6556</v>
      </c>
      <c r="V835" s="2" t="s">
        <v>24</v>
      </c>
      <c r="W835" s="2"/>
    </row>
    <row r="836">
      <c r="A836" s="2" t="n">
        <v>592</v>
      </c>
      <c r="B836" s="2" t="s">
        <v>13956</v>
      </c>
      <c r="C836" s="2" t="s">
        <v>6563</v>
      </c>
      <c r="D836" s="2" t="n">
        <v>531.23011019</v>
      </c>
      <c r="E836" s="2" t="n">
        <v>1.28751072928486</v>
      </c>
      <c r="F836" s="2" t="s">
        <v>6565</v>
      </c>
      <c r="G836" s="2" t="n">
        <v>3844</v>
      </c>
      <c r="H836" s="3" t="str">
        <f>HYPERLINK("http://funmeta.oebiotech.com/network/3844", "http://funmeta.oebiotech.com/network/3844")</f>
      </c>
      <c r="I836" s="2" t="s">
        <v>6567</v>
      </c>
      <c r="J836" s="2" t="s">
        <v>6568</v>
      </c>
      <c r="K836" s="2" t="s">
        <v>6569</v>
      </c>
      <c r="L836" s="2" t="s">
        <v>6570</v>
      </c>
      <c r="M836" s="2" t="s">
        <v>6571</v>
      </c>
      <c r="N836" s="2" t="s">
        <v>6572</v>
      </c>
      <c r="O836" s="2" t="s">
        <v>6573</v>
      </c>
      <c r="P836" s="2" t="s">
        <v>6574</v>
      </c>
      <c r="Q836" s="2" t="s">
        <v>6575</v>
      </c>
      <c r="R836" s="2" t="s">
        <v>1490</v>
      </c>
      <c r="S836" s="2" t="s">
        <v>1491</v>
      </c>
      <c r="T836" s="2" t="s">
        <v>6576</v>
      </c>
      <c r="U836" s="2" t="s">
        <v>6564</v>
      </c>
      <c r="V836" s="2" t="s">
        <v>522</v>
      </c>
      <c r="W836" s="2" t="s">
        <v>39</v>
      </c>
    </row>
    <row r="837">
      <c r="A837" s="2" t="n">
        <v>593</v>
      </c>
      <c r="B837" s="2" t="s">
        <v>13957</v>
      </c>
      <c r="C837" s="2" t="s">
        <v>6577</v>
      </c>
      <c r="D837" s="2" t="n">
        <v>532.180242211</v>
      </c>
      <c r="E837" s="2" t="n">
        <v>5.498859741942</v>
      </c>
      <c r="F837" s="2" t="s">
        <v>6579</v>
      </c>
      <c r="G837" s="2" t="n">
        <v>60284</v>
      </c>
      <c r="H837" s="3" t="str">
        <f>HYPERLINK("http://funmeta.oebiotech.com/network/60284", "http://funmeta.oebiotech.com/network/60284")</f>
      </c>
      <c r="I837" s="2" t="s">
        <v>6581</v>
      </c>
      <c r="J837" s="2"/>
      <c r="K837" s="2"/>
      <c r="L837" s="2" t="s">
        <v>6582</v>
      </c>
      <c r="M837" s="2"/>
      <c r="N837" s="2" t="s">
        <v>6583</v>
      </c>
      <c r="O837" s="2" t="s">
        <v>6584</v>
      </c>
      <c r="P837" s="2" t="s">
        <v>6585</v>
      </c>
      <c r="Q837" s="2" t="s">
        <v>6586</v>
      </c>
      <c r="R837" s="2" t="s">
        <v>64</v>
      </c>
      <c r="S837" s="2" t="s">
        <v>65</v>
      </c>
      <c r="T837" s="2" t="s">
        <v>66</v>
      </c>
      <c r="U837" s="2" t="s">
        <v>6578</v>
      </c>
      <c r="V837" s="2" t="s">
        <v>522</v>
      </c>
      <c r="W837" s="2" t="s">
        <v>39</v>
      </c>
    </row>
    <row r="838">
      <c r="A838" s="2" t="n">
        <v>594</v>
      </c>
      <c r="B838" s="2" t="s">
        <v>13958</v>
      </c>
      <c r="C838" s="2" t="s">
        <v>6587</v>
      </c>
      <c r="D838" s="2" t="n">
        <v>533.166446116</v>
      </c>
      <c r="E838" s="2" t="n">
        <v>2.35698182473338</v>
      </c>
      <c r="F838" s="2" t="s">
        <v>6589</v>
      </c>
      <c r="G838" s="2" t="n">
        <v>58336</v>
      </c>
      <c r="H838" s="3" t="str">
        <f>HYPERLINK("http://funmeta.oebiotech.com/network/58336", "http://funmeta.oebiotech.com/network/58336")</f>
      </c>
      <c r="I838" s="2" t="s">
        <v>6591</v>
      </c>
      <c r="J838" s="2"/>
      <c r="K838" s="2"/>
      <c r="L838" s="2"/>
      <c r="M838" s="2"/>
      <c r="N838" s="2" t="s">
        <v>6592</v>
      </c>
      <c r="O838" s="2" t="s">
        <v>6593</v>
      </c>
      <c r="P838" s="2" t="s">
        <v>6594</v>
      </c>
      <c r="Q838" s="2" t="s">
        <v>6595</v>
      </c>
      <c r="R838" s="2" t="s">
        <v>2509</v>
      </c>
      <c r="S838" s="2" t="s">
        <v>6596</v>
      </c>
      <c r="T838" s="2" t="s">
        <v>205</v>
      </c>
      <c r="U838" s="2" t="s">
        <v>6588</v>
      </c>
      <c r="V838" s="2" t="s">
        <v>24</v>
      </c>
      <c r="W838" s="2"/>
    </row>
    <row r="839">
      <c r="A839" s="2" t="n">
        <v>595</v>
      </c>
      <c r="B839" s="2" t="s">
        <v>13959</v>
      </c>
      <c r="C839" s="2" t="s">
        <v>6597</v>
      </c>
      <c r="D839" s="2" t="n">
        <v>534.153633518</v>
      </c>
      <c r="E839" s="2" t="n">
        <v>3.14202493141419</v>
      </c>
      <c r="F839" s="2" t="s">
        <v>6599</v>
      </c>
      <c r="G839" s="2" t="n">
        <v>207712</v>
      </c>
      <c r="H839" s="3" t="str">
        <f>HYPERLINK("http://funmeta.oebiotech.com/network/207712", "http://funmeta.oebiotech.com/network/207712")</f>
      </c>
      <c r="I839" s="2" t="s">
        <v>6601</v>
      </c>
      <c r="J839" s="2"/>
      <c r="K839" s="2"/>
      <c r="L839" s="2"/>
      <c r="M839" s="2"/>
      <c r="N839" s="2" t="s">
        <v>6602</v>
      </c>
      <c r="O839" s="2"/>
      <c r="P839" s="2" t="s">
        <v>6603</v>
      </c>
      <c r="Q839" s="2" t="s">
        <v>6604</v>
      </c>
      <c r="R839" s="2" t="s">
        <v>2509</v>
      </c>
      <c r="S839" s="2" t="s">
        <v>6605</v>
      </c>
      <c r="T839" s="2" t="s">
        <v>205</v>
      </c>
      <c r="U839" s="2" t="s">
        <v>6598</v>
      </c>
      <c r="V839" s="2" t="s">
        <v>522</v>
      </c>
      <c r="W839" s="2"/>
    </row>
    <row r="840">
      <c r="A840" s="2" t="n">
        <v>596</v>
      </c>
      <c r="B840" s="2" t="s">
        <v>13960</v>
      </c>
      <c r="C840" s="2" t="s">
        <v>6606</v>
      </c>
      <c r="D840" s="2" t="n">
        <v>535.15290525</v>
      </c>
      <c r="E840" s="2" t="n">
        <v>1.01481842649971</v>
      </c>
      <c r="F840" s="2" t="s">
        <v>6608</v>
      </c>
      <c r="G840" s="2" t="n">
        <v>31621</v>
      </c>
      <c r="H840" s="3" t="str">
        <f>HYPERLINK("http://funmeta.oebiotech.com/network/31621", "http://funmeta.oebiotech.com/network/31621")</f>
      </c>
      <c r="I840" s="2" t="s">
        <v>6610</v>
      </c>
      <c r="J840" s="2" t="s">
        <v>6611</v>
      </c>
      <c r="K840" s="2" t="s">
        <v>6612</v>
      </c>
      <c r="L840" s="2"/>
      <c r="M840" s="2"/>
      <c r="N840" s="2" t="s">
        <v>6613</v>
      </c>
      <c r="O840" s="2" t="s">
        <v>6614</v>
      </c>
      <c r="P840" s="2" t="s">
        <v>6615</v>
      </c>
      <c r="Q840" s="2" t="s">
        <v>6616</v>
      </c>
      <c r="R840" s="2" t="s">
        <v>355</v>
      </c>
      <c r="S840" s="2" t="s">
        <v>5537</v>
      </c>
      <c r="T840" s="2" t="s">
        <v>5538</v>
      </c>
      <c r="U840" s="2" t="s">
        <v>6607</v>
      </c>
      <c r="V840" s="2" t="s">
        <v>522</v>
      </c>
      <c r="W840" s="2"/>
    </row>
    <row r="841">
      <c r="A841" s="2" t="n">
        <v>597</v>
      </c>
      <c r="B841" s="2" t="s">
        <v>13961</v>
      </c>
      <c r="C841" s="2" t="s">
        <v>6617</v>
      </c>
      <c r="D841" s="2" t="n">
        <v>537.096506902</v>
      </c>
      <c r="E841" s="2" t="n">
        <v>6.74229940315702</v>
      </c>
      <c r="F841" s="2" t="s">
        <v>6619</v>
      </c>
      <c r="G841" s="2" t="n">
        <v>206910</v>
      </c>
      <c r="H841" s="3" t="str">
        <f>HYPERLINK("http://funmeta.oebiotech.com/network/206910", "http://funmeta.oebiotech.com/network/206910")</f>
      </c>
      <c r="I841" s="2" t="s">
        <v>6621</v>
      </c>
      <c r="J841" s="2" t="s">
        <v>6622</v>
      </c>
      <c r="K841" s="2"/>
      <c r="L841" s="2" t="s">
        <v>6623</v>
      </c>
      <c r="M841" s="2" t="s">
        <v>6624</v>
      </c>
      <c r="N841" s="2" t="s">
        <v>6625</v>
      </c>
      <c r="O841" s="2" t="s">
        <v>6626</v>
      </c>
      <c r="P841" s="2" t="s">
        <v>6627</v>
      </c>
      <c r="Q841" s="2" t="s">
        <v>6628</v>
      </c>
      <c r="R841" s="2" t="s">
        <v>502</v>
      </c>
      <c r="S841" s="2" t="s">
        <v>503</v>
      </c>
      <c r="T841" s="2" t="s">
        <v>3258</v>
      </c>
      <c r="U841" s="2" t="s">
        <v>6618</v>
      </c>
      <c r="V841" s="2" t="s">
        <v>522</v>
      </c>
      <c r="W841" s="2" t="s">
        <v>39</v>
      </c>
    </row>
    <row r="842">
      <c r="A842" s="2" t="n">
        <v>598</v>
      </c>
      <c r="B842" s="2" t="s">
        <v>13962</v>
      </c>
      <c r="C842" s="2" t="s">
        <v>6629</v>
      </c>
      <c r="D842" s="2" t="n">
        <v>538.032122</v>
      </c>
      <c r="E842" s="2" t="n">
        <v>4.70798615643696</v>
      </c>
      <c r="F842" s="2" t="s">
        <v>6631</v>
      </c>
      <c r="G842" s="2" t="n">
        <v>207913</v>
      </c>
      <c r="H842" s="3" t="str">
        <f>HYPERLINK("http://funmeta.oebiotech.com/network/207913", "http://funmeta.oebiotech.com/network/207913")</f>
      </c>
      <c r="I842" s="2" t="s">
        <v>6633</v>
      </c>
      <c r="J842" s="2"/>
      <c r="K842" s="2"/>
      <c r="L842" s="2"/>
      <c r="M842" s="2"/>
      <c r="N842" s="2"/>
      <c r="O842" s="2"/>
      <c r="P842" s="2" t="s">
        <v>6634</v>
      </c>
      <c r="Q842" s="2" t="s">
        <v>6635</v>
      </c>
      <c r="R842" s="2" t="s">
        <v>1490</v>
      </c>
      <c r="S842" s="2" t="s">
        <v>4971</v>
      </c>
      <c r="T842" s="2" t="s">
        <v>6636</v>
      </c>
      <c r="U842" s="2" t="s">
        <v>6630</v>
      </c>
      <c r="V842" s="2" t="s">
        <v>522</v>
      </c>
      <c r="W842" s="2"/>
    </row>
    <row r="843">
      <c r="A843" s="2" t="n">
        <v>599</v>
      </c>
      <c r="B843" s="2" t="s">
        <v>13963</v>
      </c>
      <c r="C843" s="2" t="s">
        <v>6637</v>
      </c>
      <c r="D843" s="2" t="n">
        <v>541.118366691</v>
      </c>
      <c r="E843" s="2" t="n">
        <v>4.13085303510016</v>
      </c>
      <c r="F843" s="2" t="s">
        <v>6639</v>
      </c>
      <c r="G843" s="2" t="n">
        <v>206244</v>
      </c>
      <c r="H843" s="3" t="str">
        <f>HYPERLINK("http://funmeta.oebiotech.com/network/206244", "http://funmeta.oebiotech.com/network/206244")</f>
      </c>
      <c r="I843" s="2" t="s">
        <v>6641</v>
      </c>
      <c r="J843" s="2" t="s">
        <v>6642</v>
      </c>
      <c r="K843" s="2"/>
      <c r="L843" s="2"/>
      <c r="M843" s="2"/>
      <c r="N843" s="2" t="s">
        <v>6643</v>
      </c>
      <c r="O843" s="2"/>
      <c r="P843" s="2" t="s">
        <v>6644</v>
      </c>
      <c r="Q843" s="2" t="s">
        <v>6645</v>
      </c>
      <c r="R843" s="2" t="s">
        <v>502</v>
      </c>
      <c r="S843" s="2" t="s">
        <v>503</v>
      </c>
      <c r="T843" s="2" t="s">
        <v>3450</v>
      </c>
      <c r="U843" s="2" t="s">
        <v>6638</v>
      </c>
      <c r="V843" s="2" t="s">
        <v>522</v>
      </c>
      <c r="W843" s="2"/>
    </row>
    <row r="844">
      <c r="A844" s="2" t="n">
        <v>600</v>
      </c>
      <c r="B844" s="2" t="s">
        <v>13964</v>
      </c>
      <c r="C844" s="2" t="s">
        <v>6646</v>
      </c>
      <c r="D844" s="2" t="n">
        <v>542.102971238</v>
      </c>
      <c r="E844" s="2" t="n">
        <v>5.49026787084992</v>
      </c>
      <c r="F844" s="2" t="s">
        <v>6648</v>
      </c>
      <c r="G844" s="2" t="n">
        <v>202586</v>
      </c>
      <c r="H844" s="3" t="str">
        <f>HYPERLINK("http://funmeta.oebiotech.com/network/202586", "http://funmeta.oebiotech.com/network/202586")</f>
      </c>
      <c r="I844" s="2" t="s">
        <v>6650</v>
      </c>
      <c r="J844" s="2"/>
      <c r="K844" s="2"/>
      <c r="L844" s="2"/>
      <c r="M844" s="2"/>
      <c r="N844" s="2" t="s">
        <v>6651</v>
      </c>
      <c r="O844" s="2"/>
      <c r="P844" s="2" t="s">
        <v>6652</v>
      </c>
      <c r="Q844" s="2" t="s">
        <v>6653</v>
      </c>
      <c r="R844" s="2" t="s">
        <v>502</v>
      </c>
      <c r="S844" s="2" t="s">
        <v>503</v>
      </c>
      <c r="T844" s="2" t="s">
        <v>5710</v>
      </c>
      <c r="U844" s="2" t="s">
        <v>6647</v>
      </c>
      <c r="V844" s="2" t="s">
        <v>250</v>
      </c>
      <c r="W844" s="2"/>
    </row>
    <row r="845">
      <c r="A845" s="2" t="n">
        <v>601</v>
      </c>
      <c r="B845" s="2" t="s">
        <v>13965</v>
      </c>
      <c r="C845" s="2" t="s">
        <v>6654</v>
      </c>
      <c r="D845" s="2" t="n">
        <v>543.099154412</v>
      </c>
      <c r="E845" s="2" t="n">
        <v>3.19872871186757</v>
      </c>
      <c r="F845" s="2" t="s">
        <v>6656</v>
      </c>
      <c r="G845" s="2" t="n">
        <v>62479</v>
      </c>
      <c r="H845" s="3" t="str">
        <f>HYPERLINK("http://funmeta.oebiotech.com/network/62479", "http://funmeta.oebiotech.com/network/62479")</f>
      </c>
      <c r="I845" s="2" t="s">
        <v>6658</v>
      </c>
      <c r="J845" s="2" t="s">
        <v>6659</v>
      </c>
      <c r="K845" s="2"/>
      <c r="L845" s="2"/>
      <c r="M845" s="2" t="s">
        <v>6660</v>
      </c>
      <c r="N845" s="2" t="s">
        <v>6661</v>
      </c>
      <c r="O845" s="2" t="s">
        <v>6662</v>
      </c>
      <c r="P845" s="2" t="s">
        <v>6663</v>
      </c>
      <c r="Q845" s="2" t="s">
        <v>6664</v>
      </c>
      <c r="R845" s="2" t="s">
        <v>2509</v>
      </c>
      <c r="S845" s="2" t="s">
        <v>4949</v>
      </c>
      <c r="T845" s="2" t="s">
        <v>205</v>
      </c>
      <c r="U845" s="2" t="s">
        <v>6655</v>
      </c>
      <c r="V845" s="2" t="s">
        <v>24</v>
      </c>
      <c r="W845" s="2"/>
    </row>
    <row r="846">
      <c r="A846" s="2" t="n">
        <v>602</v>
      </c>
      <c r="B846" s="2" t="s">
        <v>13966</v>
      </c>
      <c r="C846" s="2" t="s">
        <v>6665</v>
      </c>
      <c r="D846" s="2" t="n">
        <v>543.285907536</v>
      </c>
      <c r="E846" s="2" t="n">
        <v>6.50924982464466</v>
      </c>
      <c r="F846" s="2" t="s">
        <v>6667</v>
      </c>
      <c r="G846" s="2" t="n">
        <v>135242</v>
      </c>
      <c r="H846" s="3" t="str">
        <f>HYPERLINK("http://funmeta.oebiotech.com/network/135242", "http://funmeta.oebiotech.com/network/135242")</f>
      </c>
      <c r="I846" s="2" t="s">
        <v>6669</v>
      </c>
      <c r="J846" s="2"/>
      <c r="K846" s="2"/>
      <c r="L846" s="2"/>
      <c r="M846" s="2"/>
      <c r="N846" s="2" t="s">
        <v>6670</v>
      </c>
      <c r="O846" s="2"/>
      <c r="P846" s="2" t="s">
        <v>6671</v>
      </c>
      <c r="Q846" s="2" t="s">
        <v>6672</v>
      </c>
      <c r="R846" s="2" t="s">
        <v>1490</v>
      </c>
      <c r="S846" s="2" t="s">
        <v>4236</v>
      </c>
      <c r="T846" s="2" t="s">
        <v>5175</v>
      </c>
      <c r="U846" s="2" t="s">
        <v>6666</v>
      </c>
      <c r="V846" s="2" t="s">
        <v>522</v>
      </c>
      <c r="W846" s="2"/>
    </row>
    <row r="847">
      <c r="A847" s="2" t="n">
        <v>603</v>
      </c>
      <c r="B847" s="2" t="s">
        <v>13967</v>
      </c>
      <c r="C847" s="2" t="s">
        <v>6673</v>
      </c>
      <c r="D847" s="2" t="n">
        <v>544.065479194</v>
      </c>
      <c r="E847" s="2" t="n">
        <v>8.45273683529496</v>
      </c>
      <c r="F847" s="2" t="s">
        <v>6675</v>
      </c>
      <c r="G847" s="2" t="n">
        <v>206830</v>
      </c>
      <c r="H847" s="3" t="str">
        <f>HYPERLINK("http://funmeta.oebiotech.com/network/206830", "http://funmeta.oebiotech.com/network/206830")</f>
      </c>
      <c r="I847" s="2" t="s">
        <v>6677</v>
      </c>
      <c r="J847" s="2"/>
      <c r="K847" s="2"/>
      <c r="L847" s="2"/>
      <c r="M847" s="2" t="s">
        <v>6678</v>
      </c>
      <c r="N847" s="2" t="s">
        <v>6679</v>
      </c>
      <c r="O847" s="2"/>
      <c r="P847" s="2" t="s">
        <v>6680</v>
      </c>
      <c r="Q847" s="2" t="s">
        <v>6681</v>
      </c>
      <c r="R847" s="2" t="s">
        <v>1490</v>
      </c>
      <c r="S847" s="2" t="s">
        <v>1491</v>
      </c>
      <c r="T847" s="2" t="s">
        <v>3884</v>
      </c>
      <c r="U847" s="2" t="s">
        <v>6674</v>
      </c>
      <c r="V847" s="2" t="s">
        <v>522</v>
      </c>
      <c r="W847" s="2"/>
    </row>
    <row r="848">
      <c r="A848" s="2" t="n">
        <v>604</v>
      </c>
      <c r="B848" s="2" t="s">
        <v>13968</v>
      </c>
      <c r="C848" s="2" t="s">
        <v>6682</v>
      </c>
      <c r="D848" s="2" t="n">
        <v>544.243117228</v>
      </c>
      <c r="E848" s="2" t="n">
        <v>4.60354414747363</v>
      </c>
      <c r="F848" s="2" t="s">
        <v>6684</v>
      </c>
      <c r="G848" s="2" t="n">
        <v>208193</v>
      </c>
      <c r="H848" s="3" t="str">
        <f>HYPERLINK("http://funmeta.oebiotech.com/network/208193", "http://funmeta.oebiotech.com/network/208193")</f>
      </c>
      <c r="I848" s="2" t="s">
        <v>6686</v>
      </c>
      <c r="J848" s="2"/>
      <c r="K848" s="2"/>
      <c r="L848" s="2"/>
      <c r="M848" s="2"/>
      <c r="N848" s="2" t="s">
        <v>6687</v>
      </c>
      <c r="O848" s="2"/>
      <c r="P848" s="2" t="s">
        <v>6688</v>
      </c>
      <c r="Q848" s="2" t="s">
        <v>6689</v>
      </c>
      <c r="R848" s="2" t="s">
        <v>355</v>
      </c>
      <c r="S848" s="2" t="s">
        <v>6690</v>
      </c>
      <c r="T848" s="2" t="s">
        <v>6691</v>
      </c>
      <c r="U848" s="2" t="s">
        <v>6683</v>
      </c>
      <c r="V848" s="2" t="s">
        <v>522</v>
      </c>
      <c r="W848" s="2"/>
    </row>
    <row r="849">
      <c r="A849" s="2" t="n">
        <v>605</v>
      </c>
      <c r="B849" s="2" t="s">
        <v>13969</v>
      </c>
      <c r="C849" s="2" t="s">
        <v>6692</v>
      </c>
      <c r="D849" s="2" t="n">
        <v>545.2284656</v>
      </c>
      <c r="E849" s="2" t="n">
        <v>1.04270452833256</v>
      </c>
      <c r="F849" s="2" t="s">
        <v>13970</v>
      </c>
      <c r="G849" s="2" t="n">
        <v>206749</v>
      </c>
      <c r="H849" s="3" t="str">
        <f>HYPERLINK("http://funmeta.oebiotech.com/network/206749", "http://funmeta.oebiotech.com/network/206749")</f>
      </c>
      <c r="I849" s="2" t="s">
        <v>13971</v>
      </c>
      <c r="J849" s="2"/>
      <c r="K849" s="2"/>
      <c r="L849" s="2"/>
      <c r="M849" s="2"/>
      <c r="N849" s="2"/>
      <c r="O849" s="2"/>
      <c r="P849" s="2" t="s">
        <v>13972</v>
      </c>
      <c r="Q849" s="2" t="s">
        <v>13973</v>
      </c>
      <c r="R849" s="2" t="s">
        <v>49</v>
      </c>
      <c r="S849" s="2" t="s">
        <v>165</v>
      </c>
      <c r="T849" s="2" t="s">
        <v>166</v>
      </c>
      <c r="U849" s="2" t="s">
        <v>6693</v>
      </c>
      <c r="V849" s="2" t="s">
        <v>24</v>
      </c>
      <c r="W849" s="2"/>
    </row>
    <row r="850">
      <c r="A850" s="2" t="n">
        <v>605</v>
      </c>
      <c r="B850" s="2" t="s">
        <v>13974</v>
      </c>
      <c r="C850" s="2" t="s">
        <v>6692</v>
      </c>
      <c r="D850" s="2" t="n">
        <v>545.2284656</v>
      </c>
      <c r="E850" s="2" t="n">
        <v>1.04270452833256</v>
      </c>
      <c r="F850" s="2" t="s">
        <v>13975</v>
      </c>
      <c r="G850" s="2" t="n">
        <v>202597</v>
      </c>
      <c r="H850" s="3" t="str">
        <f>HYPERLINK("http://funmeta.oebiotech.com/network/202597", "http://funmeta.oebiotech.com/network/202597")</f>
      </c>
      <c r="I850" s="2" t="s">
        <v>13976</v>
      </c>
      <c r="J850" s="2"/>
      <c r="K850" s="2"/>
      <c r="L850" s="2"/>
      <c r="M850" s="2"/>
      <c r="N850" s="2" t="s">
        <v>13977</v>
      </c>
      <c r="O850" s="2"/>
      <c r="P850" s="2" t="s">
        <v>13978</v>
      </c>
      <c r="Q850" s="2" t="s">
        <v>13979</v>
      </c>
      <c r="R850" s="2" t="s">
        <v>49</v>
      </c>
      <c r="S850" s="2" t="s">
        <v>165</v>
      </c>
      <c r="T850" s="2" t="s">
        <v>166</v>
      </c>
      <c r="U850" s="2" t="s">
        <v>6693</v>
      </c>
      <c r="V850" s="2" t="s">
        <v>24</v>
      </c>
      <c r="W850" s="2"/>
    </row>
    <row r="851">
      <c r="A851" s="2" t="n">
        <v>606</v>
      </c>
      <c r="B851" s="2" t="s">
        <v>13980</v>
      </c>
      <c r="C851" s="2" t="s">
        <v>6700</v>
      </c>
      <c r="D851" s="2" t="n">
        <v>546.208767959</v>
      </c>
      <c r="E851" s="2" t="n">
        <v>2.70318610682369</v>
      </c>
      <c r="F851" s="2" t="s">
        <v>6702</v>
      </c>
      <c r="G851" s="2" t="n">
        <v>208171</v>
      </c>
      <c r="H851" s="3" t="str">
        <f>HYPERLINK("http://funmeta.oebiotech.com/network/208171", "http://funmeta.oebiotech.com/network/208171")</f>
      </c>
      <c r="I851" s="2" t="s">
        <v>6704</v>
      </c>
      <c r="J851" s="2"/>
      <c r="K851" s="2"/>
      <c r="L851" s="2"/>
      <c r="M851" s="2"/>
      <c r="N851" s="2" t="s">
        <v>6705</v>
      </c>
      <c r="O851" s="2"/>
      <c r="P851" s="2" t="s">
        <v>6706</v>
      </c>
      <c r="Q851" s="2" t="s">
        <v>6707</v>
      </c>
      <c r="R851" s="2" t="s">
        <v>64</v>
      </c>
      <c r="S851" s="2" t="s">
        <v>65</v>
      </c>
      <c r="T851" s="2" t="s">
        <v>66</v>
      </c>
      <c r="U851" s="2" t="s">
        <v>6701</v>
      </c>
      <c r="V851" s="2" t="s">
        <v>42</v>
      </c>
      <c r="W851" s="2"/>
    </row>
    <row r="852">
      <c r="A852" s="2" t="n">
        <v>607</v>
      </c>
      <c r="B852" s="2" t="s">
        <v>13981</v>
      </c>
      <c r="C852" s="2" t="s">
        <v>6708</v>
      </c>
      <c r="D852" s="2" t="n">
        <v>547.210420119</v>
      </c>
      <c r="E852" s="2" t="n">
        <v>4.97012481573644</v>
      </c>
      <c r="F852" s="2" t="s">
        <v>6710</v>
      </c>
      <c r="G852" s="2" t="n">
        <v>204218</v>
      </c>
      <c r="H852" s="3" t="str">
        <f>HYPERLINK("http://funmeta.oebiotech.com/network/204218", "http://funmeta.oebiotech.com/network/204218")</f>
      </c>
      <c r="I852" s="2" t="s">
        <v>6712</v>
      </c>
      <c r="J852" s="2" t="s">
        <v>6713</v>
      </c>
      <c r="K852" s="2"/>
      <c r="L852" s="2" t="s">
        <v>6714</v>
      </c>
      <c r="M852" s="2"/>
      <c r="N852" s="2" t="s">
        <v>6715</v>
      </c>
      <c r="O852" s="2" t="s">
        <v>6716</v>
      </c>
      <c r="P852" s="2" t="s">
        <v>6717</v>
      </c>
      <c r="Q852" s="2" t="s">
        <v>6718</v>
      </c>
      <c r="R852" s="2" t="s">
        <v>502</v>
      </c>
      <c r="S852" s="2" t="s">
        <v>503</v>
      </c>
      <c r="T852" s="2" t="s">
        <v>5166</v>
      </c>
      <c r="U852" s="2" t="s">
        <v>6709</v>
      </c>
      <c r="V852" s="2" t="s">
        <v>522</v>
      </c>
      <c r="W852" s="2" t="s">
        <v>39</v>
      </c>
    </row>
    <row r="853">
      <c r="A853" s="2" t="n">
        <v>608</v>
      </c>
      <c r="B853" s="2" t="s">
        <v>13982</v>
      </c>
      <c r="C853" s="2" t="s">
        <v>6719</v>
      </c>
      <c r="D853" s="2" t="n">
        <v>547.434392094</v>
      </c>
      <c r="E853" s="2" t="n">
        <v>2.07597044901157</v>
      </c>
      <c r="F853" s="2" t="s">
        <v>6721</v>
      </c>
      <c r="G853" s="2" t="n">
        <v>48981</v>
      </c>
      <c r="H853" s="3" t="str">
        <f>HYPERLINK("http://funmeta.oebiotech.com/network/48981", "http://funmeta.oebiotech.com/network/48981")</f>
      </c>
      <c r="I853" s="2" t="s">
        <v>6723</v>
      </c>
      <c r="J853" s="2" t="s">
        <v>6724</v>
      </c>
      <c r="K853" s="2"/>
      <c r="L853" s="2"/>
      <c r="M853" s="2"/>
      <c r="N853" s="2" t="s">
        <v>6725</v>
      </c>
      <c r="O853" s="2"/>
      <c r="P853" s="2" t="s">
        <v>6726</v>
      </c>
      <c r="Q853" s="2" t="s">
        <v>6727</v>
      </c>
      <c r="R853" s="2" t="s">
        <v>1490</v>
      </c>
      <c r="S853" s="2" t="s">
        <v>6728</v>
      </c>
      <c r="T853" s="2" t="s">
        <v>6729</v>
      </c>
      <c r="U853" s="2" t="s">
        <v>6720</v>
      </c>
      <c r="V853" s="2" t="s">
        <v>360</v>
      </c>
      <c r="W853" s="2"/>
    </row>
    <row r="854">
      <c r="A854" s="2" t="n">
        <v>609</v>
      </c>
      <c r="B854" s="2" t="s">
        <v>13983</v>
      </c>
      <c r="C854" s="2" t="s">
        <v>6730</v>
      </c>
      <c r="D854" s="2" t="n">
        <v>548.16526083</v>
      </c>
      <c r="E854" s="2" t="n">
        <v>3.81957825595851</v>
      </c>
      <c r="F854" s="2" t="s">
        <v>6732</v>
      </c>
      <c r="G854" s="2" t="n">
        <v>204309</v>
      </c>
      <c r="H854" s="3" t="str">
        <f>HYPERLINK("http://funmeta.oebiotech.com/network/204309", "http://funmeta.oebiotech.com/network/204309")</f>
      </c>
      <c r="I854" s="2" t="s">
        <v>6734</v>
      </c>
      <c r="J854" s="2"/>
      <c r="K854" s="2"/>
      <c r="L854" s="2"/>
      <c r="M854" s="2"/>
      <c r="N854" s="2" t="s">
        <v>6735</v>
      </c>
      <c r="O854" s="2"/>
      <c r="P854" s="2" t="s">
        <v>6736</v>
      </c>
      <c r="Q854" s="2" t="s">
        <v>6737</v>
      </c>
      <c r="R854" s="2" t="s">
        <v>49</v>
      </c>
      <c r="S854" s="2" t="s">
        <v>165</v>
      </c>
      <c r="T854" s="2" t="s">
        <v>5751</v>
      </c>
      <c r="U854" s="2" t="s">
        <v>6731</v>
      </c>
      <c r="V854" s="2" t="s">
        <v>522</v>
      </c>
      <c r="W854" s="2"/>
    </row>
    <row r="855">
      <c r="A855" s="2" t="n">
        <v>610</v>
      </c>
      <c r="B855" s="2" t="s">
        <v>13984</v>
      </c>
      <c r="C855" s="2" t="s">
        <v>6738</v>
      </c>
      <c r="D855" s="2" t="n">
        <v>549.1605095</v>
      </c>
      <c r="E855" s="2" t="n">
        <v>0.585609271012403</v>
      </c>
      <c r="F855" s="2" t="s">
        <v>6740</v>
      </c>
      <c r="G855" s="2" t="n">
        <v>204599</v>
      </c>
      <c r="H855" s="3" t="str">
        <f>HYPERLINK("http://funmeta.oebiotech.com/network/204599", "http://funmeta.oebiotech.com/network/204599")</f>
      </c>
      <c r="I855" s="2" t="s">
        <v>6742</v>
      </c>
      <c r="J855" s="2"/>
      <c r="K855" s="2"/>
      <c r="L855" s="2"/>
      <c r="M855" s="2"/>
      <c r="N855" s="2" t="s">
        <v>6743</v>
      </c>
      <c r="O855" s="2"/>
      <c r="P855" s="2" t="s">
        <v>6744</v>
      </c>
      <c r="Q855" s="2" t="s">
        <v>6745</v>
      </c>
      <c r="R855" s="2" t="s">
        <v>49</v>
      </c>
      <c r="S855" s="2" t="s">
        <v>6532</v>
      </c>
      <c r="T855" s="2" t="s">
        <v>6533</v>
      </c>
      <c r="U855" s="2" t="s">
        <v>6739</v>
      </c>
      <c r="V855" s="2" t="s">
        <v>110</v>
      </c>
      <c r="W855" s="2"/>
    </row>
    <row r="856">
      <c r="A856" s="2" t="n">
        <v>611</v>
      </c>
      <c r="B856" s="2" t="s">
        <v>13985</v>
      </c>
      <c r="C856" s="2" t="s">
        <v>6746</v>
      </c>
      <c r="D856" s="2" t="n">
        <v>549.451898781</v>
      </c>
      <c r="E856" s="2" t="n">
        <v>5.9980591638343</v>
      </c>
      <c r="F856" s="2" t="s">
        <v>6748</v>
      </c>
      <c r="G856" s="2" t="n">
        <v>91989</v>
      </c>
      <c r="H856" s="3" t="str">
        <f>HYPERLINK("http://funmeta.oebiotech.com/network/91989", "http://funmeta.oebiotech.com/network/91989")</f>
      </c>
      <c r="I856" s="2" t="s">
        <v>6750</v>
      </c>
      <c r="J856" s="2"/>
      <c r="K856" s="2"/>
      <c r="L856" s="2"/>
      <c r="M856" s="2"/>
      <c r="N856" s="2" t="s">
        <v>6751</v>
      </c>
      <c r="O856" s="2"/>
      <c r="P856" s="2" t="s">
        <v>6752</v>
      </c>
      <c r="Q856" s="2" t="s">
        <v>6753</v>
      </c>
      <c r="R856" s="2" t="s">
        <v>1490</v>
      </c>
      <c r="S856" s="2" t="s">
        <v>6728</v>
      </c>
      <c r="T856" s="2" t="s">
        <v>6754</v>
      </c>
      <c r="U856" s="2" t="s">
        <v>6747</v>
      </c>
      <c r="V856" s="2" t="s">
        <v>42</v>
      </c>
      <c r="W856" s="2"/>
    </row>
    <row r="857">
      <c r="A857" s="2" t="n">
        <v>612</v>
      </c>
      <c r="B857" s="2" t="s">
        <v>13986</v>
      </c>
      <c r="C857" s="2" t="s">
        <v>6755</v>
      </c>
      <c r="D857" s="2" t="n">
        <v>551.20533475</v>
      </c>
      <c r="E857" s="2" t="n">
        <v>2.78790616928488</v>
      </c>
      <c r="F857" s="2" t="s">
        <v>6757</v>
      </c>
      <c r="G857" s="2" t="n">
        <v>54864</v>
      </c>
      <c r="H857" s="3" t="str">
        <f>HYPERLINK("http://funmeta.oebiotech.com/network/54864", "http://funmeta.oebiotech.com/network/54864")</f>
      </c>
      <c r="I857" s="2" t="s">
        <v>6759</v>
      </c>
      <c r="J857" s="2" t="s">
        <v>6760</v>
      </c>
      <c r="K857" s="2"/>
      <c r="L857" s="2"/>
      <c r="M857" s="2"/>
      <c r="N857" s="2" t="s">
        <v>6761</v>
      </c>
      <c r="O857" s="2" t="s">
        <v>6762</v>
      </c>
      <c r="P857" s="2" t="s">
        <v>6763</v>
      </c>
      <c r="Q857" s="2" t="s">
        <v>6764</v>
      </c>
      <c r="R857" s="2" t="s">
        <v>355</v>
      </c>
      <c r="S857" s="2" t="s">
        <v>5537</v>
      </c>
      <c r="T857" s="2" t="s">
        <v>5538</v>
      </c>
      <c r="U857" s="2" t="s">
        <v>6756</v>
      </c>
      <c r="V857" s="2" t="s">
        <v>522</v>
      </c>
      <c r="W857" s="2"/>
    </row>
    <row r="858">
      <c r="A858" s="2" t="n">
        <v>613</v>
      </c>
      <c r="B858" s="2" t="s">
        <v>13987</v>
      </c>
      <c r="C858" s="2" t="s">
        <v>6765</v>
      </c>
      <c r="D858" s="2" t="n">
        <v>552.0746079</v>
      </c>
      <c r="E858" s="2" t="n">
        <v>7.68998818015386</v>
      </c>
      <c r="F858" s="2" t="s">
        <v>6767</v>
      </c>
      <c r="G858" s="2" t="n">
        <v>202709</v>
      </c>
      <c r="H858" s="3" t="str">
        <f>HYPERLINK("http://funmeta.oebiotech.com/network/202709", "http://funmeta.oebiotech.com/network/202709")</f>
      </c>
      <c r="I858" s="2" t="s">
        <v>6769</v>
      </c>
      <c r="J858" s="2"/>
      <c r="K858" s="2"/>
      <c r="L858" s="2"/>
      <c r="M858" s="2"/>
      <c r="N858" s="2" t="s">
        <v>6770</v>
      </c>
      <c r="O858" s="2"/>
      <c r="P858" s="2" t="s">
        <v>6771</v>
      </c>
      <c r="Q858" s="2" t="s">
        <v>6772</v>
      </c>
      <c r="R858" s="2" t="s">
        <v>355</v>
      </c>
      <c r="S858" s="2" t="s">
        <v>3062</v>
      </c>
      <c r="T858" s="2" t="s">
        <v>3063</v>
      </c>
      <c r="U858" s="2" t="s">
        <v>6766</v>
      </c>
      <c r="V858" s="2" t="s">
        <v>522</v>
      </c>
      <c r="W858" s="2"/>
    </row>
    <row r="859">
      <c r="A859" s="2" t="n">
        <v>614</v>
      </c>
      <c r="B859" s="2" t="s">
        <v>13988</v>
      </c>
      <c r="C859" s="2" t="s">
        <v>6773</v>
      </c>
      <c r="D859" s="2" t="n">
        <v>552.155842933</v>
      </c>
      <c r="E859" s="2" t="n">
        <v>2.83797512358645</v>
      </c>
      <c r="F859" s="2" t="s">
        <v>6775</v>
      </c>
      <c r="G859" s="2" t="n">
        <v>207616</v>
      </c>
      <c r="H859" s="3" t="str">
        <f>HYPERLINK("http://funmeta.oebiotech.com/network/207616", "http://funmeta.oebiotech.com/network/207616")</f>
      </c>
      <c r="I859" s="2" t="s">
        <v>6777</v>
      </c>
      <c r="J859" s="2"/>
      <c r="K859" s="2"/>
      <c r="L859" s="2"/>
      <c r="M859" s="2"/>
      <c r="N859" s="2" t="s">
        <v>6778</v>
      </c>
      <c r="O859" s="2"/>
      <c r="P859" s="2" t="s">
        <v>6779</v>
      </c>
      <c r="Q859" s="2" t="s">
        <v>6780</v>
      </c>
      <c r="R859" s="2" t="s">
        <v>355</v>
      </c>
      <c r="S859" s="2" t="s">
        <v>3687</v>
      </c>
      <c r="T859" s="2" t="s">
        <v>3688</v>
      </c>
      <c r="U859" s="2" t="s">
        <v>6774</v>
      </c>
      <c r="V859" s="2" t="s">
        <v>110</v>
      </c>
      <c r="W859" s="2"/>
    </row>
    <row r="860">
      <c r="A860" s="2" t="n">
        <v>615</v>
      </c>
      <c r="B860" s="2" t="s">
        <v>13989</v>
      </c>
      <c r="C860" s="2" t="s">
        <v>6781</v>
      </c>
      <c r="D860" s="2" t="n">
        <v>552.240278489</v>
      </c>
      <c r="E860" s="2" t="n">
        <v>2.17848157696415</v>
      </c>
      <c r="F860" s="2" t="s">
        <v>13990</v>
      </c>
      <c r="G860" s="2" t="n">
        <v>51430</v>
      </c>
      <c r="H860" s="3" t="str">
        <f>HYPERLINK("http://funmeta.oebiotech.com/network/51430", "http://funmeta.oebiotech.com/network/51430")</f>
      </c>
      <c r="I860" s="2" t="s">
        <v>13991</v>
      </c>
      <c r="J860" s="2"/>
      <c r="K860" s="2"/>
      <c r="L860" s="2" t="s">
        <v>13992</v>
      </c>
      <c r="M860" s="2"/>
      <c r="N860" s="2" t="s">
        <v>13993</v>
      </c>
      <c r="O860" s="2" t="s">
        <v>13994</v>
      </c>
      <c r="P860" s="2" t="s">
        <v>13995</v>
      </c>
      <c r="Q860" s="2" t="s">
        <v>13996</v>
      </c>
      <c r="R860" s="2" t="s">
        <v>1490</v>
      </c>
      <c r="S860" s="2" t="s">
        <v>3546</v>
      </c>
      <c r="T860" s="2" t="s">
        <v>9677</v>
      </c>
      <c r="U860" s="2" t="s">
        <v>6782</v>
      </c>
      <c r="V860" s="2" t="s">
        <v>250</v>
      </c>
      <c r="W860" s="2" t="s">
        <v>39</v>
      </c>
    </row>
    <row r="861">
      <c r="A861" s="2" t="n">
        <v>615</v>
      </c>
      <c r="B861" s="2" t="s">
        <v>13997</v>
      </c>
      <c r="C861" s="2" t="s">
        <v>6781</v>
      </c>
      <c r="D861" s="2" t="n">
        <v>552.240278489</v>
      </c>
      <c r="E861" s="2" t="n">
        <v>2.17848157696415</v>
      </c>
      <c r="F861" s="2" t="s">
        <v>13998</v>
      </c>
      <c r="G861" s="2" t="n">
        <v>46743</v>
      </c>
      <c r="H861" s="3" t="str">
        <f>HYPERLINK("http://funmeta.oebiotech.com/network/46743", "http://funmeta.oebiotech.com/network/46743")</f>
      </c>
      <c r="I861" s="2" t="s">
        <v>13999</v>
      </c>
      <c r="J861" s="2" t="s">
        <v>14000</v>
      </c>
      <c r="K861" s="2" t="s">
        <v>14001</v>
      </c>
      <c r="L861" s="2" t="s">
        <v>14002</v>
      </c>
      <c r="M861" s="2" t="s">
        <v>14003</v>
      </c>
      <c r="N861" s="2" t="s">
        <v>14004</v>
      </c>
      <c r="O861" s="2" t="s">
        <v>14005</v>
      </c>
      <c r="P861" s="2" t="s">
        <v>14006</v>
      </c>
      <c r="Q861" s="2" t="s">
        <v>14007</v>
      </c>
      <c r="R861" s="2" t="s">
        <v>1490</v>
      </c>
      <c r="S861" s="2" t="s">
        <v>3546</v>
      </c>
      <c r="T861" s="2" t="s">
        <v>9677</v>
      </c>
      <c r="U861" s="2" t="s">
        <v>6782</v>
      </c>
      <c r="V861" s="2" t="s">
        <v>250</v>
      </c>
      <c r="W861" s="2" t="s">
        <v>39</v>
      </c>
    </row>
    <row r="862">
      <c r="A862" s="2" t="n">
        <v>616</v>
      </c>
      <c r="B862" s="2" t="s">
        <v>14008</v>
      </c>
      <c r="C862" s="2" t="s">
        <v>6796</v>
      </c>
      <c r="D862" s="2" t="n">
        <v>553.075228464</v>
      </c>
      <c r="E862" s="2" t="n">
        <v>6.33543542776356</v>
      </c>
      <c r="F862" s="2" t="s">
        <v>6798</v>
      </c>
      <c r="G862" s="2" t="n">
        <v>204722</v>
      </c>
      <c r="H862" s="3" t="str">
        <f>HYPERLINK("http://funmeta.oebiotech.com/network/204722", "http://funmeta.oebiotech.com/network/204722")</f>
      </c>
      <c r="I862" s="2" t="s">
        <v>6800</v>
      </c>
      <c r="J862" s="2" t="s">
        <v>6801</v>
      </c>
      <c r="K862" s="2"/>
      <c r="L862" s="2"/>
      <c r="M862" s="2"/>
      <c r="N862" s="2" t="s">
        <v>6802</v>
      </c>
      <c r="O862" s="2"/>
      <c r="P862" s="2" t="s">
        <v>6803</v>
      </c>
      <c r="Q862" s="2" t="s">
        <v>6804</v>
      </c>
      <c r="R862" s="2" t="s">
        <v>49</v>
      </c>
      <c r="S862" s="2" t="s">
        <v>165</v>
      </c>
      <c r="T862" s="2" t="s">
        <v>5751</v>
      </c>
      <c r="U862" s="2" t="s">
        <v>6797</v>
      </c>
      <c r="V862" s="2" t="s">
        <v>360</v>
      </c>
      <c r="W862" s="2"/>
    </row>
    <row r="863">
      <c r="A863" s="2" t="n">
        <v>617</v>
      </c>
      <c r="B863" s="2" t="s">
        <v>14009</v>
      </c>
      <c r="C863" s="2" t="s">
        <v>6805</v>
      </c>
      <c r="D863" s="2" t="n">
        <v>553.164745778</v>
      </c>
      <c r="E863" s="2" t="n">
        <v>0.940947176355732</v>
      </c>
      <c r="F863" s="2" t="s">
        <v>6807</v>
      </c>
      <c r="G863" s="2" t="n">
        <v>200120</v>
      </c>
      <c r="H863" s="3" t="str">
        <f>HYPERLINK("http://funmeta.oebiotech.com/network/200120", "http://funmeta.oebiotech.com/network/200120")</f>
      </c>
      <c r="I863" s="2" t="s">
        <v>6809</v>
      </c>
      <c r="J863" s="2"/>
      <c r="K863" s="2"/>
      <c r="L863" s="2"/>
      <c r="M863" s="2"/>
      <c r="N863" s="2" t="s">
        <v>6810</v>
      </c>
      <c r="O863" s="2"/>
      <c r="P863" s="2" t="s">
        <v>6811</v>
      </c>
      <c r="Q863" s="2" t="s">
        <v>6812</v>
      </c>
      <c r="R863" s="2" t="s">
        <v>64</v>
      </c>
      <c r="S863" s="2" t="s">
        <v>65</v>
      </c>
      <c r="T863" s="2" t="s">
        <v>91</v>
      </c>
      <c r="U863" s="2" t="s">
        <v>6806</v>
      </c>
      <c r="V863" s="2" t="s">
        <v>250</v>
      </c>
      <c r="W863" s="2"/>
    </row>
    <row r="864">
      <c r="A864" s="2" t="n">
        <v>618</v>
      </c>
      <c r="B864" s="2" t="s">
        <v>14010</v>
      </c>
      <c r="C864" s="2" t="s">
        <v>6813</v>
      </c>
      <c r="D864" s="2" t="n">
        <v>553.249010728</v>
      </c>
      <c r="E864" s="2" t="n">
        <v>1.87043607360065</v>
      </c>
      <c r="F864" s="2" t="s">
        <v>6815</v>
      </c>
      <c r="G864" s="2" t="n">
        <v>82686</v>
      </c>
      <c r="H864" s="3" t="str">
        <f>HYPERLINK("http://funmeta.oebiotech.com/network/82686", "http://funmeta.oebiotech.com/network/82686")</f>
      </c>
      <c r="I864" s="2" t="s">
        <v>6817</v>
      </c>
      <c r="J864" s="2"/>
      <c r="K864" s="2"/>
      <c r="L864" s="2"/>
      <c r="M864" s="2"/>
      <c r="N864" s="2" t="s">
        <v>6818</v>
      </c>
      <c r="O864" s="2"/>
      <c r="P864" s="2" t="s">
        <v>6819</v>
      </c>
      <c r="Q864" s="2" t="s">
        <v>6820</v>
      </c>
      <c r="R864" s="2" t="s">
        <v>355</v>
      </c>
      <c r="S864" s="2" t="s">
        <v>5131</v>
      </c>
      <c r="T864" s="2" t="s">
        <v>5132</v>
      </c>
      <c r="U864" s="2" t="s">
        <v>6814</v>
      </c>
      <c r="V864" s="2" t="s">
        <v>24</v>
      </c>
      <c r="W864" s="2"/>
    </row>
    <row r="865">
      <c r="A865" s="2" t="n">
        <v>619</v>
      </c>
      <c r="B865" s="2" t="s">
        <v>14011</v>
      </c>
      <c r="C865" s="2" t="s">
        <v>6821</v>
      </c>
      <c r="D865" s="2" t="n">
        <v>555.022364923</v>
      </c>
      <c r="E865" s="2" t="n">
        <v>4.3972840736211</v>
      </c>
      <c r="F865" s="2" t="s">
        <v>6823</v>
      </c>
      <c r="G865" s="2" t="n">
        <v>213500</v>
      </c>
      <c r="H865" s="3" t="str">
        <f>HYPERLINK("http://funmeta.oebiotech.com/network/213500", "http://funmeta.oebiotech.com/network/213500")</f>
      </c>
      <c r="I865" s="2" t="s">
        <v>6825</v>
      </c>
      <c r="J865" s="2"/>
      <c r="K865" s="2"/>
      <c r="L865" s="2"/>
      <c r="M865" s="2"/>
      <c r="N865" s="2" t="s">
        <v>6826</v>
      </c>
      <c r="O865" s="2"/>
      <c r="P865" s="2" t="s">
        <v>6827</v>
      </c>
      <c r="Q865" s="2" t="s">
        <v>6828</v>
      </c>
      <c r="R865" s="2" t="s">
        <v>49</v>
      </c>
      <c r="S865" s="2" t="s">
        <v>165</v>
      </c>
      <c r="T865" s="2" t="s">
        <v>166</v>
      </c>
      <c r="U865" s="2" t="s">
        <v>6822</v>
      </c>
      <c r="V865" s="2" t="s">
        <v>110</v>
      </c>
      <c r="W865" s="2"/>
    </row>
    <row r="866">
      <c r="A866" s="2" t="n">
        <v>620</v>
      </c>
      <c r="B866" s="2" t="s">
        <v>14012</v>
      </c>
      <c r="C866" s="2" t="s">
        <v>6829</v>
      </c>
      <c r="D866" s="2" t="n">
        <v>555.103863098</v>
      </c>
      <c r="E866" s="2" t="n">
        <v>8.1920071228371</v>
      </c>
      <c r="F866" s="2" t="s">
        <v>6831</v>
      </c>
      <c r="G866" s="2" t="n">
        <v>204676</v>
      </c>
      <c r="H866" s="3" t="str">
        <f>HYPERLINK("http://funmeta.oebiotech.com/network/204676", "http://funmeta.oebiotech.com/network/204676")</f>
      </c>
      <c r="I866" s="2" t="s">
        <v>6833</v>
      </c>
      <c r="J866" s="2"/>
      <c r="K866" s="2"/>
      <c r="L866" s="2"/>
      <c r="M866" s="2"/>
      <c r="N866" s="2" t="s">
        <v>6834</v>
      </c>
      <c r="O866" s="2"/>
      <c r="P866" s="2" t="s">
        <v>6835</v>
      </c>
      <c r="Q866" s="2" t="s">
        <v>6836</v>
      </c>
      <c r="R866" s="2" t="s">
        <v>355</v>
      </c>
      <c r="S866" s="2" t="s">
        <v>4796</v>
      </c>
      <c r="T866" s="2" t="s">
        <v>4797</v>
      </c>
      <c r="U866" s="2" t="s">
        <v>6830</v>
      </c>
      <c r="V866" s="2" t="s">
        <v>24</v>
      </c>
      <c r="W866" s="2"/>
    </row>
    <row r="867">
      <c r="A867" s="2" t="n">
        <v>621</v>
      </c>
      <c r="B867" s="2" t="s">
        <v>14013</v>
      </c>
      <c r="C867" s="2" t="s">
        <v>6837</v>
      </c>
      <c r="D867" s="2" t="n">
        <v>557.108935546</v>
      </c>
      <c r="E867" s="2" t="n">
        <v>6.46458529152421</v>
      </c>
      <c r="F867" s="2" t="s">
        <v>14014</v>
      </c>
      <c r="G867" s="2" t="n">
        <v>55587</v>
      </c>
      <c r="H867" s="3" t="str">
        <f>HYPERLINK("http://funmeta.oebiotech.com/network/55587", "http://funmeta.oebiotech.com/network/55587")</f>
      </c>
      <c r="I867" s="2" t="s">
        <v>14015</v>
      </c>
      <c r="J867" s="2"/>
      <c r="K867" s="2"/>
      <c r="L867" s="2"/>
      <c r="M867" s="2"/>
      <c r="N867" s="2"/>
      <c r="O867" s="2" t="s">
        <v>14016</v>
      </c>
      <c r="P867" s="2" t="s">
        <v>14017</v>
      </c>
      <c r="Q867" s="2" t="s">
        <v>14018</v>
      </c>
      <c r="R867" s="2" t="s">
        <v>502</v>
      </c>
      <c r="S867" s="2" t="s">
        <v>3913</v>
      </c>
      <c r="T867" s="2" t="s">
        <v>7003</v>
      </c>
      <c r="U867" s="2" t="s">
        <v>6838</v>
      </c>
      <c r="V867" s="2" t="s">
        <v>110</v>
      </c>
      <c r="W867" s="2"/>
    </row>
    <row r="868">
      <c r="A868" s="2" t="n">
        <v>621</v>
      </c>
      <c r="B868" s="2" t="s">
        <v>14019</v>
      </c>
      <c r="C868" s="2" t="s">
        <v>6837</v>
      </c>
      <c r="D868" s="2" t="n">
        <v>557.108935546</v>
      </c>
      <c r="E868" s="2" t="n">
        <v>6.46458529152421</v>
      </c>
      <c r="F868" s="2" t="s">
        <v>14020</v>
      </c>
      <c r="G868" s="2" t="n">
        <v>61784</v>
      </c>
      <c r="H868" s="3" t="str">
        <f>HYPERLINK("http://funmeta.oebiotech.com/network/61784", "http://funmeta.oebiotech.com/network/61784")</f>
      </c>
      <c r="I868" s="2" t="s">
        <v>14021</v>
      </c>
      <c r="J868" s="2" t="s">
        <v>14022</v>
      </c>
      <c r="K868" s="2"/>
      <c r="L868" s="2"/>
      <c r="M868" s="2" t="s">
        <v>14023</v>
      </c>
      <c r="N868" s="2" t="s">
        <v>14024</v>
      </c>
      <c r="O868" s="2"/>
      <c r="P868" s="2" t="s">
        <v>14025</v>
      </c>
      <c r="Q868" s="2" t="s">
        <v>14026</v>
      </c>
      <c r="R868" s="2" t="s">
        <v>2509</v>
      </c>
      <c r="S868" s="2" t="s">
        <v>5520</v>
      </c>
      <c r="T868" s="2" t="s">
        <v>7136</v>
      </c>
      <c r="U868" s="2" t="s">
        <v>6838</v>
      </c>
      <c r="V868" s="2" t="s">
        <v>110</v>
      </c>
      <c r="W868" s="2"/>
    </row>
    <row r="869">
      <c r="A869" s="2" t="n">
        <v>622</v>
      </c>
      <c r="B869" s="2" t="s">
        <v>14027</v>
      </c>
      <c r="C869" s="2" t="s">
        <v>6851</v>
      </c>
      <c r="D869" s="2" t="n">
        <v>559.096280096</v>
      </c>
      <c r="E869" s="2" t="n">
        <v>4.6893203699979</v>
      </c>
      <c r="F869" s="2" t="s">
        <v>6853</v>
      </c>
      <c r="G869" s="2" t="n">
        <v>212113</v>
      </c>
      <c r="H869" s="3" t="str">
        <f>HYPERLINK("http://funmeta.oebiotech.com/network/212113", "http://funmeta.oebiotech.com/network/212113")</f>
      </c>
      <c r="I869" s="2" t="s">
        <v>6855</v>
      </c>
      <c r="J869" s="2"/>
      <c r="K869" s="2"/>
      <c r="L869" s="2"/>
      <c r="M869" s="2"/>
      <c r="N869" s="2" t="s">
        <v>6856</v>
      </c>
      <c r="O869" s="2"/>
      <c r="P869" s="2" t="s">
        <v>6857</v>
      </c>
      <c r="Q869" s="2" t="s">
        <v>6858</v>
      </c>
      <c r="R869" s="2" t="s">
        <v>49</v>
      </c>
      <c r="S869" s="2" t="s">
        <v>165</v>
      </c>
      <c r="T869" s="2" t="s">
        <v>166</v>
      </c>
      <c r="U869" s="2" t="s">
        <v>6852</v>
      </c>
      <c r="V869" s="2" t="s">
        <v>1019</v>
      </c>
      <c r="W869" s="2"/>
    </row>
    <row r="870">
      <c r="A870" s="2" t="n">
        <v>623</v>
      </c>
      <c r="B870" s="2" t="s">
        <v>14028</v>
      </c>
      <c r="C870" s="2" t="s">
        <v>6859</v>
      </c>
      <c r="D870" s="2" t="n">
        <v>560.101221275</v>
      </c>
      <c r="E870" s="2" t="n">
        <v>7.89093744779906</v>
      </c>
      <c r="F870" s="2" t="s">
        <v>6861</v>
      </c>
      <c r="G870" s="2" t="n">
        <v>212850</v>
      </c>
      <c r="H870" s="3" t="str">
        <f>HYPERLINK("http://funmeta.oebiotech.com/network/212850", "http://funmeta.oebiotech.com/network/212850")</f>
      </c>
      <c r="I870" s="2" t="s">
        <v>6863</v>
      </c>
      <c r="J870" s="2"/>
      <c r="K870" s="2"/>
      <c r="L870" s="2"/>
      <c r="M870" s="2"/>
      <c r="N870" s="2" t="s">
        <v>6864</v>
      </c>
      <c r="O870" s="2"/>
      <c r="P870" s="2" t="s">
        <v>6865</v>
      </c>
      <c r="Q870" s="2" t="s">
        <v>6866</v>
      </c>
      <c r="R870" s="2" t="s">
        <v>355</v>
      </c>
      <c r="S870" s="2" t="s">
        <v>1580</v>
      </c>
      <c r="T870" s="2" t="s">
        <v>4820</v>
      </c>
      <c r="U870" s="2" t="s">
        <v>6860</v>
      </c>
      <c r="V870" s="2" t="s">
        <v>522</v>
      </c>
      <c r="W870" s="2"/>
    </row>
    <row r="871">
      <c r="A871" s="2" t="n">
        <v>624</v>
      </c>
      <c r="B871" s="2" t="s">
        <v>14029</v>
      </c>
      <c r="C871" s="2" t="s">
        <v>6867</v>
      </c>
      <c r="D871" s="2" t="n">
        <v>560.222466413</v>
      </c>
      <c r="E871" s="2" t="n">
        <v>7.32882775022076</v>
      </c>
      <c r="F871" s="2" t="s">
        <v>6869</v>
      </c>
      <c r="G871" s="2" t="n">
        <v>204833</v>
      </c>
      <c r="H871" s="3" t="str">
        <f>HYPERLINK("http://funmeta.oebiotech.com/network/204833", "http://funmeta.oebiotech.com/network/204833")</f>
      </c>
      <c r="I871" s="2" t="s">
        <v>6871</v>
      </c>
      <c r="J871" s="2"/>
      <c r="K871" s="2"/>
      <c r="L871" s="2"/>
      <c r="M871" s="2"/>
      <c r="N871" s="2"/>
      <c r="O871" s="2"/>
      <c r="P871" s="2" t="s">
        <v>6872</v>
      </c>
      <c r="Q871" s="2" t="s">
        <v>6873</v>
      </c>
      <c r="R871" s="2" t="s">
        <v>49</v>
      </c>
      <c r="S871" s="2" t="s">
        <v>165</v>
      </c>
      <c r="T871" s="2" t="s">
        <v>166</v>
      </c>
      <c r="U871" s="2" t="s">
        <v>6868</v>
      </c>
      <c r="V871" s="2" t="s">
        <v>110</v>
      </c>
      <c r="W871" s="2"/>
    </row>
    <row r="872">
      <c r="A872" s="2" t="n">
        <v>625</v>
      </c>
      <c r="B872" s="2" t="s">
        <v>14030</v>
      </c>
      <c r="C872" s="2" t="s">
        <v>6874</v>
      </c>
      <c r="D872" s="2" t="n">
        <v>561.1093192</v>
      </c>
      <c r="E872" s="2" t="n">
        <v>1.18895000489418</v>
      </c>
      <c r="F872" s="2" t="s">
        <v>6876</v>
      </c>
      <c r="G872" s="2" t="n">
        <v>210384</v>
      </c>
      <c r="H872" s="3" t="str">
        <f>HYPERLINK("http://funmeta.oebiotech.com/network/210384", "http://funmeta.oebiotech.com/network/210384")</f>
      </c>
      <c r="I872" s="2" t="s">
        <v>6878</v>
      </c>
      <c r="J872" s="2"/>
      <c r="K872" s="2"/>
      <c r="L872" s="2"/>
      <c r="M872" s="2"/>
      <c r="N872" s="2"/>
      <c r="O872" s="2"/>
      <c r="P872" s="2" t="s">
        <v>6879</v>
      </c>
      <c r="Q872" s="2" t="s">
        <v>6880</v>
      </c>
      <c r="R872" s="2" t="s">
        <v>49</v>
      </c>
      <c r="S872" s="2" t="s">
        <v>165</v>
      </c>
      <c r="T872" s="2" t="s">
        <v>166</v>
      </c>
      <c r="U872" s="2" t="s">
        <v>6875</v>
      </c>
      <c r="V872" s="2" t="s">
        <v>360</v>
      </c>
      <c r="W872" s="2"/>
    </row>
    <row r="873">
      <c r="A873" s="2" t="n">
        <v>626</v>
      </c>
      <c r="B873" s="2" t="s">
        <v>14031</v>
      </c>
      <c r="C873" s="2" t="s">
        <v>6881</v>
      </c>
      <c r="D873" s="2" t="n">
        <v>563.339150672</v>
      </c>
      <c r="E873" s="2" t="n">
        <v>8.14078025948228</v>
      </c>
      <c r="F873" s="2" t="s">
        <v>6883</v>
      </c>
      <c r="G873" s="2" t="n">
        <v>56269</v>
      </c>
      <c r="H873" s="3" t="str">
        <f>HYPERLINK("http://funmeta.oebiotech.com/network/56269", "http://funmeta.oebiotech.com/network/56269")</f>
      </c>
      <c r="I873" s="2" t="s">
        <v>6885</v>
      </c>
      <c r="J873" s="2"/>
      <c r="K873" s="2"/>
      <c r="L873" s="2" t="s">
        <v>6886</v>
      </c>
      <c r="M873" s="2"/>
      <c r="N873" s="2" t="s">
        <v>6887</v>
      </c>
      <c r="O873" s="2" t="s">
        <v>6888</v>
      </c>
      <c r="P873" s="2" t="s">
        <v>6889</v>
      </c>
      <c r="Q873" s="2" t="s">
        <v>6890</v>
      </c>
      <c r="R873" s="2" t="s">
        <v>502</v>
      </c>
      <c r="S873" s="2" t="s">
        <v>503</v>
      </c>
      <c r="T873" s="2" t="s">
        <v>4504</v>
      </c>
      <c r="U873" s="2" t="s">
        <v>6882</v>
      </c>
      <c r="V873" s="2" t="s">
        <v>1019</v>
      </c>
      <c r="W873" s="2" t="s">
        <v>39</v>
      </c>
    </row>
    <row r="874">
      <c r="A874" s="2" t="n">
        <v>627</v>
      </c>
      <c r="B874" s="2" t="s">
        <v>14032</v>
      </c>
      <c r="C874" s="2" t="s">
        <v>6891</v>
      </c>
      <c r="D874" s="2" t="n">
        <v>564.150279487</v>
      </c>
      <c r="E874" s="2" t="n">
        <v>0.778015028845046</v>
      </c>
      <c r="F874" s="2" t="s">
        <v>6893</v>
      </c>
      <c r="G874" s="2" t="n">
        <v>81834</v>
      </c>
      <c r="H874" s="3" t="str">
        <f>HYPERLINK("http://funmeta.oebiotech.com/network/81834", "http://funmeta.oebiotech.com/network/81834")</f>
      </c>
      <c r="I874" s="2" t="s">
        <v>6895</v>
      </c>
      <c r="J874" s="2"/>
      <c r="K874" s="2"/>
      <c r="L874" s="2"/>
      <c r="M874" s="2"/>
      <c r="N874" s="2" t="s">
        <v>6896</v>
      </c>
      <c r="O874" s="2"/>
      <c r="P874" s="2" t="s">
        <v>6897</v>
      </c>
      <c r="Q874" s="2" t="s">
        <v>6898</v>
      </c>
      <c r="R874" s="2" t="s">
        <v>49</v>
      </c>
      <c r="S874" s="2" t="s">
        <v>165</v>
      </c>
      <c r="T874" s="2" t="s">
        <v>166</v>
      </c>
      <c r="U874" s="2" t="s">
        <v>6892</v>
      </c>
      <c r="V874" s="2" t="s">
        <v>522</v>
      </c>
      <c r="W874" s="2"/>
    </row>
    <row r="875">
      <c r="A875" s="2" t="n">
        <v>628</v>
      </c>
      <c r="B875" s="2" t="s">
        <v>14033</v>
      </c>
      <c r="C875" s="2" t="s">
        <v>6899</v>
      </c>
      <c r="D875" s="2" t="n">
        <v>565.047744376</v>
      </c>
      <c r="E875" s="2" t="n">
        <v>0.0210270338637425</v>
      </c>
      <c r="F875" s="2" t="s">
        <v>14034</v>
      </c>
      <c r="G875" s="2" t="n">
        <v>46974</v>
      </c>
      <c r="H875" s="3" t="str">
        <f>HYPERLINK("http://funmeta.oebiotech.com/network/46974", "http://funmeta.oebiotech.com/network/46974")</f>
      </c>
      <c r="I875" s="2" t="s">
        <v>14035</v>
      </c>
      <c r="J875" s="2" t="s">
        <v>14036</v>
      </c>
      <c r="K875" s="2"/>
      <c r="L875" s="2" t="s">
        <v>14037</v>
      </c>
      <c r="M875" s="2" t="s">
        <v>14038</v>
      </c>
      <c r="N875" s="2" t="s">
        <v>14039</v>
      </c>
      <c r="O875" s="2" t="s">
        <v>14040</v>
      </c>
      <c r="P875" s="2" t="s">
        <v>14041</v>
      </c>
      <c r="Q875" s="2" t="s">
        <v>14042</v>
      </c>
      <c r="R875" s="2" t="s">
        <v>2590</v>
      </c>
      <c r="S875" s="2" t="s">
        <v>4599</v>
      </c>
      <c r="T875" s="2" t="s">
        <v>14043</v>
      </c>
      <c r="U875" s="2" t="s">
        <v>6900</v>
      </c>
      <c r="V875" s="2" t="s">
        <v>110</v>
      </c>
      <c r="W875" s="2" t="s">
        <v>39</v>
      </c>
    </row>
    <row r="876">
      <c r="A876" s="2" t="n">
        <v>628</v>
      </c>
      <c r="B876" s="2" t="s">
        <v>14044</v>
      </c>
      <c r="C876" s="2" t="s">
        <v>6899</v>
      </c>
      <c r="D876" s="2" t="n">
        <v>565.047744376</v>
      </c>
      <c r="E876" s="2" t="n">
        <v>0.0210270338637425</v>
      </c>
      <c r="F876" s="2" t="s">
        <v>14045</v>
      </c>
      <c r="G876" s="2" t="n">
        <v>46986</v>
      </c>
      <c r="H876" s="3" t="str">
        <f>HYPERLINK("http://funmeta.oebiotech.com/network/46986", "http://funmeta.oebiotech.com/network/46986")</f>
      </c>
      <c r="I876" s="2" t="s">
        <v>14046</v>
      </c>
      <c r="J876" s="2" t="s">
        <v>14047</v>
      </c>
      <c r="K876" s="2"/>
      <c r="L876" s="2" t="s">
        <v>14048</v>
      </c>
      <c r="M876" s="2" t="s">
        <v>14049</v>
      </c>
      <c r="N876" s="2" t="s">
        <v>14050</v>
      </c>
      <c r="O876" s="2" t="s">
        <v>14051</v>
      </c>
      <c r="P876" s="2" t="s">
        <v>14052</v>
      </c>
      <c r="Q876" s="2" t="s">
        <v>14053</v>
      </c>
      <c r="R876" s="2" t="s">
        <v>2590</v>
      </c>
      <c r="S876" s="2" t="s">
        <v>4599</v>
      </c>
      <c r="T876" s="2" t="s">
        <v>14043</v>
      </c>
      <c r="U876" s="2" t="s">
        <v>6900</v>
      </c>
      <c r="V876" s="2" t="s">
        <v>110</v>
      </c>
      <c r="W876" s="2" t="s">
        <v>39</v>
      </c>
    </row>
    <row r="877">
      <c r="A877" s="2" t="n">
        <v>629</v>
      </c>
      <c r="B877" s="2" t="s">
        <v>14054</v>
      </c>
      <c r="C877" s="2" t="s">
        <v>6913</v>
      </c>
      <c r="D877" s="2" t="n">
        <v>565.43929785</v>
      </c>
      <c r="E877" s="2" t="n">
        <v>3.71033510191355</v>
      </c>
      <c r="F877" s="2" t="s">
        <v>6915</v>
      </c>
      <c r="G877" s="2" t="n">
        <v>64037</v>
      </c>
      <c r="H877" s="3" t="str">
        <f>HYPERLINK("http://funmeta.oebiotech.com/network/64037", "http://funmeta.oebiotech.com/network/64037")</f>
      </c>
      <c r="I877" s="2" t="s">
        <v>6917</v>
      </c>
      <c r="J877" s="2" t="s">
        <v>6918</v>
      </c>
      <c r="K877" s="2"/>
      <c r="L877" s="2" t="s">
        <v>6919</v>
      </c>
      <c r="M877" s="2"/>
      <c r="N877" s="2" t="s">
        <v>6920</v>
      </c>
      <c r="O877" s="2" t="s">
        <v>6921</v>
      </c>
      <c r="P877" s="2" t="s">
        <v>6922</v>
      </c>
      <c r="Q877" s="2" t="s">
        <v>6923</v>
      </c>
      <c r="R877" s="2" t="s">
        <v>1490</v>
      </c>
      <c r="S877" s="2" t="s">
        <v>1491</v>
      </c>
      <c r="T877" s="2" t="s">
        <v>6924</v>
      </c>
      <c r="U877" s="2" t="s">
        <v>6914</v>
      </c>
      <c r="V877" s="2" t="s">
        <v>522</v>
      </c>
      <c r="W877" s="2" t="s">
        <v>39</v>
      </c>
    </row>
    <row r="878">
      <c r="A878" s="2" t="n">
        <v>630</v>
      </c>
      <c r="B878" s="2" t="s">
        <v>14055</v>
      </c>
      <c r="C878" s="2" t="s">
        <v>6925</v>
      </c>
      <c r="D878" s="2" t="n">
        <v>566.169952286</v>
      </c>
      <c r="E878" s="2" t="n">
        <v>0.622711212266507</v>
      </c>
      <c r="F878" s="2" t="s">
        <v>6927</v>
      </c>
      <c r="G878" s="2" t="n">
        <v>211115</v>
      </c>
      <c r="H878" s="3" t="str">
        <f>HYPERLINK("http://funmeta.oebiotech.com/network/211115", "http://funmeta.oebiotech.com/network/211115")</f>
      </c>
      <c r="I878" s="2" t="s">
        <v>6929</v>
      </c>
      <c r="J878" s="2"/>
      <c r="K878" s="2"/>
      <c r="L878" s="2"/>
      <c r="M878" s="2"/>
      <c r="N878" s="2" t="s">
        <v>6930</v>
      </c>
      <c r="O878" s="2"/>
      <c r="P878" s="2" t="s">
        <v>6931</v>
      </c>
      <c r="Q878" s="2" t="s">
        <v>6932</v>
      </c>
      <c r="R878" s="2" t="s">
        <v>49</v>
      </c>
      <c r="S878" s="2" t="s">
        <v>165</v>
      </c>
      <c r="T878" s="2" t="s">
        <v>166</v>
      </c>
      <c r="U878" s="2" t="s">
        <v>6926</v>
      </c>
      <c r="V878" s="2" t="s">
        <v>522</v>
      </c>
      <c r="W878" s="2"/>
    </row>
    <row r="879">
      <c r="A879" s="2" t="n">
        <v>631</v>
      </c>
      <c r="B879" s="2" t="s">
        <v>14056</v>
      </c>
      <c r="C879" s="2" t="s">
        <v>6933</v>
      </c>
      <c r="D879" s="2" t="n">
        <v>567.152137764</v>
      </c>
      <c r="E879" s="2" t="n">
        <v>0.664637484898987</v>
      </c>
      <c r="F879" s="2" t="s">
        <v>6935</v>
      </c>
      <c r="G879" s="2" t="n">
        <v>203841</v>
      </c>
      <c r="H879" s="3" t="str">
        <f>HYPERLINK("http://funmeta.oebiotech.com/network/203841", "http://funmeta.oebiotech.com/network/203841")</f>
      </c>
      <c r="I879" s="2" t="s">
        <v>6937</v>
      </c>
      <c r="J879" s="2"/>
      <c r="K879" s="2"/>
      <c r="L879" s="2"/>
      <c r="M879" s="2" t="s">
        <v>6938</v>
      </c>
      <c r="N879" s="2" t="s">
        <v>6939</v>
      </c>
      <c r="O879" s="2"/>
      <c r="P879" s="2" t="s">
        <v>6940</v>
      </c>
      <c r="Q879" s="2" t="s">
        <v>6941</v>
      </c>
      <c r="R879" s="2" t="s">
        <v>502</v>
      </c>
      <c r="S879" s="2" t="s">
        <v>503</v>
      </c>
      <c r="T879" s="2" t="s">
        <v>3450</v>
      </c>
      <c r="U879" s="2" t="s">
        <v>6934</v>
      </c>
      <c r="V879" s="2" t="s">
        <v>110</v>
      </c>
      <c r="W879" s="2"/>
    </row>
    <row r="880">
      <c r="A880" s="2" t="n">
        <v>632</v>
      </c>
      <c r="B880" s="2" t="s">
        <v>14057</v>
      </c>
      <c r="C880" s="2" t="s">
        <v>6942</v>
      </c>
      <c r="D880" s="2" t="n">
        <v>570.0831127</v>
      </c>
      <c r="E880" s="2" t="n">
        <v>2.99854640220311</v>
      </c>
      <c r="F880" s="2" t="s">
        <v>6944</v>
      </c>
      <c r="G880" s="2" t="n">
        <v>203695</v>
      </c>
      <c r="H880" s="3" t="str">
        <f>HYPERLINK("http://funmeta.oebiotech.com/network/203695", "http://funmeta.oebiotech.com/network/203695")</f>
      </c>
      <c r="I880" s="2" t="s">
        <v>6946</v>
      </c>
      <c r="J880" s="2"/>
      <c r="K880" s="2"/>
      <c r="L880" s="2"/>
      <c r="M880" s="2"/>
      <c r="N880" s="2" t="s">
        <v>6947</v>
      </c>
      <c r="O880" s="2"/>
      <c r="P880" s="2" t="s">
        <v>6948</v>
      </c>
      <c r="Q880" s="2" t="s">
        <v>6949</v>
      </c>
      <c r="R880" s="2" t="s">
        <v>355</v>
      </c>
      <c r="S880" s="2" t="s">
        <v>466</v>
      </c>
      <c r="T880" s="2" t="s">
        <v>467</v>
      </c>
      <c r="U880" s="2" t="s">
        <v>6943</v>
      </c>
      <c r="V880" s="2" t="s">
        <v>250</v>
      </c>
      <c r="W880" s="2"/>
    </row>
    <row r="881">
      <c r="A881" s="2" t="n">
        <v>633</v>
      </c>
      <c r="B881" s="2" t="s">
        <v>14058</v>
      </c>
      <c r="C881" s="2" t="s">
        <v>6950</v>
      </c>
      <c r="D881" s="2" t="n">
        <v>571.088200104</v>
      </c>
      <c r="E881" s="2" t="n">
        <v>0.26112894729642</v>
      </c>
      <c r="F881" s="2" t="s">
        <v>14059</v>
      </c>
      <c r="G881" s="2" t="n">
        <v>29389</v>
      </c>
      <c r="H881" s="3" t="str">
        <f>HYPERLINK("http://funmeta.oebiotech.com/network/29389", "http://funmeta.oebiotech.com/network/29389")</f>
      </c>
      <c r="I881" s="2" t="s">
        <v>14060</v>
      </c>
      <c r="J881" s="2" t="s">
        <v>14061</v>
      </c>
      <c r="K881" s="2" t="s">
        <v>14062</v>
      </c>
      <c r="L881" s="2" t="s">
        <v>14063</v>
      </c>
      <c r="M881" s="2" t="s">
        <v>14064</v>
      </c>
      <c r="N881" s="2" t="s">
        <v>14065</v>
      </c>
      <c r="O881" s="2"/>
      <c r="P881" s="2" t="s">
        <v>14066</v>
      </c>
      <c r="Q881" s="2" t="s">
        <v>14067</v>
      </c>
      <c r="R881" s="2" t="s">
        <v>2509</v>
      </c>
      <c r="S881" s="2" t="s">
        <v>4720</v>
      </c>
      <c r="T881" s="2" t="s">
        <v>4721</v>
      </c>
      <c r="U881" s="2" t="s">
        <v>6951</v>
      </c>
      <c r="V881" s="2" t="s">
        <v>1019</v>
      </c>
      <c r="W881" s="2" t="s">
        <v>39</v>
      </c>
    </row>
    <row r="882">
      <c r="A882" s="2" t="n">
        <v>633</v>
      </c>
      <c r="B882" s="2" t="s">
        <v>14068</v>
      </c>
      <c r="C882" s="2" t="s">
        <v>6950</v>
      </c>
      <c r="D882" s="2" t="n">
        <v>571.088200104</v>
      </c>
      <c r="E882" s="2" t="n">
        <v>0.26112894729642</v>
      </c>
      <c r="F882" s="2" t="s">
        <v>14069</v>
      </c>
      <c r="G882" s="2" t="n">
        <v>29465</v>
      </c>
      <c r="H882" s="3" t="str">
        <f>HYPERLINK("http://funmeta.oebiotech.com/network/29465", "http://funmeta.oebiotech.com/network/29465")</f>
      </c>
      <c r="I882" s="2" t="s">
        <v>14070</v>
      </c>
      <c r="J882" s="2" t="s">
        <v>14071</v>
      </c>
      <c r="K882" s="2" t="s">
        <v>14072</v>
      </c>
      <c r="L882" s="2" t="s">
        <v>14073</v>
      </c>
      <c r="M882" s="2" t="s">
        <v>14074</v>
      </c>
      <c r="N882" s="2" t="s">
        <v>14075</v>
      </c>
      <c r="O882" s="2" t="s">
        <v>14076</v>
      </c>
      <c r="P882" s="2" t="s">
        <v>14077</v>
      </c>
      <c r="Q882" s="2" t="s">
        <v>14078</v>
      </c>
      <c r="R882" s="2" t="s">
        <v>2509</v>
      </c>
      <c r="S882" s="2" t="s">
        <v>4720</v>
      </c>
      <c r="T882" s="2" t="s">
        <v>4721</v>
      </c>
      <c r="U882" s="2" t="s">
        <v>6951</v>
      </c>
      <c r="V882" s="2" t="s">
        <v>1019</v>
      </c>
      <c r="W882" s="2" t="s">
        <v>39</v>
      </c>
    </row>
    <row r="883">
      <c r="A883" s="2" t="n">
        <v>633</v>
      </c>
      <c r="B883" s="2" t="s">
        <v>14079</v>
      </c>
      <c r="C883" s="2" t="s">
        <v>6950</v>
      </c>
      <c r="D883" s="2" t="n">
        <v>571.088200104</v>
      </c>
      <c r="E883" s="2" t="n">
        <v>0.26112894729642</v>
      </c>
      <c r="F883" s="2" t="s">
        <v>14080</v>
      </c>
      <c r="G883" s="2" t="n">
        <v>30096</v>
      </c>
      <c r="H883" s="3" t="str">
        <f>HYPERLINK("http://funmeta.oebiotech.com/network/30096", "http://funmeta.oebiotech.com/network/30096")</f>
      </c>
      <c r="I883" s="2" t="s">
        <v>14081</v>
      </c>
      <c r="J883" s="2" t="s">
        <v>12806</v>
      </c>
      <c r="K883" s="2" t="s">
        <v>14082</v>
      </c>
      <c r="L883" s="2" t="s">
        <v>14083</v>
      </c>
      <c r="M883" s="2" t="s">
        <v>14084</v>
      </c>
      <c r="N883" s="2" t="s">
        <v>14085</v>
      </c>
      <c r="O883" s="2" t="s">
        <v>14086</v>
      </c>
      <c r="P883" s="2" t="s">
        <v>14087</v>
      </c>
      <c r="Q883" s="2" t="s">
        <v>14088</v>
      </c>
      <c r="R883" s="2" t="s">
        <v>2509</v>
      </c>
      <c r="S883" s="2" t="s">
        <v>5520</v>
      </c>
      <c r="T883" s="2" t="s">
        <v>12828</v>
      </c>
      <c r="U883" s="2" t="s">
        <v>6951</v>
      </c>
      <c r="V883" s="2" t="s">
        <v>1019</v>
      </c>
      <c r="W883" s="2" t="s">
        <v>39</v>
      </c>
    </row>
    <row r="884">
      <c r="A884" s="2" t="n">
        <v>634</v>
      </c>
      <c r="B884" s="2" t="s">
        <v>14089</v>
      </c>
      <c r="C884" s="2" t="s">
        <v>6965</v>
      </c>
      <c r="D884" s="2" t="n">
        <v>571.27733396</v>
      </c>
      <c r="E884" s="2" t="n">
        <v>8.93896431427184</v>
      </c>
      <c r="F884" s="2" t="s">
        <v>14090</v>
      </c>
      <c r="G884" s="2" t="n">
        <v>207725</v>
      </c>
      <c r="H884" s="3" t="str">
        <f>HYPERLINK("http://funmeta.oebiotech.com/network/207725", "http://funmeta.oebiotech.com/network/207725")</f>
      </c>
      <c r="I884" s="2" t="s">
        <v>14091</v>
      </c>
      <c r="J884" s="2"/>
      <c r="K884" s="2"/>
      <c r="L884" s="2"/>
      <c r="M884" s="2"/>
      <c r="N884" s="2"/>
      <c r="O884" s="2"/>
      <c r="P884" s="2" t="s">
        <v>14092</v>
      </c>
      <c r="Q884" s="2" t="s">
        <v>14093</v>
      </c>
      <c r="R884" s="2" t="s">
        <v>355</v>
      </c>
      <c r="S884" s="2" t="s">
        <v>1316</v>
      </c>
      <c r="T884" s="2" t="s">
        <v>4897</v>
      </c>
      <c r="U884" s="2" t="s">
        <v>6966</v>
      </c>
      <c r="V884" s="2" t="s">
        <v>24</v>
      </c>
      <c r="W884" s="2"/>
    </row>
    <row r="885">
      <c r="A885" s="2" t="n">
        <v>634</v>
      </c>
      <c r="B885" s="2" t="s">
        <v>14094</v>
      </c>
      <c r="C885" s="2" t="s">
        <v>6965</v>
      </c>
      <c r="D885" s="2" t="n">
        <v>571.27733396</v>
      </c>
      <c r="E885" s="2" t="n">
        <v>8.93896431427184</v>
      </c>
      <c r="F885" s="2" t="s">
        <v>14095</v>
      </c>
      <c r="G885" s="2" t="n">
        <v>257562</v>
      </c>
      <c r="H885" s="3" t="str">
        <f>HYPERLINK("http://funmeta.oebiotech.com/network/257562", "http://funmeta.oebiotech.com/network/257562")</f>
      </c>
      <c r="I885" s="2" t="s">
        <v>14096</v>
      </c>
      <c r="J885" s="2"/>
      <c r="K885" s="2"/>
      <c r="L885" s="2"/>
      <c r="M885" s="2"/>
      <c r="N885" s="2" t="s">
        <v>14097</v>
      </c>
      <c r="O885" s="2"/>
      <c r="P885" s="2" t="s">
        <v>14098</v>
      </c>
      <c r="Q885" s="2" t="s">
        <v>14099</v>
      </c>
      <c r="R885" s="2" t="s">
        <v>49</v>
      </c>
      <c r="S885" s="2" t="s">
        <v>165</v>
      </c>
      <c r="T885" s="2" t="s">
        <v>166</v>
      </c>
      <c r="U885" s="2" t="s">
        <v>6966</v>
      </c>
      <c r="V885" s="2" t="s">
        <v>24</v>
      </c>
      <c r="W885" s="2"/>
    </row>
    <row r="886">
      <c r="A886" s="2" t="n">
        <v>635</v>
      </c>
      <c r="B886" s="2" t="s">
        <v>14100</v>
      </c>
      <c r="C886" s="2" t="s">
        <v>6975</v>
      </c>
      <c r="D886" s="2" t="n">
        <v>572.286505969</v>
      </c>
      <c r="E886" s="2" t="n">
        <v>2.99910360342624</v>
      </c>
      <c r="F886" s="2" t="s">
        <v>6977</v>
      </c>
      <c r="G886" s="2" t="n">
        <v>204077</v>
      </c>
      <c r="H886" s="3" t="str">
        <f>HYPERLINK("http://funmeta.oebiotech.com/network/204077", "http://funmeta.oebiotech.com/network/204077")</f>
      </c>
      <c r="I886" s="2" t="s">
        <v>6979</v>
      </c>
      <c r="J886" s="2"/>
      <c r="K886" s="2"/>
      <c r="L886" s="2"/>
      <c r="M886" s="2"/>
      <c r="N886" s="2" t="s">
        <v>6980</v>
      </c>
      <c r="O886" s="2"/>
      <c r="P886" s="2" t="s">
        <v>6981</v>
      </c>
      <c r="Q886" s="2" t="s">
        <v>6982</v>
      </c>
      <c r="R886" s="2" t="s">
        <v>1490</v>
      </c>
      <c r="S886" s="2" t="s">
        <v>4971</v>
      </c>
      <c r="T886" s="2" t="s">
        <v>6983</v>
      </c>
      <c r="U886" s="2" t="s">
        <v>6976</v>
      </c>
      <c r="V886" s="2" t="s">
        <v>110</v>
      </c>
      <c r="W886" s="2"/>
    </row>
    <row r="887">
      <c r="A887" s="2" t="n">
        <v>636</v>
      </c>
      <c r="B887" s="2" t="s">
        <v>14101</v>
      </c>
      <c r="C887" s="2" t="s">
        <v>6984</v>
      </c>
      <c r="D887" s="2" t="n">
        <v>573.44255311</v>
      </c>
      <c r="E887" s="2" t="n">
        <v>0.68548052073746</v>
      </c>
      <c r="F887" s="2" t="s">
        <v>6986</v>
      </c>
      <c r="G887" s="2" t="n">
        <v>52753</v>
      </c>
      <c r="H887" s="3" t="str">
        <f>HYPERLINK("http://funmeta.oebiotech.com/network/52753", "http://funmeta.oebiotech.com/network/52753")</f>
      </c>
      <c r="I887" s="2" t="s">
        <v>6988</v>
      </c>
      <c r="J887" s="2" t="s">
        <v>6989</v>
      </c>
      <c r="K887" s="2"/>
      <c r="L887" s="2" t="s">
        <v>6990</v>
      </c>
      <c r="M887" s="2" t="s">
        <v>6991</v>
      </c>
      <c r="N887" s="2" t="s">
        <v>6992</v>
      </c>
      <c r="O887" s="2" t="s">
        <v>6993</v>
      </c>
      <c r="P887" s="2" t="s">
        <v>6994</v>
      </c>
      <c r="Q887" s="2" t="s">
        <v>6995</v>
      </c>
      <c r="R887" s="2" t="s">
        <v>36</v>
      </c>
      <c r="S887" s="2" t="s">
        <v>37</v>
      </c>
      <c r="T887" s="2" t="s">
        <v>679</v>
      </c>
      <c r="U887" s="2" t="s">
        <v>6985</v>
      </c>
      <c r="V887" s="2" t="s">
        <v>1019</v>
      </c>
      <c r="W887" s="2" t="s">
        <v>39</v>
      </c>
    </row>
    <row r="888">
      <c r="A888" s="2" t="n">
        <v>637</v>
      </c>
      <c r="B888" s="2" t="s">
        <v>14102</v>
      </c>
      <c r="C888" s="2" t="s">
        <v>6996</v>
      </c>
      <c r="D888" s="2" t="n">
        <v>575.011212112</v>
      </c>
      <c r="E888" s="2" t="n">
        <v>5.06885980938923</v>
      </c>
      <c r="F888" s="2" t="s">
        <v>6998</v>
      </c>
      <c r="G888" s="2" t="n">
        <v>200481</v>
      </c>
      <c r="H888" s="3" t="str">
        <f>HYPERLINK("http://funmeta.oebiotech.com/network/200481", "http://funmeta.oebiotech.com/network/200481")</f>
      </c>
      <c r="I888" s="2" t="s">
        <v>7000</v>
      </c>
      <c r="J888" s="2"/>
      <c r="K888" s="2"/>
      <c r="L888" s="2"/>
      <c r="M888" s="2"/>
      <c r="N888" s="2"/>
      <c r="O888" s="2"/>
      <c r="P888" s="2" t="s">
        <v>7001</v>
      </c>
      <c r="Q888" s="2" t="s">
        <v>7002</v>
      </c>
      <c r="R888" s="2" t="s">
        <v>502</v>
      </c>
      <c r="S888" s="2" t="s">
        <v>3913</v>
      </c>
      <c r="T888" s="2" t="s">
        <v>7003</v>
      </c>
      <c r="U888" s="2" t="s">
        <v>6997</v>
      </c>
      <c r="V888" s="2" t="s">
        <v>1019</v>
      </c>
      <c r="W888" s="2"/>
    </row>
    <row r="889">
      <c r="A889" s="2" t="n">
        <v>638</v>
      </c>
      <c r="B889" s="2" t="s">
        <v>14103</v>
      </c>
      <c r="C889" s="2" t="s">
        <v>7004</v>
      </c>
      <c r="D889" s="2" t="n">
        <v>575.465692222</v>
      </c>
      <c r="E889" s="2" t="n">
        <v>1.79531621583059</v>
      </c>
      <c r="F889" s="2" t="s">
        <v>7006</v>
      </c>
      <c r="G889" s="2" t="n">
        <v>10939</v>
      </c>
      <c r="H889" s="3" t="str">
        <f>HYPERLINK("http://funmeta.oebiotech.com/network/10939", "http://funmeta.oebiotech.com/network/10939")</f>
      </c>
      <c r="I889" s="2" t="s">
        <v>7008</v>
      </c>
      <c r="J889" s="2" t="s">
        <v>7009</v>
      </c>
      <c r="K889" s="2" t="s">
        <v>7010</v>
      </c>
      <c r="L889" s="2"/>
      <c r="M889" s="2"/>
      <c r="N889" s="2" t="s">
        <v>7011</v>
      </c>
      <c r="O889" s="2"/>
      <c r="P889" s="2" t="s">
        <v>7012</v>
      </c>
      <c r="Q889" s="2" t="s">
        <v>7013</v>
      </c>
      <c r="R889" s="2" t="s">
        <v>1490</v>
      </c>
      <c r="S889" s="2" t="s">
        <v>6728</v>
      </c>
      <c r="T889" s="2" t="s">
        <v>6729</v>
      </c>
      <c r="U889" s="2" t="s">
        <v>7005</v>
      </c>
      <c r="V889" s="2" t="s">
        <v>360</v>
      </c>
      <c r="W889" s="2"/>
    </row>
    <row r="890">
      <c r="A890" s="2" t="n">
        <v>639</v>
      </c>
      <c r="B890" s="2" t="s">
        <v>14104</v>
      </c>
      <c r="C890" s="2" t="s">
        <v>7014</v>
      </c>
      <c r="D890" s="2" t="n">
        <v>577.089187849</v>
      </c>
      <c r="E890" s="2" t="n">
        <v>3.82521351038411</v>
      </c>
      <c r="F890" s="2" t="s">
        <v>7016</v>
      </c>
      <c r="G890" s="2" t="n">
        <v>202428</v>
      </c>
      <c r="H890" s="3" t="str">
        <f>HYPERLINK("http://funmeta.oebiotech.com/network/202428", "http://funmeta.oebiotech.com/network/202428")</f>
      </c>
      <c r="I890" s="2" t="s">
        <v>7018</v>
      </c>
      <c r="J890" s="2"/>
      <c r="K890" s="2"/>
      <c r="L890" s="2"/>
      <c r="M890" s="2"/>
      <c r="N890" s="2" t="s">
        <v>7019</v>
      </c>
      <c r="O890" s="2"/>
      <c r="P890" s="2" t="s">
        <v>7020</v>
      </c>
      <c r="Q890" s="2" t="s">
        <v>7021</v>
      </c>
      <c r="R890" s="2" t="s">
        <v>2509</v>
      </c>
      <c r="S890" s="2" t="s">
        <v>4367</v>
      </c>
      <c r="T890" s="2" t="s">
        <v>7022</v>
      </c>
      <c r="U890" s="2" t="s">
        <v>7015</v>
      </c>
      <c r="V890" s="2" t="s">
        <v>42</v>
      </c>
      <c r="W890" s="2"/>
    </row>
    <row r="891">
      <c r="A891" s="2" t="n">
        <v>640</v>
      </c>
      <c r="B891" s="2" t="s">
        <v>14105</v>
      </c>
      <c r="C891" s="2" t="s">
        <v>7023</v>
      </c>
      <c r="D891" s="2" t="n">
        <v>578.179633973</v>
      </c>
      <c r="E891" s="2" t="n">
        <v>9.90805020229704</v>
      </c>
      <c r="F891" s="2" t="s">
        <v>7025</v>
      </c>
      <c r="G891" s="2" t="n">
        <v>63922</v>
      </c>
      <c r="H891" s="3" t="str">
        <f>HYPERLINK("http://funmeta.oebiotech.com/network/63922", "http://funmeta.oebiotech.com/network/63922")</f>
      </c>
      <c r="I891" s="2" t="s">
        <v>7027</v>
      </c>
      <c r="J891" s="2" t="s">
        <v>7028</v>
      </c>
      <c r="K891" s="2"/>
      <c r="L891" s="2"/>
      <c r="M891" s="2" t="s">
        <v>7029</v>
      </c>
      <c r="N891" s="2" t="s">
        <v>7030</v>
      </c>
      <c r="O891" s="2"/>
      <c r="P891" s="2" t="s">
        <v>7031</v>
      </c>
      <c r="Q891" s="2" t="s">
        <v>7032</v>
      </c>
      <c r="R891" s="2" t="s">
        <v>355</v>
      </c>
      <c r="S891" s="2" t="s">
        <v>3869</v>
      </c>
      <c r="T891" s="2" t="s">
        <v>3870</v>
      </c>
      <c r="U891" s="2" t="s">
        <v>7024</v>
      </c>
      <c r="V891" s="2" t="s">
        <v>360</v>
      </c>
      <c r="W891" s="2"/>
    </row>
    <row r="892">
      <c r="A892" s="2" t="n">
        <v>641</v>
      </c>
      <c r="B892" s="2" t="s">
        <v>14106</v>
      </c>
      <c r="C892" s="2" t="s">
        <v>7033</v>
      </c>
      <c r="D892" s="2" t="n">
        <v>579.271185952</v>
      </c>
      <c r="E892" s="2" t="n">
        <v>8.47848724997117</v>
      </c>
      <c r="F892" s="2" t="s">
        <v>7035</v>
      </c>
      <c r="G892" s="2" t="n">
        <v>205527</v>
      </c>
      <c r="H892" s="3" t="str">
        <f>HYPERLINK("http://funmeta.oebiotech.com/network/205527", "http://funmeta.oebiotech.com/network/205527")</f>
      </c>
      <c r="I892" s="2" t="s">
        <v>7037</v>
      </c>
      <c r="J892" s="2"/>
      <c r="K892" s="2"/>
      <c r="L892" s="2"/>
      <c r="M892" s="2"/>
      <c r="N892" s="2" t="s">
        <v>7038</v>
      </c>
      <c r="O892" s="2"/>
      <c r="P892" s="2" t="s">
        <v>7039</v>
      </c>
      <c r="Q892" s="2" t="s">
        <v>7040</v>
      </c>
      <c r="R892" s="2" t="s">
        <v>49</v>
      </c>
      <c r="S892" s="2" t="s">
        <v>165</v>
      </c>
      <c r="T892" s="2" t="s">
        <v>166</v>
      </c>
      <c r="U892" s="2" t="s">
        <v>7034</v>
      </c>
      <c r="V892" s="2" t="s">
        <v>24</v>
      </c>
      <c r="W892" s="2"/>
    </row>
    <row r="893">
      <c r="A893" s="2" t="n">
        <v>642</v>
      </c>
      <c r="B893" s="2" t="s">
        <v>14107</v>
      </c>
      <c r="C893" s="2" t="s">
        <v>7041</v>
      </c>
      <c r="D893" s="2" t="n">
        <v>579.33032095</v>
      </c>
      <c r="E893" s="2" t="n">
        <v>5.24978339587007</v>
      </c>
      <c r="F893" s="2" t="s">
        <v>7043</v>
      </c>
      <c r="G893" s="2" t="n">
        <v>208806</v>
      </c>
      <c r="H893" s="3" t="str">
        <f>HYPERLINK("http://funmeta.oebiotech.com/network/208806", "http://funmeta.oebiotech.com/network/208806")</f>
      </c>
      <c r="I893" s="2" t="s">
        <v>7045</v>
      </c>
      <c r="J893" s="2"/>
      <c r="K893" s="2"/>
      <c r="L893" s="2"/>
      <c r="M893" s="2"/>
      <c r="N893" s="2"/>
      <c r="O893" s="2"/>
      <c r="P893" s="2" t="s">
        <v>7046</v>
      </c>
      <c r="Q893" s="2" t="s">
        <v>7047</v>
      </c>
      <c r="R893" s="2" t="s">
        <v>2509</v>
      </c>
      <c r="S893" s="2" t="s">
        <v>7048</v>
      </c>
      <c r="T893" s="2" t="s">
        <v>7049</v>
      </c>
      <c r="U893" s="2" t="s">
        <v>7042</v>
      </c>
      <c r="V893" s="2" t="s">
        <v>360</v>
      </c>
      <c r="W893" s="2"/>
    </row>
    <row r="894">
      <c r="A894" s="2" t="n">
        <v>643</v>
      </c>
      <c r="B894" s="2" t="s">
        <v>14108</v>
      </c>
      <c r="C894" s="2" t="s">
        <v>7050</v>
      </c>
      <c r="D894" s="2" t="n">
        <v>581.309072672</v>
      </c>
      <c r="E894" s="2" t="n">
        <v>3.82717026255164</v>
      </c>
      <c r="F894" s="2" t="s">
        <v>7052</v>
      </c>
      <c r="G894" s="2" t="n">
        <v>83283</v>
      </c>
      <c r="H894" s="3" t="str">
        <f>HYPERLINK("http://funmeta.oebiotech.com/network/83283", "http://funmeta.oebiotech.com/network/83283")</f>
      </c>
      <c r="I894" s="2" t="s">
        <v>7054</v>
      </c>
      <c r="J894" s="2"/>
      <c r="K894" s="2"/>
      <c r="L894" s="2"/>
      <c r="M894" s="2"/>
      <c r="N894" s="2"/>
      <c r="O894" s="2" t="s">
        <v>7055</v>
      </c>
      <c r="P894" s="2" t="s">
        <v>7056</v>
      </c>
      <c r="Q894" s="2" t="s">
        <v>7057</v>
      </c>
      <c r="R894" s="2" t="s">
        <v>1490</v>
      </c>
      <c r="S894" s="2" t="s">
        <v>4236</v>
      </c>
      <c r="T894" s="2" t="s">
        <v>4237</v>
      </c>
      <c r="U894" s="2" t="s">
        <v>7051</v>
      </c>
      <c r="V894" s="2" t="s">
        <v>42</v>
      </c>
      <c r="W894" s="2"/>
    </row>
    <row r="895">
      <c r="A895" s="2" t="n">
        <v>644</v>
      </c>
      <c r="B895" s="2" t="s">
        <v>14109</v>
      </c>
      <c r="C895" s="2" t="s">
        <v>7058</v>
      </c>
      <c r="D895" s="2" t="n">
        <v>583.08819578</v>
      </c>
      <c r="E895" s="2" t="n">
        <v>3.18456258692732</v>
      </c>
      <c r="F895" s="2" t="s">
        <v>14110</v>
      </c>
      <c r="G895" s="2" t="n">
        <v>207547</v>
      </c>
      <c r="H895" s="3" t="str">
        <f>HYPERLINK("http://funmeta.oebiotech.com/network/207547", "http://funmeta.oebiotech.com/network/207547")</f>
      </c>
      <c r="I895" s="2" t="s">
        <v>14111</v>
      </c>
      <c r="J895" s="2" t="s">
        <v>14112</v>
      </c>
      <c r="K895" s="2"/>
      <c r="L895" s="2" t="s">
        <v>14113</v>
      </c>
      <c r="M895" s="2" t="s">
        <v>14114</v>
      </c>
      <c r="N895" s="2" t="s">
        <v>14115</v>
      </c>
      <c r="O895" s="2"/>
      <c r="P895" s="2" t="s">
        <v>14116</v>
      </c>
      <c r="Q895" s="2" t="s">
        <v>14117</v>
      </c>
      <c r="R895" s="2" t="s">
        <v>2509</v>
      </c>
      <c r="S895" s="2" t="s">
        <v>5520</v>
      </c>
      <c r="T895" s="2" t="s">
        <v>12828</v>
      </c>
      <c r="U895" s="2" t="s">
        <v>7059</v>
      </c>
      <c r="V895" s="2" t="s">
        <v>24</v>
      </c>
      <c r="W895" s="2" t="s">
        <v>39</v>
      </c>
    </row>
    <row r="896">
      <c r="A896" s="2" t="n">
        <v>644</v>
      </c>
      <c r="B896" s="2" t="s">
        <v>14118</v>
      </c>
      <c r="C896" s="2" t="s">
        <v>7058</v>
      </c>
      <c r="D896" s="2" t="n">
        <v>583.088195796</v>
      </c>
      <c r="E896" s="2" t="n">
        <v>3.18456258692732</v>
      </c>
      <c r="F896" s="2" t="s">
        <v>14119</v>
      </c>
      <c r="G896" s="2" t="n">
        <v>29135</v>
      </c>
      <c r="H896" s="3" t="str">
        <f>HYPERLINK("http://funmeta.oebiotech.com/network/29135", "http://funmeta.oebiotech.com/network/29135")</f>
      </c>
      <c r="I896" s="2" t="s">
        <v>14120</v>
      </c>
      <c r="J896" s="2" t="s">
        <v>14121</v>
      </c>
      <c r="K896" s="2" t="s">
        <v>14122</v>
      </c>
      <c r="L896" s="2" t="s">
        <v>14123</v>
      </c>
      <c r="M896" s="2" t="s">
        <v>14124</v>
      </c>
      <c r="N896" s="2" t="s">
        <v>14125</v>
      </c>
      <c r="O896" s="2" t="s">
        <v>14126</v>
      </c>
      <c r="P896" s="2" t="s">
        <v>14127</v>
      </c>
      <c r="Q896" s="2" t="s">
        <v>14128</v>
      </c>
      <c r="R896" s="2" t="s">
        <v>2509</v>
      </c>
      <c r="S896" s="2" t="s">
        <v>5520</v>
      </c>
      <c r="T896" s="2" t="s">
        <v>7136</v>
      </c>
      <c r="U896" s="2" t="s">
        <v>7059</v>
      </c>
      <c r="V896" s="2" t="s">
        <v>24</v>
      </c>
      <c r="W896" s="2" t="s">
        <v>39</v>
      </c>
    </row>
    <row r="897">
      <c r="A897" s="2" t="n">
        <v>645</v>
      </c>
      <c r="B897" s="2" t="s">
        <v>14129</v>
      </c>
      <c r="C897" s="2" t="s">
        <v>7072</v>
      </c>
      <c r="D897" s="2" t="n">
        <v>585.065272034</v>
      </c>
      <c r="E897" s="2" t="n">
        <v>7.80314985123741</v>
      </c>
      <c r="F897" s="2" t="s">
        <v>7074</v>
      </c>
      <c r="G897" s="2" t="n">
        <v>60941</v>
      </c>
      <c r="H897" s="3" t="str">
        <f>HYPERLINK("http://funmeta.oebiotech.com/network/60941", "http://funmeta.oebiotech.com/network/60941")</f>
      </c>
      <c r="I897" s="2" t="s">
        <v>7076</v>
      </c>
      <c r="J897" s="2"/>
      <c r="K897" s="2"/>
      <c r="L897" s="2" t="s">
        <v>7077</v>
      </c>
      <c r="M897" s="2"/>
      <c r="N897" s="2" t="s">
        <v>7078</v>
      </c>
      <c r="O897" s="2" t="s">
        <v>7079</v>
      </c>
      <c r="P897" s="2" t="s">
        <v>7080</v>
      </c>
      <c r="Q897" s="2" t="s">
        <v>7081</v>
      </c>
      <c r="R897" s="2" t="s">
        <v>2509</v>
      </c>
      <c r="S897" s="2" t="s">
        <v>5520</v>
      </c>
      <c r="T897" s="2" t="s">
        <v>5664</v>
      </c>
      <c r="U897" s="2" t="s">
        <v>7073</v>
      </c>
      <c r="V897" s="2" t="s">
        <v>522</v>
      </c>
      <c r="W897" s="2" t="s">
        <v>39</v>
      </c>
    </row>
    <row r="898">
      <c r="A898" s="2" t="n">
        <v>646</v>
      </c>
      <c r="B898" s="2" t="s">
        <v>14130</v>
      </c>
      <c r="C898" s="2" t="s">
        <v>7082</v>
      </c>
      <c r="D898" s="2" t="n">
        <v>585.170191478</v>
      </c>
      <c r="E898" s="2" t="n">
        <v>2.48669340244061</v>
      </c>
      <c r="F898" s="2" t="s">
        <v>7084</v>
      </c>
      <c r="G898" s="2" t="n">
        <v>211118</v>
      </c>
      <c r="H898" s="3" t="str">
        <f>HYPERLINK("http://funmeta.oebiotech.com/network/211118", "http://funmeta.oebiotech.com/network/211118")</f>
      </c>
      <c r="I898" s="2" t="s">
        <v>7086</v>
      </c>
      <c r="J898" s="2"/>
      <c r="K898" s="2"/>
      <c r="L898" s="2"/>
      <c r="M898" s="2"/>
      <c r="N898" s="2"/>
      <c r="O898" s="2"/>
      <c r="P898" s="2" t="s">
        <v>7087</v>
      </c>
      <c r="Q898" s="2" t="s">
        <v>7088</v>
      </c>
      <c r="R898" s="2" t="s">
        <v>64</v>
      </c>
      <c r="S898" s="2" t="s">
        <v>65</v>
      </c>
      <c r="T898" s="2" t="s">
        <v>66</v>
      </c>
      <c r="U898" s="2" t="s">
        <v>7083</v>
      </c>
      <c r="V898" s="2" t="s">
        <v>360</v>
      </c>
      <c r="W898" s="2"/>
    </row>
    <row r="899">
      <c r="A899" s="2" t="n">
        <v>647</v>
      </c>
      <c r="B899" s="2" t="s">
        <v>14131</v>
      </c>
      <c r="C899" s="2" t="s">
        <v>7089</v>
      </c>
      <c r="D899" s="2" t="n">
        <v>585.415513274</v>
      </c>
      <c r="E899" s="2" t="n">
        <v>2.89117877815357</v>
      </c>
      <c r="F899" s="2" t="s">
        <v>14132</v>
      </c>
      <c r="G899" s="2" t="n">
        <v>62904</v>
      </c>
      <c r="H899" s="3" t="str">
        <f>HYPERLINK("http://funmeta.oebiotech.com/network/62904", "http://funmeta.oebiotech.com/network/62904")</f>
      </c>
      <c r="I899" s="2" t="s">
        <v>14133</v>
      </c>
      <c r="J899" s="2"/>
      <c r="K899" s="2"/>
      <c r="L899" s="2"/>
      <c r="M899" s="2"/>
      <c r="N899" s="2" t="s">
        <v>14134</v>
      </c>
      <c r="O899" s="2" t="s">
        <v>14135</v>
      </c>
      <c r="P899" s="2" t="s">
        <v>14136</v>
      </c>
      <c r="Q899" s="2" t="s">
        <v>14137</v>
      </c>
      <c r="R899" s="2" t="s">
        <v>1490</v>
      </c>
      <c r="S899" s="2" t="s">
        <v>4971</v>
      </c>
      <c r="T899" s="2" t="s">
        <v>7445</v>
      </c>
      <c r="U899" s="2" t="s">
        <v>7090</v>
      </c>
      <c r="V899" s="2" t="s">
        <v>42</v>
      </c>
      <c r="W899" s="2"/>
    </row>
    <row r="900">
      <c r="A900" s="2" t="n">
        <v>647</v>
      </c>
      <c r="B900" s="2" t="s">
        <v>14138</v>
      </c>
      <c r="C900" s="2" t="s">
        <v>7089</v>
      </c>
      <c r="D900" s="2" t="n">
        <v>585.415513274</v>
      </c>
      <c r="E900" s="2" t="n">
        <v>2.89117877815357</v>
      </c>
      <c r="F900" s="2" t="s">
        <v>14139</v>
      </c>
      <c r="G900" s="2" t="n">
        <v>59864</v>
      </c>
      <c r="H900" s="3" t="str">
        <f>HYPERLINK("http://funmeta.oebiotech.com/network/59864", "http://funmeta.oebiotech.com/network/59864")</f>
      </c>
      <c r="I900" s="2" t="s">
        <v>14140</v>
      </c>
      <c r="J900" s="2" t="s">
        <v>14141</v>
      </c>
      <c r="K900" s="2"/>
      <c r="L900" s="2"/>
      <c r="M900" s="2"/>
      <c r="N900" s="2" t="s">
        <v>14142</v>
      </c>
      <c r="O900" s="2" t="s">
        <v>14143</v>
      </c>
      <c r="P900" s="2" t="s">
        <v>14144</v>
      </c>
      <c r="Q900" s="2" t="s">
        <v>14145</v>
      </c>
      <c r="R900" s="2" t="s">
        <v>1490</v>
      </c>
      <c r="S900" s="2" t="s">
        <v>3546</v>
      </c>
      <c r="T900" s="2" t="s">
        <v>7355</v>
      </c>
      <c r="U900" s="2" t="s">
        <v>7090</v>
      </c>
      <c r="V900" s="2" t="s">
        <v>42</v>
      </c>
      <c r="W900" s="2"/>
    </row>
    <row r="901">
      <c r="A901" s="2" t="n">
        <v>648</v>
      </c>
      <c r="B901" s="2" t="s">
        <v>14146</v>
      </c>
      <c r="C901" s="2" t="s">
        <v>7101</v>
      </c>
      <c r="D901" s="2" t="n">
        <v>587.092062164</v>
      </c>
      <c r="E901" s="2" t="n">
        <v>1.25357747877017</v>
      </c>
      <c r="F901" s="2" t="s">
        <v>14147</v>
      </c>
      <c r="G901" s="2" t="n">
        <v>58742</v>
      </c>
      <c r="H901" s="3" t="str">
        <f>HYPERLINK("http://funmeta.oebiotech.com/network/58742", "http://funmeta.oebiotech.com/network/58742")</f>
      </c>
      <c r="I901" s="2" t="s">
        <v>14148</v>
      </c>
      <c r="J901" s="2" t="s">
        <v>14149</v>
      </c>
      <c r="K901" s="2"/>
      <c r="L901" s="2"/>
      <c r="M901" s="2" t="s">
        <v>14150</v>
      </c>
      <c r="N901" s="2" t="s">
        <v>14151</v>
      </c>
      <c r="O901" s="2"/>
      <c r="P901" s="2" t="s">
        <v>14152</v>
      </c>
      <c r="Q901" s="2" t="s">
        <v>14153</v>
      </c>
      <c r="R901" s="2" t="s">
        <v>355</v>
      </c>
      <c r="S901" s="2" t="s">
        <v>2424</v>
      </c>
      <c r="T901" s="2" t="s">
        <v>205</v>
      </c>
      <c r="U901" s="2" t="s">
        <v>7102</v>
      </c>
      <c r="V901" s="2" t="s">
        <v>1019</v>
      </c>
      <c r="W901" s="2"/>
    </row>
    <row r="902">
      <c r="A902" s="2" t="n">
        <v>648</v>
      </c>
      <c r="B902" s="2" t="s">
        <v>14154</v>
      </c>
      <c r="C902" s="2" t="s">
        <v>7101</v>
      </c>
      <c r="D902" s="2" t="n">
        <v>587.092062164</v>
      </c>
      <c r="E902" s="2" t="n">
        <v>1.25357747877017</v>
      </c>
      <c r="F902" s="2" t="s">
        <v>14155</v>
      </c>
      <c r="G902" s="2" t="n">
        <v>58739</v>
      </c>
      <c r="H902" s="3" t="str">
        <f>HYPERLINK("http://funmeta.oebiotech.com/network/58739", "http://funmeta.oebiotech.com/network/58739")</f>
      </c>
      <c r="I902" s="2" t="s">
        <v>14156</v>
      </c>
      <c r="J902" s="2" t="s">
        <v>14157</v>
      </c>
      <c r="K902" s="2"/>
      <c r="L902" s="2"/>
      <c r="M902" s="2" t="s">
        <v>14158</v>
      </c>
      <c r="N902" s="2" t="s">
        <v>14159</v>
      </c>
      <c r="O902" s="2"/>
      <c r="P902" s="2" t="s">
        <v>14160</v>
      </c>
      <c r="Q902" s="2" t="s">
        <v>14161</v>
      </c>
      <c r="R902" s="2" t="s">
        <v>355</v>
      </c>
      <c r="S902" s="2" t="s">
        <v>2424</v>
      </c>
      <c r="T902" s="2" t="s">
        <v>205</v>
      </c>
      <c r="U902" s="2" t="s">
        <v>7102</v>
      </c>
      <c r="V902" s="2" t="s">
        <v>1019</v>
      </c>
      <c r="W902" s="2"/>
    </row>
    <row r="903">
      <c r="A903" s="2" t="n">
        <v>648</v>
      </c>
      <c r="B903" s="2" t="s">
        <v>14162</v>
      </c>
      <c r="C903" s="2" t="s">
        <v>7101</v>
      </c>
      <c r="D903" s="2" t="n">
        <v>587.092062164</v>
      </c>
      <c r="E903" s="2" t="n">
        <v>1.25357747877017</v>
      </c>
      <c r="F903" s="2" t="s">
        <v>14163</v>
      </c>
      <c r="G903" s="2" t="n">
        <v>62003</v>
      </c>
      <c r="H903" s="3" t="str">
        <f>HYPERLINK("http://funmeta.oebiotech.com/network/62003", "http://funmeta.oebiotech.com/network/62003")</f>
      </c>
      <c r="I903" s="2" t="s">
        <v>14164</v>
      </c>
      <c r="J903" s="2" t="s">
        <v>14165</v>
      </c>
      <c r="K903" s="2"/>
      <c r="L903" s="2"/>
      <c r="M903" s="2"/>
      <c r="N903" s="2" t="s">
        <v>14166</v>
      </c>
      <c r="O903" s="2" t="s">
        <v>14167</v>
      </c>
      <c r="P903" s="2" t="s">
        <v>14168</v>
      </c>
      <c r="Q903" s="2" t="s">
        <v>14169</v>
      </c>
      <c r="R903" s="2" t="s">
        <v>355</v>
      </c>
      <c r="S903" s="2" t="s">
        <v>2424</v>
      </c>
      <c r="T903" s="2" t="s">
        <v>11439</v>
      </c>
      <c r="U903" s="2" t="s">
        <v>7102</v>
      </c>
      <c r="V903" s="2" t="s">
        <v>1019</v>
      </c>
      <c r="W903" s="2"/>
    </row>
    <row r="904">
      <c r="A904" s="2" t="n">
        <v>649</v>
      </c>
      <c r="B904" s="2" t="s">
        <v>14170</v>
      </c>
      <c r="C904" s="2" t="s">
        <v>7114</v>
      </c>
      <c r="D904" s="2" t="n">
        <v>587.335620634</v>
      </c>
      <c r="E904" s="2" t="n">
        <v>2.83059916492359</v>
      </c>
      <c r="F904" s="2" t="s">
        <v>14171</v>
      </c>
      <c r="G904" s="2" t="n">
        <v>197077</v>
      </c>
      <c r="H904" s="3" t="str">
        <f>HYPERLINK("http://funmeta.oebiotech.com/network/197077", "http://funmeta.oebiotech.com/network/197077")</f>
      </c>
      <c r="I904" s="2" t="s">
        <v>14172</v>
      </c>
      <c r="J904" s="2"/>
      <c r="K904" s="2"/>
      <c r="L904" s="2"/>
      <c r="M904" s="2"/>
      <c r="N904" s="2"/>
      <c r="O904" s="2"/>
      <c r="P904" s="2" t="s">
        <v>14173</v>
      </c>
      <c r="Q904" s="2" t="s">
        <v>14174</v>
      </c>
      <c r="R904" s="2" t="s">
        <v>64</v>
      </c>
      <c r="S904" s="2" t="s">
        <v>65</v>
      </c>
      <c r="T904" s="2" t="s">
        <v>66</v>
      </c>
      <c r="U904" s="2" t="s">
        <v>7115</v>
      </c>
      <c r="V904" s="2" t="s">
        <v>522</v>
      </c>
      <c r="W904" s="2"/>
    </row>
    <row r="905">
      <c r="A905" s="2" t="n">
        <v>649</v>
      </c>
      <c r="B905" s="2" t="s">
        <v>14175</v>
      </c>
      <c r="C905" s="2" t="s">
        <v>7114</v>
      </c>
      <c r="D905" s="2" t="n">
        <v>587.33562064</v>
      </c>
      <c r="E905" s="2" t="n">
        <v>2.83059916492359</v>
      </c>
      <c r="F905" s="2" t="s">
        <v>14176</v>
      </c>
      <c r="G905" s="2" t="n">
        <v>60062</v>
      </c>
      <c r="H905" s="3" t="str">
        <f>HYPERLINK("http://funmeta.oebiotech.com/network/60062", "http://funmeta.oebiotech.com/network/60062")</f>
      </c>
      <c r="I905" s="2" t="s">
        <v>14177</v>
      </c>
      <c r="J905" s="2" t="s">
        <v>14178</v>
      </c>
      <c r="K905" s="2"/>
      <c r="L905" s="2"/>
      <c r="M905" s="2"/>
      <c r="N905" s="2" t="s">
        <v>14179</v>
      </c>
      <c r="O905" s="2" t="s">
        <v>14180</v>
      </c>
      <c r="P905" s="2" t="s">
        <v>14181</v>
      </c>
      <c r="Q905" s="2" t="s">
        <v>14182</v>
      </c>
      <c r="R905" s="2" t="s">
        <v>1490</v>
      </c>
      <c r="S905" s="2" t="s">
        <v>3546</v>
      </c>
      <c r="T905" s="2" t="s">
        <v>14183</v>
      </c>
      <c r="U905" s="2" t="s">
        <v>7115</v>
      </c>
      <c r="V905" s="2" t="s">
        <v>522</v>
      </c>
      <c r="W905" s="2"/>
    </row>
    <row r="906">
      <c r="A906" s="2" t="n">
        <v>650</v>
      </c>
      <c r="B906" s="2" t="s">
        <v>14184</v>
      </c>
      <c r="C906" s="2" t="s">
        <v>7127</v>
      </c>
      <c r="D906" s="2" t="n">
        <v>589.098214476</v>
      </c>
      <c r="E906" s="2" t="n">
        <v>3.90622305908056</v>
      </c>
      <c r="F906" s="2" t="s">
        <v>7129</v>
      </c>
      <c r="G906" s="2" t="n">
        <v>60099</v>
      </c>
      <c r="H906" s="3" t="str">
        <f>HYPERLINK("http://funmeta.oebiotech.com/network/60099", "http://funmeta.oebiotech.com/network/60099")</f>
      </c>
      <c r="I906" s="2" t="s">
        <v>7131</v>
      </c>
      <c r="J906" s="2" t="s">
        <v>7132</v>
      </c>
      <c r="K906" s="2"/>
      <c r="L906" s="2"/>
      <c r="M906" s="2"/>
      <c r="N906" s="2" t="s">
        <v>7133</v>
      </c>
      <c r="O906" s="2"/>
      <c r="P906" s="2" t="s">
        <v>7134</v>
      </c>
      <c r="Q906" s="2" t="s">
        <v>7135</v>
      </c>
      <c r="R906" s="2" t="s">
        <v>2509</v>
      </c>
      <c r="S906" s="2" t="s">
        <v>5520</v>
      </c>
      <c r="T906" s="2" t="s">
        <v>7136</v>
      </c>
      <c r="U906" s="2" t="s">
        <v>7128</v>
      </c>
      <c r="V906" s="2" t="s">
        <v>42</v>
      </c>
      <c r="W906" s="2"/>
    </row>
    <row r="907">
      <c r="A907" s="2" t="n">
        <v>651</v>
      </c>
      <c r="B907" s="2" t="s">
        <v>14185</v>
      </c>
      <c r="C907" s="2" t="s">
        <v>7137</v>
      </c>
      <c r="D907" s="2" t="n">
        <v>591.031332164</v>
      </c>
      <c r="E907" s="2" t="n">
        <v>6.336772208682</v>
      </c>
      <c r="F907" s="2" t="s">
        <v>7139</v>
      </c>
      <c r="G907" s="2" t="n">
        <v>53507</v>
      </c>
      <c r="H907" s="3" t="str">
        <f>HYPERLINK("http://funmeta.oebiotech.com/network/53507", "http://funmeta.oebiotech.com/network/53507")</f>
      </c>
      <c r="I907" s="2" t="s">
        <v>7141</v>
      </c>
      <c r="J907" s="2" t="s">
        <v>7142</v>
      </c>
      <c r="K907" s="2"/>
      <c r="L907" s="2"/>
      <c r="M907" s="2" t="s">
        <v>7143</v>
      </c>
      <c r="N907" s="2" t="s">
        <v>7144</v>
      </c>
      <c r="O907" s="2" t="s">
        <v>7145</v>
      </c>
      <c r="P907" s="2" t="s">
        <v>7146</v>
      </c>
      <c r="Q907" s="2" t="s">
        <v>7147</v>
      </c>
      <c r="R907" s="2" t="s">
        <v>2509</v>
      </c>
      <c r="S907" s="2" t="s">
        <v>6596</v>
      </c>
      <c r="T907" s="2" t="s">
        <v>205</v>
      </c>
      <c r="U907" s="2" t="s">
        <v>7138</v>
      </c>
      <c r="V907" s="2" t="s">
        <v>42</v>
      </c>
      <c r="W907" s="2"/>
    </row>
    <row r="908">
      <c r="A908" s="2" t="n">
        <v>652</v>
      </c>
      <c r="B908" s="2" t="s">
        <v>14186</v>
      </c>
      <c r="C908" s="2" t="s">
        <v>7148</v>
      </c>
      <c r="D908" s="2" t="n">
        <v>591.463009472</v>
      </c>
      <c r="E908" s="2" t="n">
        <v>7.53708881642419</v>
      </c>
      <c r="F908" s="2" t="s">
        <v>7150</v>
      </c>
      <c r="G908" s="2" t="n">
        <v>64038</v>
      </c>
      <c r="H908" s="3" t="str">
        <f>HYPERLINK("http://funmeta.oebiotech.com/network/64038", "http://funmeta.oebiotech.com/network/64038")</f>
      </c>
      <c r="I908" s="2" t="s">
        <v>7152</v>
      </c>
      <c r="J908" s="2" t="s">
        <v>7153</v>
      </c>
      <c r="K908" s="2"/>
      <c r="L908" s="2"/>
      <c r="M908" s="2"/>
      <c r="N908" s="2" t="s">
        <v>7154</v>
      </c>
      <c r="O908" s="2" t="s">
        <v>7155</v>
      </c>
      <c r="P908" s="2" t="s">
        <v>7156</v>
      </c>
      <c r="Q908" s="2" t="s">
        <v>7157</v>
      </c>
      <c r="R908" s="2" t="s">
        <v>1490</v>
      </c>
      <c r="S908" s="2" t="s">
        <v>1491</v>
      </c>
      <c r="T908" s="2" t="s">
        <v>6924</v>
      </c>
      <c r="U908" s="2" t="s">
        <v>7149</v>
      </c>
      <c r="V908" s="2" t="s">
        <v>24</v>
      </c>
      <c r="W908" s="2"/>
    </row>
    <row r="909">
      <c r="A909" s="2" t="n">
        <v>653</v>
      </c>
      <c r="B909" s="2" t="s">
        <v>14187</v>
      </c>
      <c r="C909" s="2" t="s">
        <v>7158</v>
      </c>
      <c r="D909" s="2" t="n">
        <v>592.217965107</v>
      </c>
      <c r="E909" s="2" t="n">
        <v>2.99648188314005</v>
      </c>
      <c r="F909" s="2" t="s">
        <v>7160</v>
      </c>
      <c r="G909" s="2" t="n">
        <v>206155</v>
      </c>
      <c r="H909" s="3" t="str">
        <f>HYPERLINK("http://funmeta.oebiotech.com/network/206155", "http://funmeta.oebiotech.com/network/206155")</f>
      </c>
      <c r="I909" s="2" t="s">
        <v>7162</v>
      </c>
      <c r="J909" s="2"/>
      <c r="K909" s="2"/>
      <c r="L909" s="2"/>
      <c r="M909" s="2"/>
      <c r="N909" s="2" t="s">
        <v>7163</v>
      </c>
      <c r="O909" s="2"/>
      <c r="P909" s="2" t="s">
        <v>7164</v>
      </c>
      <c r="Q909" s="2" t="s">
        <v>7165</v>
      </c>
      <c r="R909" s="2" t="s">
        <v>2509</v>
      </c>
      <c r="S909" s="2" t="s">
        <v>7166</v>
      </c>
      <c r="T909" s="2" t="s">
        <v>205</v>
      </c>
      <c r="U909" s="2" t="s">
        <v>7159</v>
      </c>
      <c r="V909" s="2" t="s">
        <v>522</v>
      </c>
      <c r="W909" s="2"/>
    </row>
    <row r="910">
      <c r="A910" s="2" t="n">
        <v>654</v>
      </c>
      <c r="B910" s="2" t="s">
        <v>14188</v>
      </c>
      <c r="C910" s="2" t="s">
        <v>7167</v>
      </c>
      <c r="D910" s="2" t="n">
        <v>593.070295854</v>
      </c>
      <c r="E910" s="2" t="n">
        <v>7.6915812664219</v>
      </c>
      <c r="F910" s="2" t="s">
        <v>7169</v>
      </c>
      <c r="G910" s="2" t="n">
        <v>255846</v>
      </c>
      <c r="H910" s="3" t="str">
        <f>HYPERLINK("http://funmeta.oebiotech.com/network/255846", "http://funmeta.oebiotech.com/network/255846")</f>
      </c>
      <c r="I910" s="2" t="s">
        <v>7171</v>
      </c>
      <c r="J910" s="2"/>
      <c r="K910" s="2"/>
      <c r="L910" s="2"/>
      <c r="M910" s="2"/>
      <c r="N910" s="2"/>
      <c r="O910" s="2"/>
      <c r="P910" s="2" t="s">
        <v>7172</v>
      </c>
      <c r="Q910" s="2" t="s">
        <v>7173</v>
      </c>
      <c r="R910" s="2" t="s">
        <v>7174</v>
      </c>
      <c r="S910" s="2" t="s">
        <v>205</v>
      </c>
      <c r="T910" s="2" t="s">
        <v>205</v>
      </c>
      <c r="U910" s="2" t="s">
        <v>7168</v>
      </c>
      <c r="V910" s="2" t="s">
        <v>250</v>
      </c>
      <c r="W910" s="2"/>
    </row>
    <row r="911">
      <c r="A911" s="2" t="n">
        <v>655</v>
      </c>
      <c r="B911" s="2" t="s">
        <v>14189</v>
      </c>
      <c r="C911" s="2" t="s">
        <v>7175</v>
      </c>
      <c r="D911" s="2" t="n">
        <v>595.070537034</v>
      </c>
      <c r="E911" s="2" t="n">
        <v>6.67924521190472</v>
      </c>
      <c r="F911" s="2" t="s">
        <v>7177</v>
      </c>
      <c r="G911" s="2" t="n">
        <v>62591</v>
      </c>
      <c r="H911" s="3" t="str">
        <f>HYPERLINK("http://funmeta.oebiotech.com/network/62591", "http://funmeta.oebiotech.com/network/62591")</f>
      </c>
      <c r="I911" s="2" t="s">
        <v>7179</v>
      </c>
      <c r="J911" s="2" t="s">
        <v>7180</v>
      </c>
      <c r="K911" s="2"/>
      <c r="L911" s="2"/>
      <c r="M911" s="2"/>
      <c r="N911" s="2" t="s">
        <v>7181</v>
      </c>
      <c r="O911" s="2" t="s">
        <v>7182</v>
      </c>
      <c r="P911" s="2" t="s">
        <v>7183</v>
      </c>
      <c r="Q911" s="2" t="s">
        <v>7184</v>
      </c>
      <c r="R911" s="2" t="s">
        <v>355</v>
      </c>
      <c r="S911" s="2" t="s">
        <v>5537</v>
      </c>
      <c r="T911" s="2" t="s">
        <v>5538</v>
      </c>
      <c r="U911" s="2" t="s">
        <v>7176</v>
      </c>
      <c r="V911" s="2" t="s">
        <v>360</v>
      </c>
      <c r="W911" s="2"/>
    </row>
    <row r="912">
      <c r="A912" s="2" t="n">
        <v>656</v>
      </c>
      <c r="B912" s="2" t="s">
        <v>14190</v>
      </c>
      <c r="C912" s="2" t="s">
        <v>7185</v>
      </c>
      <c r="D912" s="2" t="n">
        <v>595.288888016</v>
      </c>
      <c r="E912" s="2" t="n">
        <v>3.27496445723747</v>
      </c>
      <c r="F912" s="2" t="s">
        <v>7187</v>
      </c>
      <c r="G912" s="2" t="n">
        <v>24877</v>
      </c>
      <c r="H912" s="3" t="str">
        <f>HYPERLINK("http://funmeta.oebiotech.com/network/24877", "http://funmeta.oebiotech.com/network/24877")</f>
      </c>
      <c r="I912" s="2" t="s">
        <v>7189</v>
      </c>
      <c r="J912" s="2"/>
      <c r="K912" s="2" t="s">
        <v>7190</v>
      </c>
      <c r="L912" s="2"/>
      <c r="M912" s="2" t="s">
        <v>7191</v>
      </c>
      <c r="N912" s="2" t="s">
        <v>7192</v>
      </c>
      <c r="O912" s="2" t="s">
        <v>7193</v>
      </c>
      <c r="P912" s="2" t="s">
        <v>7194</v>
      </c>
      <c r="Q912" s="2" t="s">
        <v>7195</v>
      </c>
      <c r="R912" s="2" t="s">
        <v>1490</v>
      </c>
      <c r="S912" s="2" t="s">
        <v>4236</v>
      </c>
      <c r="T912" s="2" t="s">
        <v>4237</v>
      </c>
      <c r="U912" s="2" t="s">
        <v>7186</v>
      </c>
      <c r="V912" s="2" t="s">
        <v>110</v>
      </c>
      <c r="W912" s="2"/>
    </row>
    <row r="913">
      <c r="A913" s="2" t="n">
        <v>657</v>
      </c>
      <c r="B913" s="2" t="s">
        <v>14191</v>
      </c>
      <c r="C913" s="2" t="s">
        <v>7196</v>
      </c>
      <c r="D913" s="2" t="n">
        <v>596.277910173</v>
      </c>
      <c r="E913" s="2" t="n">
        <v>2.11647103616932</v>
      </c>
      <c r="F913" s="2" t="s">
        <v>7198</v>
      </c>
      <c r="G913" s="2" t="n">
        <v>53545</v>
      </c>
      <c r="H913" s="3" t="str">
        <f>HYPERLINK("http://funmeta.oebiotech.com/network/53545", "http://funmeta.oebiotech.com/network/53545")</f>
      </c>
      <c r="I913" s="2" t="s">
        <v>7200</v>
      </c>
      <c r="J913" s="2" t="s">
        <v>7201</v>
      </c>
      <c r="K913" s="2"/>
      <c r="L913" s="2" t="s">
        <v>7202</v>
      </c>
      <c r="M913" s="2" t="s">
        <v>7203</v>
      </c>
      <c r="N913" s="2" t="s">
        <v>7204</v>
      </c>
      <c r="O913" s="2" t="s">
        <v>7205</v>
      </c>
      <c r="P913" s="2" t="s">
        <v>7206</v>
      </c>
      <c r="Q913" s="2" t="s">
        <v>7207</v>
      </c>
      <c r="R913" s="2" t="s">
        <v>64</v>
      </c>
      <c r="S913" s="2" t="s">
        <v>65</v>
      </c>
      <c r="T913" s="2" t="s">
        <v>66</v>
      </c>
      <c r="U913" s="2" t="s">
        <v>7197</v>
      </c>
      <c r="V913" s="2" t="s">
        <v>42</v>
      </c>
      <c r="W913" s="2" t="s">
        <v>39</v>
      </c>
    </row>
    <row r="914">
      <c r="A914" s="2" t="n">
        <v>658</v>
      </c>
      <c r="B914" s="2" t="s">
        <v>14192</v>
      </c>
      <c r="C914" s="2" t="s">
        <v>7208</v>
      </c>
      <c r="D914" s="2" t="n">
        <v>597.068581756</v>
      </c>
      <c r="E914" s="2" t="n">
        <v>7.7594702580016</v>
      </c>
      <c r="F914" s="2" t="s">
        <v>7210</v>
      </c>
      <c r="G914" s="2" t="n">
        <v>209967</v>
      </c>
      <c r="H914" s="3" t="str">
        <f>HYPERLINK("http://funmeta.oebiotech.com/network/209967", "http://funmeta.oebiotech.com/network/209967")</f>
      </c>
      <c r="I914" s="2" t="s">
        <v>7212</v>
      </c>
      <c r="J914" s="2"/>
      <c r="K914" s="2"/>
      <c r="L914" s="2"/>
      <c r="M914" s="2"/>
      <c r="N914" s="2"/>
      <c r="O914" s="2"/>
      <c r="P914" s="2" t="s">
        <v>7213</v>
      </c>
      <c r="Q914" s="2" t="s">
        <v>7214</v>
      </c>
      <c r="R914" s="2" t="s">
        <v>1490</v>
      </c>
      <c r="S914" s="2" t="s">
        <v>4971</v>
      </c>
      <c r="T914" s="2" t="s">
        <v>5010</v>
      </c>
      <c r="U914" s="2" t="s">
        <v>7209</v>
      </c>
      <c r="V914" s="2" t="s">
        <v>250</v>
      </c>
      <c r="W914" s="2"/>
    </row>
    <row r="915">
      <c r="A915" s="2" t="n">
        <v>659</v>
      </c>
      <c r="B915" s="2" t="s">
        <v>14193</v>
      </c>
      <c r="C915" s="2" t="s">
        <v>7215</v>
      </c>
      <c r="D915" s="2" t="n">
        <v>597.296155862</v>
      </c>
      <c r="E915" s="2" t="n">
        <v>1.12691803047007</v>
      </c>
      <c r="F915" s="2" t="s">
        <v>7217</v>
      </c>
      <c r="G915" s="2" t="n">
        <v>212170</v>
      </c>
      <c r="H915" s="3" t="str">
        <f>HYPERLINK("http://funmeta.oebiotech.com/network/212170", "http://funmeta.oebiotech.com/network/212170")</f>
      </c>
      <c r="I915" s="2" t="s">
        <v>7219</v>
      </c>
      <c r="J915" s="2" t="s">
        <v>7220</v>
      </c>
      <c r="K915" s="2"/>
      <c r="L915" s="2"/>
      <c r="M915" s="2" t="s">
        <v>7221</v>
      </c>
      <c r="N915" s="2" t="s">
        <v>7222</v>
      </c>
      <c r="O915" s="2"/>
      <c r="P915" s="2" t="s">
        <v>7223</v>
      </c>
      <c r="Q915" s="2" t="s">
        <v>7224</v>
      </c>
      <c r="R915" s="2" t="s">
        <v>355</v>
      </c>
      <c r="S915" s="2" t="s">
        <v>5131</v>
      </c>
      <c r="T915" s="2" t="s">
        <v>5132</v>
      </c>
      <c r="U915" s="2" t="s">
        <v>7216</v>
      </c>
      <c r="V915" s="2" t="s">
        <v>522</v>
      </c>
      <c r="W915" s="2"/>
    </row>
    <row r="916">
      <c r="A916" s="2" t="n">
        <v>660</v>
      </c>
      <c r="B916" s="2" t="s">
        <v>14194</v>
      </c>
      <c r="C916" s="2" t="s">
        <v>7225</v>
      </c>
      <c r="D916" s="2" t="n">
        <v>597.351836309</v>
      </c>
      <c r="E916" s="2" t="n">
        <v>2.60929938519921</v>
      </c>
      <c r="F916" s="2" t="s">
        <v>7227</v>
      </c>
      <c r="G916" s="2" t="n">
        <v>207161</v>
      </c>
      <c r="H916" s="3" t="str">
        <f>HYPERLINK("http://funmeta.oebiotech.com/network/207161", "http://funmeta.oebiotech.com/network/207161")</f>
      </c>
      <c r="I916" s="2" t="s">
        <v>7229</v>
      </c>
      <c r="J916" s="2"/>
      <c r="K916" s="2"/>
      <c r="L916" s="2"/>
      <c r="M916" s="2" t="s">
        <v>7230</v>
      </c>
      <c r="N916" s="2"/>
      <c r="O916" s="2"/>
      <c r="P916" s="2" t="s">
        <v>7231</v>
      </c>
      <c r="Q916" s="2" t="s">
        <v>7232</v>
      </c>
      <c r="R916" s="2" t="s">
        <v>355</v>
      </c>
      <c r="S916" s="2" t="s">
        <v>1580</v>
      </c>
      <c r="T916" s="2" t="s">
        <v>4820</v>
      </c>
      <c r="U916" s="2" t="s">
        <v>7226</v>
      </c>
      <c r="V916" s="2" t="s">
        <v>24</v>
      </c>
      <c r="W916" s="2"/>
    </row>
    <row r="917">
      <c r="A917" s="2" t="n">
        <v>661</v>
      </c>
      <c r="B917" s="2" t="s">
        <v>14195</v>
      </c>
      <c r="C917" s="2" t="s">
        <v>7233</v>
      </c>
      <c r="D917" s="2" t="n">
        <v>597.39091147</v>
      </c>
      <c r="E917" s="2" t="n">
        <v>2.01011732757154</v>
      </c>
      <c r="F917" s="2" t="s">
        <v>7235</v>
      </c>
      <c r="G917" s="2" t="n">
        <v>61938</v>
      </c>
      <c r="H917" s="3" t="str">
        <f>HYPERLINK("http://funmeta.oebiotech.com/network/61938", "http://funmeta.oebiotech.com/network/61938")</f>
      </c>
      <c r="I917" s="2" t="s">
        <v>7237</v>
      </c>
      <c r="J917" s="2" t="s">
        <v>7238</v>
      </c>
      <c r="K917" s="2"/>
      <c r="L917" s="2"/>
      <c r="M917" s="2" t="s">
        <v>7239</v>
      </c>
      <c r="N917" s="2" t="s">
        <v>7240</v>
      </c>
      <c r="O917" s="2" t="s">
        <v>7241</v>
      </c>
      <c r="P917" s="2" t="s">
        <v>7242</v>
      </c>
      <c r="Q917" s="2" t="s">
        <v>7243</v>
      </c>
      <c r="R917" s="2" t="s">
        <v>355</v>
      </c>
      <c r="S917" s="2" t="s">
        <v>5537</v>
      </c>
      <c r="T917" s="2" t="s">
        <v>5538</v>
      </c>
      <c r="U917" s="2" t="s">
        <v>7234</v>
      </c>
      <c r="V917" s="2" t="s">
        <v>110</v>
      </c>
      <c r="W917" s="2"/>
    </row>
    <row r="918">
      <c r="A918" s="2" t="n">
        <v>662</v>
      </c>
      <c r="B918" s="2" t="s">
        <v>14196</v>
      </c>
      <c r="C918" s="2" t="s">
        <v>7244</v>
      </c>
      <c r="D918" s="2" t="n">
        <v>598.28017144</v>
      </c>
      <c r="E918" s="2" t="n">
        <v>2.32043460920289</v>
      </c>
      <c r="F918" s="2" t="s">
        <v>7246</v>
      </c>
      <c r="G918" s="2" t="n">
        <v>205944</v>
      </c>
      <c r="H918" s="3" t="str">
        <f>HYPERLINK("http://funmeta.oebiotech.com/network/205944", "http://funmeta.oebiotech.com/network/205944")</f>
      </c>
      <c r="I918" s="2" t="s">
        <v>7248</v>
      </c>
      <c r="J918" s="2"/>
      <c r="K918" s="2"/>
      <c r="L918" s="2"/>
      <c r="M918" s="2"/>
      <c r="N918" s="2" t="s">
        <v>7249</v>
      </c>
      <c r="O918" s="2"/>
      <c r="P918" s="2" t="s">
        <v>7250</v>
      </c>
      <c r="Q918" s="2" t="s">
        <v>7251</v>
      </c>
      <c r="R918" s="2" t="s">
        <v>4189</v>
      </c>
      <c r="S918" s="2" t="s">
        <v>7252</v>
      </c>
      <c r="T918" s="2" t="s">
        <v>7253</v>
      </c>
      <c r="U918" s="2" t="s">
        <v>7245</v>
      </c>
      <c r="V918" s="2" t="s">
        <v>522</v>
      </c>
      <c r="W918" s="2"/>
    </row>
    <row r="919">
      <c r="A919" s="2" t="n">
        <v>663</v>
      </c>
      <c r="B919" s="2" t="s">
        <v>14197</v>
      </c>
      <c r="C919" s="2" t="s">
        <v>7254</v>
      </c>
      <c r="D919" s="2" t="n">
        <v>600.0533148</v>
      </c>
      <c r="E919" s="2" t="n">
        <v>5.85714841886198</v>
      </c>
      <c r="F919" s="2" t="s">
        <v>7256</v>
      </c>
      <c r="G919" s="2" t="n">
        <v>206896</v>
      </c>
      <c r="H919" s="3" t="str">
        <f>HYPERLINK("http://funmeta.oebiotech.com/network/206896", "http://funmeta.oebiotech.com/network/206896")</f>
      </c>
      <c r="I919" s="2" t="s">
        <v>7258</v>
      </c>
      <c r="J919" s="2"/>
      <c r="K919" s="2"/>
      <c r="L919" s="2"/>
      <c r="M919" s="2"/>
      <c r="N919" s="2" t="s">
        <v>7259</v>
      </c>
      <c r="O919" s="2"/>
      <c r="P919" s="2" t="s">
        <v>7260</v>
      </c>
      <c r="Q919" s="2" t="s">
        <v>7261</v>
      </c>
      <c r="R919" s="2" t="s">
        <v>502</v>
      </c>
      <c r="S919" s="2" t="s">
        <v>503</v>
      </c>
      <c r="T919" s="2" t="s">
        <v>2174</v>
      </c>
      <c r="U919" s="2" t="s">
        <v>7255</v>
      </c>
      <c r="V919" s="2" t="s">
        <v>24</v>
      </c>
      <c r="W919" s="2"/>
    </row>
    <row r="920">
      <c r="A920" s="2" t="n">
        <v>664</v>
      </c>
      <c r="B920" s="2" t="s">
        <v>14198</v>
      </c>
      <c r="C920" s="2" t="s">
        <v>7262</v>
      </c>
      <c r="D920" s="2" t="n">
        <v>601.13289611</v>
      </c>
      <c r="E920" s="2" t="n">
        <v>0.689070277651472</v>
      </c>
      <c r="F920" s="2" t="s">
        <v>7264</v>
      </c>
      <c r="G920" s="2" t="n">
        <v>59604</v>
      </c>
      <c r="H920" s="3" t="str">
        <f>HYPERLINK("http://funmeta.oebiotech.com/network/59604", "http://funmeta.oebiotech.com/network/59604")</f>
      </c>
      <c r="I920" s="2" t="s">
        <v>7266</v>
      </c>
      <c r="J920" s="2"/>
      <c r="K920" s="2"/>
      <c r="L920" s="2"/>
      <c r="M920" s="2"/>
      <c r="N920" s="2" t="s">
        <v>7267</v>
      </c>
      <c r="O920" s="2" t="s">
        <v>7268</v>
      </c>
      <c r="P920" s="2" t="s">
        <v>7269</v>
      </c>
      <c r="Q920" s="2" t="s">
        <v>7270</v>
      </c>
      <c r="R920" s="2" t="s">
        <v>64</v>
      </c>
      <c r="S920" s="2" t="s">
        <v>65</v>
      </c>
      <c r="T920" s="2" t="s">
        <v>66</v>
      </c>
      <c r="U920" s="2" t="s">
        <v>7263</v>
      </c>
      <c r="V920" s="2" t="s">
        <v>250</v>
      </c>
      <c r="W920" s="2"/>
    </row>
    <row r="921">
      <c r="A921" s="2" t="n">
        <v>665</v>
      </c>
      <c r="B921" s="2" t="s">
        <v>14199</v>
      </c>
      <c r="C921" s="2" t="s">
        <v>7271</v>
      </c>
      <c r="D921" s="2" t="n">
        <v>601.410427896</v>
      </c>
      <c r="E921" s="2" t="n">
        <v>0.299302751566594</v>
      </c>
      <c r="F921" s="2" t="s">
        <v>14200</v>
      </c>
      <c r="G921" s="2" t="n">
        <v>60193</v>
      </c>
      <c r="H921" s="3" t="str">
        <f>HYPERLINK("http://funmeta.oebiotech.com/network/60193", "http://funmeta.oebiotech.com/network/60193")</f>
      </c>
      <c r="I921" s="2" t="s">
        <v>14201</v>
      </c>
      <c r="J921" s="2"/>
      <c r="K921" s="2"/>
      <c r="L921" s="2"/>
      <c r="M921" s="2"/>
      <c r="N921" s="2" t="s">
        <v>14202</v>
      </c>
      <c r="O921" s="2" t="s">
        <v>14203</v>
      </c>
      <c r="P921" s="2" t="s">
        <v>14204</v>
      </c>
      <c r="Q921" s="2" t="s">
        <v>14205</v>
      </c>
      <c r="R921" s="2" t="s">
        <v>1490</v>
      </c>
      <c r="S921" s="2" t="s">
        <v>4971</v>
      </c>
      <c r="T921" s="2" t="s">
        <v>7445</v>
      </c>
      <c r="U921" s="2" t="s">
        <v>7272</v>
      </c>
      <c r="V921" s="2" t="s">
        <v>42</v>
      </c>
      <c r="W921" s="2"/>
    </row>
    <row r="922">
      <c r="A922" s="2" t="n">
        <v>665</v>
      </c>
      <c r="B922" s="2" t="s">
        <v>14206</v>
      </c>
      <c r="C922" s="2" t="s">
        <v>7271</v>
      </c>
      <c r="D922" s="2" t="n">
        <v>601.410427896</v>
      </c>
      <c r="E922" s="2" t="n">
        <v>0.299302751566594</v>
      </c>
      <c r="F922" s="2" t="s">
        <v>14207</v>
      </c>
      <c r="G922" s="2" t="n">
        <v>60683</v>
      </c>
      <c r="H922" s="3" t="str">
        <f>HYPERLINK("http://funmeta.oebiotech.com/network/60683", "http://funmeta.oebiotech.com/network/60683")</f>
      </c>
      <c r="I922" s="2" t="s">
        <v>14208</v>
      </c>
      <c r="J922" s="2" t="s">
        <v>14209</v>
      </c>
      <c r="K922" s="2"/>
      <c r="L922" s="2"/>
      <c r="M922" s="2"/>
      <c r="N922" s="2" t="s">
        <v>14210</v>
      </c>
      <c r="O922" s="2"/>
      <c r="P922" s="2" t="s">
        <v>14211</v>
      </c>
      <c r="Q922" s="2" t="s">
        <v>14212</v>
      </c>
      <c r="R922" s="2" t="s">
        <v>1490</v>
      </c>
      <c r="S922" s="2" t="s">
        <v>3546</v>
      </c>
      <c r="T922" s="2" t="s">
        <v>14213</v>
      </c>
      <c r="U922" s="2" t="s">
        <v>7272</v>
      </c>
      <c r="V922" s="2" t="s">
        <v>42</v>
      </c>
      <c r="W922" s="2"/>
    </row>
    <row r="923">
      <c r="A923" s="2" t="n">
        <v>665</v>
      </c>
      <c r="B923" s="2" t="s">
        <v>14214</v>
      </c>
      <c r="C923" s="2" t="s">
        <v>7271</v>
      </c>
      <c r="D923" s="2" t="n">
        <v>601.410427896</v>
      </c>
      <c r="E923" s="2" t="n">
        <v>0.299302751566594</v>
      </c>
      <c r="F923" s="2" t="s">
        <v>14215</v>
      </c>
      <c r="G923" s="2" t="n">
        <v>62794</v>
      </c>
      <c r="H923" s="3" t="str">
        <f>HYPERLINK("http://funmeta.oebiotech.com/network/62794", "http://funmeta.oebiotech.com/network/62794")</f>
      </c>
      <c r="I923" s="2" t="s">
        <v>14216</v>
      </c>
      <c r="J923" s="2" t="s">
        <v>14217</v>
      </c>
      <c r="K923" s="2"/>
      <c r="L923" s="2"/>
      <c r="M923" s="2" t="s">
        <v>14218</v>
      </c>
      <c r="N923" s="2" t="s">
        <v>14219</v>
      </c>
      <c r="O923" s="2" t="s">
        <v>14220</v>
      </c>
      <c r="P923" s="2" t="s">
        <v>14221</v>
      </c>
      <c r="Q923" s="2" t="s">
        <v>14222</v>
      </c>
      <c r="R923" s="2" t="s">
        <v>1490</v>
      </c>
      <c r="S923" s="2" t="s">
        <v>4971</v>
      </c>
      <c r="T923" s="2" t="s">
        <v>5010</v>
      </c>
      <c r="U923" s="2" t="s">
        <v>7272</v>
      </c>
      <c r="V923" s="2" t="s">
        <v>42</v>
      </c>
      <c r="W923" s="2"/>
    </row>
    <row r="924">
      <c r="A924" s="2" t="n">
        <v>666</v>
      </c>
      <c r="B924" s="2" t="s">
        <v>14223</v>
      </c>
      <c r="C924" s="2" t="s">
        <v>7284</v>
      </c>
      <c r="D924" s="2" t="n">
        <v>603.002256208</v>
      </c>
      <c r="E924" s="2" t="n">
        <v>1.22872682737744</v>
      </c>
      <c r="F924" s="2" t="s">
        <v>14224</v>
      </c>
      <c r="G924" s="2" t="n">
        <v>82505</v>
      </c>
      <c r="H924" s="3" t="str">
        <f>HYPERLINK("http://funmeta.oebiotech.com/network/82505", "http://funmeta.oebiotech.com/network/82505")</f>
      </c>
      <c r="I924" s="2" t="s">
        <v>14225</v>
      </c>
      <c r="J924" s="2"/>
      <c r="K924" s="2"/>
      <c r="L924" s="2"/>
      <c r="M924" s="2"/>
      <c r="N924" s="2" t="s">
        <v>14226</v>
      </c>
      <c r="O924" s="2"/>
      <c r="P924" s="2" t="s">
        <v>14227</v>
      </c>
      <c r="Q924" s="2" t="s">
        <v>14228</v>
      </c>
      <c r="R924" s="2" t="s">
        <v>1490</v>
      </c>
      <c r="S924" s="2" t="s">
        <v>1491</v>
      </c>
      <c r="T924" s="2" t="s">
        <v>1492</v>
      </c>
      <c r="U924" s="2" t="s">
        <v>7285</v>
      </c>
      <c r="V924" s="2" t="s">
        <v>1019</v>
      </c>
      <c r="W924" s="2"/>
    </row>
    <row r="925">
      <c r="A925" s="2" t="n">
        <v>666</v>
      </c>
      <c r="B925" s="2" t="s">
        <v>14229</v>
      </c>
      <c r="C925" s="2" t="s">
        <v>7284</v>
      </c>
      <c r="D925" s="2" t="n">
        <v>603.002259098</v>
      </c>
      <c r="E925" s="2" t="n">
        <v>1.22872682737744</v>
      </c>
      <c r="F925" s="2" t="s">
        <v>14230</v>
      </c>
      <c r="G925" s="2" t="n">
        <v>209793</v>
      </c>
      <c r="H925" s="3" t="str">
        <f>HYPERLINK("http://funmeta.oebiotech.com/network/209793", "http://funmeta.oebiotech.com/network/209793")</f>
      </c>
      <c r="I925" s="2" t="s">
        <v>14231</v>
      </c>
      <c r="J925" s="2"/>
      <c r="K925" s="2"/>
      <c r="L925" s="2"/>
      <c r="M925" s="2"/>
      <c r="N925" s="2"/>
      <c r="O925" s="2"/>
      <c r="P925" s="2" t="s">
        <v>14232</v>
      </c>
      <c r="Q925" s="2" t="s">
        <v>14233</v>
      </c>
      <c r="R925" s="2" t="s">
        <v>1490</v>
      </c>
      <c r="S925" s="2" t="s">
        <v>1491</v>
      </c>
      <c r="T925" s="2" t="s">
        <v>3884</v>
      </c>
      <c r="U925" s="2" t="s">
        <v>7285</v>
      </c>
      <c r="V925" s="2" t="s">
        <v>1019</v>
      </c>
      <c r="W925" s="2"/>
    </row>
    <row r="926">
      <c r="A926" s="2" t="n">
        <v>667</v>
      </c>
      <c r="B926" s="2" t="s">
        <v>14234</v>
      </c>
      <c r="C926" s="2" t="s">
        <v>7292</v>
      </c>
      <c r="D926" s="2" t="n">
        <v>603.075775162</v>
      </c>
      <c r="E926" s="2" t="n">
        <v>4.13267310088178</v>
      </c>
      <c r="F926" s="2" t="s">
        <v>7294</v>
      </c>
      <c r="G926" s="2" t="n">
        <v>255713</v>
      </c>
      <c r="H926" s="3" t="str">
        <f>HYPERLINK("http://funmeta.oebiotech.com/network/255713", "http://funmeta.oebiotech.com/network/255713")</f>
      </c>
      <c r="I926" s="2" t="s">
        <v>7296</v>
      </c>
      <c r="J926" s="2"/>
      <c r="K926" s="2"/>
      <c r="L926" s="2"/>
      <c r="M926" s="2"/>
      <c r="N926" s="2"/>
      <c r="O926" s="2"/>
      <c r="P926" s="2" t="s">
        <v>7297</v>
      </c>
      <c r="Q926" s="2" t="s">
        <v>7298</v>
      </c>
      <c r="R926" s="2" t="s">
        <v>2509</v>
      </c>
      <c r="S926" s="2" t="s">
        <v>5520</v>
      </c>
      <c r="T926" s="2" t="s">
        <v>5664</v>
      </c>
      <c r="U926" s="2" t="s">
        <v>7293</v>
      </c>
      <c r="V926" s="2" t="s">
        <v>250</v>
      </c>
      <c r="W926" s="2"/>
    </row>
    <row r="927">
      <c r="A927" s="2" t="n">
        <v>668</v>
      </c>
      <c r="B927" s="2" t="s">
        <v>14235</v>
      </c>
      <c r="C927" s="2" t="s">
        <v>7299</v>
      </c>
      <c r="D927" s="2" t="n">
        <v>603.36685921</v>
      </c>
      <c r="E927" s="2" t="n">
        <v>0.956995917249557</v>
      </c>
      <c r="F927" s="2" t="s">
        <v>7301</v>
      </c>
      <c r="G927" s="2" t="n">
        <v>57578</v>
      </c>
      <c r="H927" s="3" t="str">
        <f>HYPERLINK("http://funmeta.oebiotech.com/network/57578", "http://funmeta.oebiotech.com/network/57578")</f>
      </c>
      <c r="I927" s="2" t="s">
        <v>7303</v>
      </c>
      <c r="J927" s="2" t="s">
        <v>7304</v>
      </c>
      <c r="K927" s="2"/>
      <c r="L927" s="2"/>
      <c r="M927" s="2" t="s">
        <v>7305</v>
      </c>
      <c r="N927" s="2" t="s">
        <v>7306</v>
      </c>
      <c r="O927" s="2" t="s">
        <v>7307</v>
      </c>
      <c r="P927" s="2" t="s">
        <v>7308</v>
      </c>
      <c r="Q927" s="2" t="s">
        <v>7309</v>
      </c>
      <c r="R927" s="2" t="s">
        <v>1490</v>
      </c>
      <c r="S927" s="2" t="s">
        <v>4971</v>
      </c>
      <c r="T927" s="2" t="s">
        <v>7310</v>
      </c>
      <c r="U927" s="2" t="s">
        <v>7300</v>
      </c>
      <c r="V927" s="2" t="s">
        <v>250</v>
      </c>
      <c r="W927" s="2"/>
    </row>
    <row r="928">
      <c r="A928" s="2" t="n">
        <v>669</v>
      </c>
      <c r="B928" s="2" t="s">
        <v>14236</v>
      </c>
      <c r="C928" s="2" t="s">
        <v>7311</v>
      </c>
      <c r="D928" s="2" t="n">
        <v>603.426623966</v>
      </c>
      <c r="E928" s="2" t="n">
        <v>1.17419915228611</v>
      </c>
      <c r="F928" s="2" t="s">
        <v>7313</v>
      </c>
      <c r="G928" s="2" t="n">
        <v>48995</v>
      </c>
      <c r="H928" s="3" t="str">
        <f>HYPERLINK("http://funmeta.oebiotech.com/network/48995", "http://funmeta.oebiotech.com/network/48995")</f>
      </c>
      <c r="I928" s="2" t="s">
        <v>7315</v>
      </c>
      <c r="J928" s="2" t="s">
        <v>7316</v>
      </c>
      <c r="K928" s="2"/>
      <c r="L928" s="2"/>
      <c r="M928" s="2"/>
      <c r="N928" s="2" t="s">
        <v>7317</v>
      </c>
      <c r="O928" s="2"/>
      <c r="P928" s="2" t="s">
        <v>7318</v>
      </c>
      <c r="Q928" s="2" t="s">
        <v>7319</v>
      </c>
      <c r="R928" s="2" t="s">
        <v>1490</v>
      </c>
      <c r="S928" s="2" t="s">
        <v>1491</v>
      </c>
      <c r="T928" s="2" t="s">
        <v>3437</v>
      </c>
      <c r="U928" s="2" t="s">
        <v>7312</v>
      </c>
      <c r="V928" s="2" t="s">
        <v>24</v>
      </c>
      <c r="W928" s="2"/>
    </row>
    <row r="929">
      <c r="A929" s="2" t="n">
        <v>670</v>
      </c>
      <c r="B929" s="2" t="s">
        <v>14237</v>
      </c>
      <c r="C929" s="2" t="s">
        <v>7320</v>
      </c>
      <c r="D929" s="2" t="n">
        <v>604.106506125</v>
      </c>
      <c r="E929" s="2" t="n">
        <v>5.53510676616736</v>
      </c>
      <c r="F929" s="2" t="s">
        <v>7322</v>
      </c>
      <c r="G929" s="2" t="n">
        <v>203219</v>
      </c>
      <c r="H929" s="3" t="str">
        <f>HYPERLINK("http://funmeta.oebiotech.com/network/203219", "http://funmeta.oebiotech.com/network/203219")</f>
      </c>
      <c r="I929" s="2" t="s">
        <v>7324</v>
      </c>
      <c r="J929" s="2"/>
      <c r="K929" s="2"/>
      <c r="L929" s="2"/>
      <c r="M929" s="2"/>
      <c r="N929" s="2" t="s">
        <v>7325</v>
      </c>
      <c r="O929" s="2"/>
      <c r="P929" s="2" t="s">
        <v>7326</v>
      </c>
      <c r="Q929" s="2" t="s">
        <v>7327</v>
      </c>
      <c r="R929" s="2" t="s">
        <v>355</v>
      </c>
      <c r="S929" s="2" t="s">
        <v>1396</v>
      </c>
      <c r="T929" s="2" t="s">
        <v>7328</v>
      </c>
      <c r="U929" s="2" t="s">
        <v>7321</v>
      </c>
      <c r="V929" s="2" t="s">
        <v>24</v>
      </c>
      <c r="W929" s="2"/>
    </row>
    <row r="930">
      <c r="A930" s="2" t="n">
        <v>671</v>
      </c>
      <c r="B930" s="2" t="s">
        <v>14238</v>
      </c>
      <c r="C930" s="2" t="s">
        <v>7329</v>
      </c>
      <c r="D930" s="2" t="n">
        <v>605.439592992</v>
      </c>
      <c r="E930" s="2" t="n">
        <v>2.55818464058547</v>
      </c>
      <c r="F930" s="2" t="s">
        <v>7331</v>
      </c>
      <c r="G930" s="2" t="n">
        <v>212189</v>
      </c>
      <c r="H930" s="3" t="str">
        <f>HYPERLINK("http://funmeta.oebiotech.com/network/212189", "http://funmeta.oebiotech.com/network/212189")</f>
      </c>
      <c r="I930" s="2" t="s">
        <v>7333</v>
      </c>
      <c r="J930" s="2"/>
      <c r="K930" s="2"/>
      <c r="L930" s="2"/>
      <c r="M930" s="2"/>
      <c r="N930" s="2" t="s">
        <v>7334</v>
      </c>
      <c r="O930" s="2"/>
      <c r="P930" s="2" t="s">
        <v>7335</v>
      </c>
      <c r="Q930" s="2" t="s">
        <v>7336</v>
      </c>
      <c r="R930" s="2" t="s">
        <v>49</v>
      </c>
      <c r="S930" s="2" t="s">
        <v>6532</v>
      </c>
      <c r="T930" s="2" t="s">
        <v>6533</v>
      </c>
      <c r="U930" s="2" t="s">
        <v>7330</v>
      </c>
      <c r="V930" s="2" t="s">
        <v>110</v>
      </c>
      <c r="W930" s="2"/>
    </row>
    <row r="931">
      <c r="A931" s="2" t="n">
        <v>672</v>
      </c>
      <c r="B931" s="2" t="s">
        <v>14239</v>
      </c>
      <c r="C931" s="2" t="s">
        <v>7337</v>
      </c>
      <c r="D931" s="2" t="n">
        <v>607.122392982</v>
      </c>
      <c r="E931" s="2" t="n">
        <v>5.29535243926526</v>
      </c>
      <c r="F931" s="2" t="s">
        <v>7339</v>
      </c>
      <c r="G931" s="2" t="n">
        <v>58684</v>
      </c>
      <c r="H931" s="3" t="str">
        <f>HYPERLINK("http://funmeta.oebiotech.com/network/58684", "http://funmeta.oebiotech.com/network/58684")</f>
      </c>
      <c r="I931" s="2" t="s">
        <v>7341</v>
      </c>
      <c r="J931" s="2" t="s">
        <v>7342</v>
      </c>
      <c r="K931" s="2"/>
      <c r="L931" s="2"/>
      <c r="M931" s="2"/>
      <c r="N931" s="2" t="s">
        <v>7343</v>
      </c>
      <c r="O931" s="2"/>
      <c r="P931" s="2" t="s">
        <v>7344</v>
      </c>
      <c r="Q931" s="2" t="s">
        <v>7345</v>
      </c>
      <c r="R931" s="2" t="s">
        <v>2509</v>
      </c>
      <c r="S931" s="2" t="s">
        <v>4720</v>
      </c>
      <c r="T931" s="2" t="s">
        <v>7346</v>
      </c>
      <c r="U931" s="2" t="s">
        <v>7338</v>
      </c>
      <c r="V931" s="2" t="s">
        <v>522</v>
      </c>
      <c r="W931" s="2"/>
    </row>
    <row r="932">
      <c r="A932" s="2" t="n">
        <v>673</v>
      </c>
      <c r="B932" s="2" t="s">
        <v>14240</v>
      </c>
      <c r="C932" s="2" t="s">
        <v>7347</v>
      </c>
      <c r="D932" s="2" t="n">
        <v>607.421538588</v>
      </c>
      <c r="E932" s="2" t="n">
        <v>3.04122948505057</v>
      </c>
      <c r="F932" s="2" t="s">
        <v>7349</v>
      </c>
      <c r="G932" s="2" t="n">
        <v>256653</v>
      </c>
      <c r="H932" s="3" t="str">
        <f>HYPERLINK("http://funmeta.oebiotech.com/network/256653", "http://funmeta.oebiotech.com/network/256653")</f>
      </c>
      <c r="I932" s="2" t="s">
        <v>7351</v>
      </c>
      <c r="J932" s="2"/>
      <c r="K932" s="2"/>
      <c r="L932" s="2"/>
      <c r="M932" s="2"/>
      <c r="N932" s="2" t="s">
        <v>7352</v>
      </c>
      <c r="O932" s="2"/>
      <c r="P932" s="2" t="s">
        <v>7353</v>
      </c>
      <c r="Q932" s="2" t="s">
        <v>7354</v>
      </c>
      <c r="R932" s="2" t="s">
        <v>1490</v>
      </c>
      <c r="S932" s="2" t="s">
        <v>3546</v>
      </c>
      <c r="T932" s="2" t="s">
        <v>7355</v>
      </c>
      <c r="U932" s="2" t="s">
        <v>7348</v>
      </c>
      <c r="V932" s="2" t="s">
        <v>24</v>
      </c>
      <c r="W932" s="2"/>
    </row>
    <row r="933">
      <c r="A933" s="2" t="n">
        <v>674</v>
      </c>
      <c r="B933" s="2" t="s">
        <v>14241</v>
      </c>
      <c r="C933" s="2" t="s">
        <v>7356</v>
      </c>
      <c r="D933" s="2" t="n">
        <v>608.110084731</v>
      </c>
      <c r="E933" s="2" t="n">
        <v>4.66806711369287</v>
      </c>
      <c r="F933" s="2" t="s">
        <v>7358</v>
      </c>
      <c r="G933" s="2" t="n">
        <v>48260</v>
      </c>
      <c r="H933" s="3" t="str">
        <f>HYPERLINK("http://funmeta.oebiotech.com/network/48260", "http://funmeta.oebiotech.com/network/48260")</f>
      </c>
      <c r="I933" s="2" t="s">
        <v>7360</v>
      </c>
      <c r="J933" s="2"/>
      <c r="K933" s="2"/>
      <c r="L933" s="2" t="s">
        <v>7361</v>
      </c>
      <c r="M933" s="2"/>
      <c r="N933" s="2" t="s">
        <v>7362</v>
      </c>
      <c r="O933" s="2" t="s">
        <v>7363</v>
      </c>
      <c r="P933" s="2" t="s">
        <v>7364</v>
      </c>
      <c r="Q933" s="2" t="s">
        <v>7365</v>
      </c>
      <c r="R933" s="2" t="s">
        <v>2590</v>
      </c>
      <c r="S933" s="2" t="s">
        <v>6120</v>
      </c>
      <c r="T933" s="2" t="s">
        <v>7366</v>
      </c>
      <c r="U933" s="2" t="s">
        <v>7357</v>
      </c>
      <c r="V933" s="2" t="s">
        <v>522</v>
      </c>
      <c r="W933" s="2" t="s">
        <v>39</v>
      </c>
    </row>
    <row r="934">
      <c r="A934" s="2" t="n">
        <v>675</v>
      </c>
      <c r="B934" s="2" t="s">
        <v>14242</v>
      </c>
      <c r="C934" s="2" t="s">
        <v>7367</v>
      </c>
      <c r="D934" s="2" t="n">
        <v>609.392248874</v>
      </c>
      <c r="E934" s="2" t="n">
        <v>1.83408447008319</v>
      </c>
      <c r="F934" s="2" t="s">
        <v>7369</v>
      </c>
      <c r="G934" s="2" t="n">
        <v>213258</v>
      </c>
      <c r="H934" s="3" t="str">
        <f>HYPERLINK("http://funmeta.oebiotech.com/network/213258", "http://funmeta.oebiotech.com/network/213258")</f>
      </c>
      <c r="I934" s="2" t="s">
        <v>7371</v>
      </c>
      <c r="J934" s="2"/>
      <c r="K934" s="2"/>
      <c r="L934" s="2"/>
      <c r="M934" s="2"/>
      <c r="N934" s="2" t="s">
        <v>7372</v>
      </c>
      <c r="O934" s="2"/>
      <c r="P934" s="2" t="s">
        <v>7373</v>
      </c>
      <c r="Q934" s="2" t="s">
        <v>7374</v>
      </c>
      <c r="R934" s="2" t="s">
        <v>1490</v>
      </c>
      <c r="S934" s="2" t="s">
        <v>3546</v>
      </c>
      <c r="T934" s="2" t="s">
        <v>7375</v>
      </c>
      <c r="U934" s="2" t="s">
        <v>7368</v>
      </c>
      <c r="V934" s="2" t="s">
        <v>110</v>
      </c>
      <c r="W934" s="2"/>
    </row>
    <row r="935">
      <c r="A935" s="2" t="n">
        <v>676</v>
      </c>
      <c r="B935" s="2" t="s">
        <v>14243</v>
      </c>
      <c r="C935" s="2" t="s">
        <v>7376</v>
      </c>
      <c r="D935" s="2" t="n">
        <v>611.407664987</v>
      </c>
      <c r="E935" s="2" t="n">
        <v>2.65344532834596</v>
      </c>
      <c r="F935" s="2" t="s">
        <v>7378</v>
      </c>
      <c r="G935" s="2" t="n">
        <v>135374</v>
      </c>
      <c r="H935" s="3" t="str">
        <f>HYPERLINK("http://funmeta.oebiotech.com/network/135374", "http://funmeta.oebiotech.com/network/135374")</f>
      </c>
      <c r="I935" s="2" t="s">
        <v>7380</v>
      </c>
      <c r="J935" s="2"/>
      <c r="K935" s="2"/>
      <c r="L935" s="2"/>
      <c r="M935" s="2"/>
      <c r="N935" s="2" t="s">
        <v>7381</v>
      </c>
      <c r="O935" s="2"/>
      <c r="P935" s="2" t="s">
        <v>7382</v>
      </c>
      <c r="Q935" s="2" t="s">
        <v>7383</v>
      </c>
      <c r="R935" s="2" t="s">
        <v>1490</v>
      </c>
      <c r="S935" s="2" t="s">
        <v>4236</v>
      </c>
      <c r="T935" s="2" t="s">
        <v>5175</v>
      </c>
      <c r="U935" s="2" t="s">
        <v>7377</v>
      </c>
      <c r="V935" s="2" t="s">
        <v>42</v>
      </c>
      <c r="W935" s="2"/>
    </row>
    <row r="936">
      <c r="A936" s="2" t="n">
        <v>677</v>
      </c>
      <c r="B936" s="2" t="s">
        <v>14244</v>
      </c>
      <c r="C936" s="2" t="s">
        <v>7384</v>
      </c>
      <c r="D936" s="2" t="n">
        <v>616.163858185</v>
      </c>
      <c r="E936" s="2" t="n">
        <v>1.37126639574267</v>
      </c>
      <c r="F936" s="2" t="s">
        <v>7386</v>
      </c>
      <c r="G936" s="2" t="n">
        <v>207397</v>
      </c>
      <c r="H936" s="3" t="str">
        <f>HYPERLINK("http://funmeta.oebiotech.com/network/207397", "http://funmeta.oebiotech.com/network/207397")</f>
      </c>
      <c r="I936" s="2" t="s">
        <v>7388</v>
      </c>
      <c r="J936" s="2" t="s">
        <v>7389</v>
      </c>
      <c r="K936" s="2"/>
      <c r="L936" s="2" t="s">
        <v>7390</v>
      </c>
      <c r="M936" s="2"/>
      <c r="N936" s="2" t="s">
        <v>7391</v>
      </c>
      <c r="O936" s="2" t="s">
        <v>7392</v>
      </c>
      <c r="P936" s="2" t="s">
        <v>7393</v>
      </c>
      <c r="Q936" s="2" t="s">
        <v>7394</v>
      </c>
      <c r="R936" s="2" t="s">
        <v>502</v>
      </c>
      <c r="S936" s="2" t="s">
        <v>503</v>
      </c>
      <c r="T936" s="2" t="s">
        <v>5166</v>
      </c>
      <c r="U936" s="2" t="s">
        <v>7385</v>
      </c>
      <c r="V936" s="2" t="s">
        <v>522</v>
      </c>
      <c r="W936" s="2" t="s">
        <v>39</v>
      </c>
    </row>
    <row r="937">
      <c r="A937" s="2" t="n">
        <v>678</v>
      </c>
      <c r="B937" s="2" t="s">
        <v>14245</v>
      </c>
      <c r="C937" s="2" t="s">
        <v>7395</v>
      </c>
      <c r="D937" s="2" t="n">
        <v>616.284878947</v>
      </c>
      <c r="E937" s="2" t="n">
        <v>3.8738979833361</v>
      </c>
      <c r="F937" s="2" t="s">
        <v>7397</v>
      </c>
      <c r="G937" s="2" t="n">
        <v>52125</v>
      </c>
      <c r="H937" s="3" t="str">
        <f>HYPERLINK("http://funmeta.oebiotech.com/network/52125", "http://funmeta.oebiotech.com/network/52125")</f>
      </c>
      <c r="I937" s="2" t="s">
        <v>7399</v>
      </c>
      <c r="J937" s="2"/>
      <c r="K937" s="2"/>
      <c r="L937" s="2"/>
      <c r="M937" s="2"/>
      <c r="N937" s="2" t="s">
        <v>7400</v>
      </c>
      <c r="O937" s="2" t="s">
        <v>7401</v>
      </c>
      <c r="P937" s="2" t="s">
        <v>7402</v>
      </c>
      <c r="Q937" s="2" t="s">
        <v>7403</v>
      </c>
      <c r="R937" s="2" t="s">
        <v>49</v>
      </c>
      <c r="S937" s="2" t="s">
        <v>165</v>
      </c>
      <c r="T937" s="2" t="s">
        <v>166</v>
      </c>
      <c r="U937" s="2" t="s">
        <v>7396</v>
      </c>
      <c r="V937" s="2" t="s">
        <v>24</v>
      </c>
      <c r="W937" s="2"/>
    </row>
    <row r="938">
      <c r="A938" s="2" t="n">
        <v>679</v>
      </c>
      <c r="B938" s="2" t="s">
        <v>14246</v>
      </c>
      <c r="C938" s="2" t="s">
        <v>7404</v>
      </c>
      <c r="D938" s="2" t="n">
        <v>617.1088028</v>
      </c>
      <c r="E938" s="2" t="n">
        <v>1.31311091315132</v>
      </c>
      <c r="F938" s="2" t="s">
        <v>7406</v>
      </c>
      <c r="G938" s="2" t="n">
        <v>208028</v>
      </c>
      <c r="H938" s="3" t="str">
        <f>HYPERLINK("http://funmeta.oebiotech.com/network/208028", "http://funmeta.oebiotech.com/network/208028")</f>
      </c>
      <c r="I938" s="2" t="s">
        <v>7408</v>
      </c>
      <c r="J938" s="2"/>
      <c r="K938" s="2"/>
      <c r="L938" s="2"/>
      <c r="M938" s="2"/>
      <c r="N938" s="2" t="s">
        <v>7409</v>
      </c>
      <c r="O938" s="2"/>
      <c r="P938" s="2" t="s">
        <v>7410</v>
      </c>
      <c r="Q938" s="2" t="s">
        <v>7411</v>
      </c>
      <c r="R938" s="2" t="s">
        <v>49</v>
      </c>
      <c r="S938" s="2" t="s">
        <v>165</v>
      </c>
      <c r="T938" s="2" t="s">
        <v>166</v>
      </c>
      <c r="U938" s="2" t="s">
        <v>7405</v>
      </c>
      <c r="V938" s="2" t="s">
        <v>522</v>
      </c>
      <c r="W938" s="2"/>
    </row>
    <row r="939">
      <c r="A939" s="2" t="n">
        <v>680</v>
      </c>
      <c r="B939" s="2" t="s">
        <v>14247</v>
      </c>
      <c r="C939" s="2" t="s">
        <v>7412</v>
      </c>
      <c r="D939" s="2" t="n">
        <v>619.348771884</v>
      </c>
      <c r="E939" s="2" t="n">
        <v>2.07901830193618</v>
      </c>
      <c r="F939" s="2" t="s">
        <v>14248</v>
      </c>
      <c r="G939" s="2" t="n">
        <v>64159</v>
      </c>
      <c r="H939" s="3" t="str">
        <f>HYPERLINK("http://funmeta.oebiotech.com/network/64159", "http://funmeta.oebiotech.com/network/64159")</f>
      </c>
      <c r="I939" s="2" t="s">
        <v>14249</v>
      </c>
      <c r="J939" s="2"/>
      <c r="K939" s="2"/>
      <c r="L939" s="2"/>
      <c r="M939" s="2"/>
      <c r="N939" s="2" t="s">
        <v>14250</v>
      </c>
      <c r="O939" s="2" t="s">
        <v>14251</v>
      </c>
      <c r="P939" s="2" t="s">
        <v>14252</v>
      </c>
      <c r="Q939" s="2" t="s">
        <v>14253</v>
      </c>
      <c r="R939" s="2" t="s">
        <v>1490</v>
      </c>
      <c r="S939" s="2" t="s">
        <v>3546</v>
      </c>
      <c r="T939" s="2" t="s">
        <v>8600</v>
      </c>
      <c r="U939" s="2" t="s">
        <v>7413</v>
      </c>
      <c r="V939" s="2" t="s">
        <v>110</v>
      </c>
      <c r="W939" s="2"/>
    </row>
    <row r="940">
      <c r="A940" s="2" t="n">
        <v>680</v>
      </c>
      <c r="B940" s="2" t="s">
        <v>14254</v>
      </c>
      <c r="C940" s="2" t="s">
        <v>7412</v>
      </c>
      <c r="D940" s="2" t="n">
        <v>619.348771884</v>
      </c>
      <c r="E940" s="2" t="n">
        <v>2.07901830193618</v>
      </c>
      <c r="F940" s="2" t="s">
        <v>14255</v>
      </c>
      <c r="G940" s="2" t="n">
        <v>54869</v>
      </c>
      <c r="H940" s="3" t="str">
        <f>HYPERLINK("http://funmeta.oebiotech.com/network/54869", "http://funmeta.oebiotech.com/network/54869")</f>
      </c>
      <c r="I940" s="2" t="s">
        <v>14256</v>
      </c>
      <c r="J940" s="2" t="s">
        <v>14257</v>
      </c>
      <c r="K940" s="2"/>
      <c r="L940" s="2"/>
      <c r="M940" s="2"/>
      <c r="N940" s="2" t="s">
        <v>14258</v>
      </c>
      <c r="O940" s="2" t="s">
        <v>14259</v>
      </c>
      <c r="P940" s="2" t="s">
        <v>14260</v>
      </c>
      <c r="Q940" s="2" t="s">
        <v>14261</v>
      </c>
      <c r="R940" s="2" t="s">
        <v>1490</v>
      </c>
      <c r="S940" s="2" t="s">
        <v>3546</v>
      </c>
      <c r="T940" s="2" t="s">
        <v>8600</v>
      </c>
      <c r="U940" s="2" t="s">
        <v>7413</v>
      </c>
      <c r="V940" s="2" t="s">
        <v>110</v>
      </c>
      <c r="W940" s="2"/>
    </row>
    <row r="941">
      <c r="A941" s="2" t="n">
        <v>681</v>
      </c>
      <c r="B941" s="2" t="s">
        <v>14262</v>
      </c>
      <c r="C941" s="2" t="s">
        <v>7423</v>
      </c>
      <c r="D941" s="2" t="n">
        <v>619.421538588</v>
      </c>
      <c r="E941" s="2" t="n">
        <v>2.30134224398587</v>
      </c>
      <c r="F941" s="2" t="s">
        <v>14263</v>
      </c>
      <c r="G941" s="2" t="n">
        <v>44306</v>
      </c>
      <c r="H941" s="3" t="str">
        <f>HYPERLINK("http://funmeta.oebiotech.com/network/44306", "http://funmeta.oebiotech.com/network/44306")</f>
      </c>
      <c r="I941" s="2" t="s">
        <v>14264</v>
      </c>
      <c r="J941" s="2"/>
      <c r="K941" s="2" t="s">
        <v>14265</v>
      </c>
      <c r="L941" s="2"/>
      <c r="M941" s="2" t="s">
        <v>14266</v>
      </c>
      <c r="N941" s="2" t="s">
        <v>14267</v>
      </c>
      <c r="O941" s="2" t="s">
        <v>14268</v>
      </c>
      <c r="P941" s="2" t="s">
        <v>14269</v>
      </c>
      <c r="Q941" s="2" t="s">
        <v>14270</v>
      </c>
      <c r="R941" s="2" t="s">
        <v>1490</v>
      </c>
      <c r="S941" s="2" t="s">
        <v>3546</v>
      </c>
      <c r="T941" s="2" t="s">
        <v>14271</v>
      </c>
      <c r="U941" s="2" t="s">
        <v>7424</v>
      </c>
      <c r="V941" s="2" t="s">
        <v>24</v>
      </c>
      <c r="W941" s="2"/>
    </row>
    <row r="942">
      <c r="A942" s="2" t="n">
        <v>681</v>
      </c>
      <c r="B942" s="2" t="s">
        <v>14272</v>
      </c>
      <c r="C942" s="2" t="s">
        <v>7423</v>
      </c>
      <c r="D942" s="2" t="n">
        <v>619.421538588</v>
      </c>
      <c r="E942" s="2" t="n">
        <v>2.30134224398587</v>
      </c>
      <c r="F942" s="2" t="s">
        <v>14273</v>
      </c>
      <c r="G942" s="2" t="n">
        <v>54659</v>
      </c>
      <c r="H942" s="3" t="str">
        <f>HYPERLINK("http://funmeta.oebiotech.com/network/54659", "http://funmeta.oebiotech.com/network/54659")</f>
      </c>
      <c r="I942" s="2" t="s">
        <v>14274</v>
      </c>
      <c r="J942" s="2" t="s">
        <v>14275</v>
      </c>
      <c r="K942" s="2"/>
      <c r="L942" s="2"/>
      <c r="M942" s="2"/>
      <c r="N942" s="2" t="s">
        <v>14276</v>
      </c>
      <c r="O942" s="2" t="s">
        <v>14277</v>
      </c>
      <c r="P942" s="2" t="s">
        <v>14278</v>
      </c>
      <c r="Q942" s="2" t="s">
        <v>14279</v>
      </c>
      <c r="R942" s="2" t="s">
        <v>1490</v>
      </c>
      <c r="S942" s="2" t="s">
        <v>3546</v>
      </c>
      <c r="T942" s="2" t="s">
        <v>14271</v>
      </c>
      <c r="U942" s="2" t="s">
        <v>7424</v>
      </c>
      <c r="V942" s="2" t="s">
        <v>24</v>
      </c>
      <c r="W942" s="2"/>
    </row>
    <row r="943">
      <c r="A943" s="2" t="n">
        <v>681</v>
      </c>
      <c r="B943" s="2" t="s">
        <v>14280</v>
      </c>
      <c r="C943" s="2" t="s">
        <v>7423</v>
      </c>
      <c r="D943" s="2" t="n">
        <v>619.421538588</v>
      </c>
      <c r="E943" s="2" t="n">
        <v>2.30134224398587</v>
      </c>
      <c r="F943" s="2" t="s">
        <v>14281</v>
      </c>
      <c r="G943" s="2" t="n">
        <v>57959</v>
      </c>
      <c r="H943" s="3" t="str">
        <f>HYPERLINK("http://funmeta.oebiotech.com/network/57959", "http://funmeta.oebiotech.com/network/57959")</f>
      </c>
      <c r="I943" s="2" t="s">
        <v>14282</v>
      </c>
      <c r="J943" s="2" t="s">
        <v>14283</v>
      </c>
      <c r="K943" s="2"/>
      <c r="L943" s="2"/>
      <c r="M943" s="2"/>
      <c r="N943" s="2" t="s">
        <v>14284</v>
      </c>
      <c r="O943" s="2" t="s">
        <v>14285</v>
      </c>
      <c r="P943" s="2" t="s">
        <v>14286</v>
      </c>
      <c r="Q943" s="2" t="s">
        <v>14287</v>
      </c>
      <c r="R943" s="2" t="s">
        <v>1490</v>
      </c>
      <c r="S943" s="2" t="s">
        <v>3546</v>
      </c>
      <c r="T943" s="2" t="s">
        <v>14271</v>
      </c>
      <c r="U943" s="2" t="s">
        <v>7424</v>
      </c>
      <c r="V943" s="2" t="s">
        <v>24</v>
      </c>
      <c r="W943" s="2"/>
    </row>
    <row r="944">
      <c r="A944" s="2" t="n">
        <v>682</v>
      </c>
      <c r="B944" s="2" t="s">
        <v>14288</v>
      </c>
      <c r="C944" s="2" t="s">
        <v>7436</v>
      </c>
      <c r="D944" s="2" t="n">
        <v>621.343292576</v>
      </c>
      <c r="E944" s="2" t="n">
        <v>8.54681095821754</v>
      </c>
      <c r="F944" s="2" t="s">
        <v>7438</v>
      </c>
      <c r="G944" s="2" t="n">
        <v>54537</v>
      </c>
      <c r="H944" s="3" t="str">
        <f>HYPERLINK("http://funmeta.oebiotech.com/network/54537", "http://funmeta.oebiotech.com/network/54537")</f>
      </c>
      <c r="I944" s="2" t="s">
        <v>7440</v>
      </c>
      <c r="J944" s="2" t="s">
        <v>7441</v>
      </c>
      <c r="K944" s="2"/>
      <c r="L944" s="2"/>
      <c r="M944" s="2"/>
      <c r="N944" s="2" t="s">
        <v>7442</v>
      </c>
      <c r="O944" s="2"/>
      <c r="P944" s="2" t="s">
        <v>7443</v>
      </c>
      <c r="Q944" s="2" t="s">
        <v>7444</v>
      </c>
      <c r="R944" s="2" t="s">
        <v>1490</v>
      </c>
      <c r="S944" s="2" t="s">
        <v>4971</v>
      </c>
      <c r="T944" s="2" t="s">
        <v>7445</v>
      </c>
      <c r="U944" s="2" t="s">
        <v>7437</v>
      </c>
      <c r="V944" s="2" t="s">
        <v>110</v>
      </c>
      <c r="W944" s="2"/>
    </row>
    <row r="945">
      <c r="A945" s="2" t="n">
        <v>683</v>
      </c>
      <c r="B945" s="2" t="s">
        <v>14289</v>
      </c>
      <c r="C945" s="2" t="s">
        <v>7446</v>
      </c>
      <c r="D945" s="2" t="n">
        <v>621.437188652</v>
      </c>
      <c r="E945" s="2" t="n">
        <v>1.42614767049832</v>
      </c>
      <c r="F945" s="2" t="s">
        <v>14290</v>
      </c>
      <c r="G945" s="2" t="n">
        <v>255513</v>
      </c>
      <c r="H945" s="3" t="str">
        <f>HYPERLINK("http://funmeta.oebiotech.com/network/255513", "http://funmeta.oebiotech.com/network/255513")</f>
      </c>
      <c r="I945" s="2" t="s">
        <v>14291</v>
      </c>
      <c r="J945" s="2"/>
      <c r="K945" s="2"/>
      <c r="L945" s="2"/>
      <c r="M945" s="2"/>
      <c r="N945" s="2" t="s">
        <v>14292</v>
      </c>
      <c r="O945" s="2"/>
      <c r="P945" s="2" t="s">
        <v>14293</v>
      </c>
      <c r="Q945" s="2" t="s">
        <v>14294</v>
      </c>
      <c r="R945" s="2" t="s">
        <v>1490</v>
      </c>
      <c r="S945" s="2" t="s">
        <v>3546</v>
      </c>
      <c r="T945" s="2" t="s">
        <v>14271</v>
      </c>
      <c r="U945" s="2" t="s">
        <v>7447</v>
      </c>
      <c r="V945" s="2" t="s">
        <v>24</v>
      </c>
      <c r="W945" s="2"/>
    </row>
    <row r="946">
      <c r="A946" s="2" t="n">
        <v>683</v>
      </c>
      <c r="B946" s="2" t="s">
        <v>14295</v>
      </c>
      <c r="C946" s="2" t="s">
        <v>7446</v>
      </c>
      <c r="D946" s="2" t="n">
        <v>621.437188652</v>
      </c>
      <c r="E946" s="2" t="n">
        <v>1.42614767049832</v>
      </c>
      <c r="F946" s="2" t="s">
        <v>14296</v>
      </c>
      <c r="G946" s="2" t="n">
        <v>58258</v>
      </c>
      <c r="H946" s="3" t="str">
        <f>HYPERLINK("http://funmeta.oebiotech.com/network/58258", "http://funmeta.oebiotech.com/network/58258")</f>
      </c>
      <c r="I946" s="2" t="s">
        <v>14297</v>
      </c>
      <c r="J946" s="2" t="s">
        <v>14298</v>
      </c>
      <c r="K946" s="2"/>
      <c r="L946" s="2"/>
      <c r="M946" s="2"/>
      <c r="N946" s="2" t="s">
        <v>14299</v>
      </c>
      <c r="O946" s="2" t="s">
        <v>14300</v>
      </c>
      <c r="P946" s="2" t="s">
        <v>14301</v>
      </c>
      <c r="Q946" s="2" t="s">
        <v>14302</v>
      </c>
      <c r="R946" s="2" t="s">
        <v>1490</v>
      </c>
      <c r="S946" s="2" t="s">
        <v>3546</v>
      </c>
      <c r="T946" s="2" t="s">
        <v>14271</v>
      </c>
      <c r="U946" s="2" t="s">
        <v>7447</v>
      </c>
      <c r="V946" s="2" t="s">
        <v>24</v>
      </c>
      <c r="W946" s="2"/>
    </row>
    <row r="947">
      <c r="A947" s="2" t="n">
        <v>683</v>
      </c>
      <c r="B947" s="2" t="s">
        <v>14303</v>
      </c>
      <c r="C947" s="2" t="s">
        <v>7446</v>
      </c>
      <c r="D947" s="2" t="n">
        <v>621.437188652</v>
      </c>
      <c r="E947" s="2" t="n">
        <v>1.42614767049832</v>
      </c>
      <c r="F947" s="2" t="s">
        <v>14304</v>
      </c>
      <c r="G947" s="2" t="n">
        <v>58096</v>
      </c>
      <c r="H947" s="3" t="str">
        <f>HYPERLINK("http://funmeta.oebiotech.com/network/58096", "http://funmeta.oebiotech.com/network/58096")</f>
      </c>
      <c r="I947" s="2" t="s">
        <v>14305</v>
      </c>
      <c r="J947" s="2" t="s">
        <v>14306</v>
      </c>
      <c r="K947" s="2"/>
      <c r="L947" s="2"/>
      <c r="M947" s="2"/>
      <c r="N947" s="2" t="s">
        <v>14307</v>
      </c>
      <c r="O947" s="2" t="s">
        <v>14308</v>
      </c>
      <c r="P947" s="2" t="s">
        <v>14309</v>
      </c>
      <c r="Q947" s="2" t="s">
        <v>14310</v>
      </c>
      <c r="R947" s="2" t="s">
        <v>1490</v>
      </c>
      <c r="S947" s="2" t="s">
        <v>3546</v>
      </c>
      <c r="T947" s="2" t="s">
        <v>14271</v>
      </c>
      <c r="U947" s="2" t="s">
        <v>7447</v>
      </c>
      <c r="V947" s="2" t="s">
        <v>24</v>
      </c>
      <c r="W947" s="2"/>
    </row>
    <row r="948">
      <c r="A948" s="2" t="n">
        <v>684</v>
      </c>
      <c r="B948" s="2" t="s">
        <v>14311</v>
      </c>
      <c r="C948" s="2" t="s">
        <v>7456</v>
      </c>
      <c r="D948" s="2" t="n">
        <v>622.022172957</v>
      </c>
      <c r="E948" s="2" t="n">
        <v>1.61615413217062</v>
      </c>
      <c r="F948" s="2" t="s">
        <v>7458</v>
      </c>
      <c r="G948" s="2" t="n">
        <v>256910</v>
      </c>
      <c r="H948" s="3" t="str">
        <f>HYPERLINK("http://funmeta.oebiotech.com/network/256910", "http://funmeta.oebiotech.com/network/256910")</f>
      </c>
      <c r="I948" s="2" t="s">
        <v>7460</v>
      </c>
      <c r="J948" s="2" t="s">
        <v>7461</v>
      </c>
      <c r="K948" s="2"/>
      <c r="L948" s="2" t="s">
        <v>7462</v>
      </c>
      <c r="M948" s="2" t="s">
        <v>7463</v>
      </c>
      <c r="N948" s="2" t="s">
        <v>7464</v>
      </c>
      <c r="O948" s="2"/>
      <c r="P948" s="2" t="s">
        <v>7465</v>
      </c>
      <c r="Q948" s="2" t="s">
        <v>7466</v>
      </c>
      <c r="R948" s="2" t="s">
        <v>2590</v>
      </c>
      <c r="S948" s="2" t="s">
        <v>4599</v>
      </c>
      <c r="T948" s="2" t="s">
        <v>7467</v>
      </c>
      <c r="U948" s="2" t="s">
        <v>7457</v>
      </c>
      <c r="V948" s="2" t="s">
        <v>360</v>
      </c>
      <c r="W948" s="2" t="s">
        <v>39</v>
      </c>
    </row>
    <row r="949">
      <c r="A949" s="2" t="n">
        <v>685</v>
      </c>
      <c r="B949" s="2" t="s">
        <v>14312</v>
      </c>
      <c r="C949" s="2" t="s">
        <v>7468</v>
      </c>
      <c r="D949" s="2" t="n">
        <v>623.102357275</v>
      </c>
      <c r="E949" s="2" t="n">
        <v>3.48228635218268</v>
      </c>
      <c r="F949" s="2" t="s">
        <v>14313</v>
      </c>
      <c r="G949" s="2" t="n">
        <v>201059</v>
      </c>
      <c r="H949" s="3" t="str">
        <f>HYPERLINK("http://funmeta.oebiotech.com/network/201059", "http://funmeta.oebiotech.com/network/201059")</f>
      </c>
      <c r="I949" s="2" t="s">
        <v>14314</v>
      </c>
      <c r="J949" s="2"/>
      <c r="K949" s="2"/>
      <c r="L949" s="2"/>
      <c r="M949" s="2"/>
      <c r="N949" s="2" t="s">
        <v>14315</v>
      </c>
      <c r="O949" s="2"/>
      <c r="P949" s="2" t="s">
        <v>14316</v>
      </c>
      <c r="Q949" s="2" t="s">
        <v>14317</v>
      </c>
      <c r="R949" s="2" t="s">
        <v>2590</v>
      </c>
      <c r="S949" s="2" t="s">
        <v>14318</v>
      </c>
      <c r="T949" s="2" t="s">
        <v>14319</v>
      </c>
      <c r="U949" s="2" t="s">
        <v>7469</v>
      </c>
      <c r="V949" s="2" t="s">
        <v>522</v>
      </c>
      <c r="W949" s="2"/>
    </row>
    <row r="950">
      <c r="A950" s="2" t="n">
        <v>685</v>
      </c>
      <c r="B950" s="2" t="s">
        <v>14320</v>
      </c>
      <c r="C950" s="2" t="s">
        <v>7468</v>
      </c>
      <c r="D950" s="2" t="n">
        <v>623.102357275</v>
      </c>
      <c r="E950" s="2" t="n">
        <v>3.48228635218268</v>
      </c>
      <c r="F950" s="2" t="s">
        <v>14321</v>
      </c>
      <c r="G950" s="2" t="n">
        <v>213364</v>
      </c>
      <c r="H950" s="3" t="str">
        <f>HYPERLINK("http://funmeta.oebiotech.com/network/213364", "http://funmeta.oebiotech.com/network/213364")</f>
      </c>
      <c r="I950" s="2" t="s">
        <v>14322</v>
      </c>
      <c r="J950" s="2"/>
      <c r="K950" s="2"/>
      <c r="L950" s="2"/>
      <c r="M950" s="2"/>
      <c r="N950" s="2"/>
      <c r="O950" s="2"/>
      <c r="P950" s="2" t="s">
        <v>14323</v>
      </c>
      <c r="Q950" s="2" t="s">
        <v>14324</v>
      </c>
      <c r="R950" s="2" t="s">
        <v>2590</v>
      </c>
      <c r="S950" s="2" t="s">
        <v>7892</v>
      </c>
      <c r="T950" s="2" t="s">
        <v>205</v>
      </c>
      <c r="U950" s="2" t="s">
        <v>7469</v>
      </c>
      <c r="V950" s="2" t="s">
        <v>522</v>
      </c>
      <c r="W950" s="2"/>
    </row>
    <row r="951">
      <c r="A951" s="2" t="n">
        <v>686</v>
      </c>
      <c r="B951" s="2" t="s">
        <v>14325</v>
      </c>
      <c r="C951" s="2" t="s">
        <v>7478</v>
      </c>
      <c r="D951" s="2" t="n">
        <v>624.064044726</v>
      </c>
      <c r="E951" s="2" t="n">
        <v>2.03126750618325</v>
      </c>
      <c r="F951" s="2" t="s">
        <v>7480</v>
      </c>
      <c r="G951" s="2" t="n">
        <v>208138</v>
      </c>
      <c r="H951" s="3" t="str">
        <f>HYPERLINK("http://funmeta.oebiotech.com/network/208138", "http://funmeta.oebiotech.com/network/208138")</f>
      </c>
      <c r="I951" s="2" t="s">
        <v>7482</v>
      </c>
      <c r="J951" s="2"/>
      <c r="K951" s="2"/>
      <c r="L951" s="2"/>
      <c r="M951" s="2"/>
      <c r="N951" s="2" t="s">
        <v>7483</v>
      </c>
      <c r="O951" s="2"/>
      <c r="P951" s="2" t="s">
        <v>7484</v>
      </c>
      <c r="Q951" s="2" t="s">
        <v>7485</v>
      </c>
      <c r="R951" s="2" t="s">
        <v>502</v>
      </c>
      <c r="S951" s="2" t="s">
        <v>503</v>
      </c>
      <c r="T951" s="2" t="s">
        <v>5166</v>
      </c>
      <c r="U951" s="2" t="s">
        <v>7479</v>
      </c>
      <c r="V951" s="2" t="s">
        <v>250</v>
      </c>
      <c r="W951" s="2"/>
    </row>
    <row r="952">
      <c r="A952" s="2" t="n">
        <v>687</v>
      </c>
      <c r="B952" s="2" t="s">
        <v>14326</v>
      </c>
      <c r="C952" s="2" t="s">
        <v>7486</v>
      </c>
      <c r="D952" s="2" t="n">
        <v>627.0643516</v>
      </c>
      <c r="E952" s="2" t="n">
        <v>3.65104392592623</v>
      </c>
      <c r="F952" s="2" t="s">
        <v>7488</v>
      </c>
      <c r="G952" s="2" t="n">
        <v>213287</v>
      </c>
      <c r="H952" s="3" t="str">
        <f>HYPERLINK("http://funmeta.oebiotech.com/network/213287", "http://funmeta.oebiotech.com/network/213287")</f>
      </c>
      <c r="I952" s="2" t="s">
        <v>7490</v>
      </c>
      <c r="J952" s="2"/>
      <c r="K952" s="2"/>
      <c r="L952" s="2"/>
      <c r="M952" s="2"/>
      <c r="N952" s="2" t="s">
        <v>7491</v>
      </c>
      <c r="O952" s="2"/>
      <c r="P952" s="2" t="s">
        <v>7492</v>
      </c>
      <c r="Q952" s="2" t="s">
        <v>7493</v>
      </c>
      <c r="R952" s="2" t="s">
        <v>49</v>
      </c>
      <c r="S952" s="2" t="s">
        <v>165</v>
      </c>
      <c r="T952" s="2" t="s">
        <v>166</v>
      </c>
      <c r="U952" s="2" t="s">
        <v>7487</v>
      </c>
      <c r="V952" s="2" t="s">
        <v>250</v>
      </c>
      <c r="W952" s="2"/>
    </row>
    <row r="953">
      <c r="A953" s="2" t="n">
        <v>688</v>
      </c>
      <c r="B953" s="2" t="s">
        <v>14327</v>
      </c>
      <c r="C953" s="2" t="s">
        <v>7494</v>
      </c>
      <c r="D953" s="2" t="n">
        <v>628.202647411</v>
      </c>
      <c r="E953" s="2" t="n">
        <v>9.75954367420878</v>
      </c>
      <c r="F953" s="2" t="s">
        <v>7496</v>
      </c>
      <c r="G953" s="2" t="n">
        <v>209016</v>
      </c>
      <c r="H953" s="3" t="str">
        <f>HYPERLINK("http://funmeta.oebiotech.com/network/209016", "http://funmeta.oebiotech.com/network/209016")</f>
      </c>
      <c r="I953" s="2" t="s">
        <v>7498</v>
      </c>
      <c r="J953" s="2"/>
      <c r="K953" s="2"/>
      <c r="L953" s="2"/>
      <c r="M953" s="2"/>
      <c r="N953" s="2" t="s">
        <v>7499</v>
      </c>
      <c r="O953" s="2"/>
      <c r="P953" s="2" t="s">
        <v>7500</v>
      </c>
      <c r="Q953" s="2" t="s">
        <v>7501</v>
      </c>
      <c r="R953" s="2" t="s">
        <v>49</v>
      </c>
      <c r="S953" s="2" t="s">
        <v>6532</v>
      </c>
      <c r="T953" s="2" t="s">
        <v>7502</v>
      </c>
      <c r="U953" s="2" t="s">
        <v>7495</v>
      </c>
      <c r="V953" s="2" t="s">
        <v>250</v>
      </c>
      <c r="W953" s="2"/>
    </row>
    <row r="954">
      <c r="A954" s="2" t="n">
        <v>689</v>
      </c>
      <c r="B954" s="2" t="s">
        <v>14328</v>
      </c>
      <c r="C954" s="2" t="s">
        <v>7503</v>
      </c>
      <c r="D954" s="2" t="n">
        <v>628.349893325</v>
      </c>
      <c r="E954" s="2" t="n">
        <v>9.61953726614341</v>
      </c>
      <c r="F954" s="2" t="s">
        <v>7505</v>
      </c>
      <c r="G954" s="2" t="n">
        <v>54305</v>
      </c>
      <c r="H954" s="3" t="str">
        <f>HYPERLINK("http://funmeta.oebiotech.com/network/54305", "http://funmeta.oebiotech.com/network/54305")</f>
      </c>
      <c r="I954" s="2" t="s">
        <v>7507</v>
      </c>
      <c r="J954" s="2"/>
      <c r="K954" s="2"/>
      <c r="L954" s="2" t="s">
        <v>7508</v>
      </c>
      <c r="M954" s="2"/>
      <c r="N954" s="2" t="s">
        <v>7509</v>
      </c>
      <c r="O954" s="2" t="s">
        <v>7510</v>
      </c>
      <c r="P954" s="2" t="s">
        <v>7511</v>
      </c>
      <c r="Q954" s="2" t="s">
        <v>7512</v>
      </c>
      <c r="R954" s="2" t="s">
        <v>49</v>
      </c>
      <c r="S954" s="2" t="s">
        <v>165</v>
      </c>
      <c r="T954" s="2" t="s">
        <v>166</v>
      </c>
      <c r="U954" s="2" t="s">
        <v>7504</v>
      </c>
      <c r="V954" s="2" t="s">
        <v>42</v>
      </c>
      <c r="W954" s="2" t="s">
        <v>39</v>
      </c>
    </row>
    <row r="955">
      <c r="A955" s="2" t="n">
        <v>690</v>
      </c>
      <c r="B955" s="2" t="s">
        <v>14329</v>
      </c>
      <c r="C955" s="2" t="s">
        <v>7513</v>
      </c>
      <c r="D955" s="2" t="n">
        <v>629.18757547</v>
      </c>
      <c r="E955" s="2" t="n">
        <v>1.22679350495024</v>
      </c>
      <c r="F955" s="2" t="s">
        <v>7515</v>
      </c>
      <c r="G955" s="2" t="n">
        <v>204080</v>
      </c>
      <c r="H955" s="3" t="str">
        <f>HYPERLINK("http://funmeta.oebiotech.com/network/204080", "http://funmeta.oebiotech.com/network/204080")</f>
      </c>
      <c r="I955" s="2" t="s">
        <v>7517</v>
      </c>
      <c r="J955" s="2"/>
      <c r="K955" s="2"/>
      <c r="L955" s="2"/>
      <c r="M955" s="2"/>
      <c r="N955" s="2" t="s">
        <v>7518</v>
      </c>
      <c r="O955" s="2"/>
      <c r="P955" s="2" t="s">
        <v>7519</v>
      </c>
      <c r="Q955" s="2" t="s">
        <v>7520</v>
      </c>
      <c r="R955" s="2" t="s">
        <v>1490</v>
      </c>
      <c r="S955" s="2" t="s">
        <v>4971</v>
      </c>
      <c r="T955" s="2" t="s">
        <v>5010</v>
      </c>
      <c r="U955" s="2" t="s">
        <v>7514</v>
      </c>
      <c r="V955" s="2" t="s">
        <v>24</v>
      </c>
      <c r="W955" s="2"/>
    </row>
    <row r="956">
      <c r="A956" s="2" t="n">
        <v>691</v>
      </c>
      <c r="B956" s="2" t="s">
        <v>14330</v>
      </c>
      <c r="C956" s="2" t="s">
        <v>7521</v>
      </c>
      <c r="D956" s="2" t="n">
        <v>629.472240301</v>
      </c>
      <c r="E956" s="2" t="n">
        <v>0.347149318116158</v>
      </c>
      <c r="F956" s="2" t="s">
        <v>7523</v>
      </c>
      <c r="G956" s="2" t="n">
        <v>208556</v>
      </c>
      <c r="H956" s="3" t="str">
        <f>HYPERLINK("http://funmeta.oebiotech.com/network/208556", "http://funmeta.oebiotech.com/network/208556")</f>
      </c>
      <c r="I956" s="2" t="s">
        <v>7525</v>
      </c>
      <c r="J956" s="2"/>
      <c r="K956" s="2"/>
      <c r="L956" s="2"/>
      <c r="M956" s="2"/>
      <c r="N956" s="2" t="s">
        <v>7526</v>
      </c>
      <c r="O956" s="2"/>
      <c r="P956" s="2" t="s">
        <v>7527</v>
      </c>
      <c r="Q956" s="2" t="s">
        <v>7528</v>
      </c>
      <c r="R956" s="2" t="s">
        <v>1490</v>
      </c>
      <c r="S956" s="2" t="s">
        <v>4971</v>
      </c>
      <c r="T956" s="2" t="s">
        <v>7529</v>
      </c>
      <c r="U956" s="2" t="s">
        <v>7522</v>
      </c>
      <c r="V956" s="2" t="s">
        <v>42</v>
      </c>
      <c r="W956" s="2"/>
    </row>
    <row r="957">
      <c r="A957" s="2" t="n">
        <v>692</v>
      </c>
      <c r="B957" s="2" t="s">
        <v>14331</v>
      </c>
      <c r="C957" s="2" t="s">
        <v>7530</v>
      </c>
      <c r="D957" s="2" t="n">
        <v>630.179236844</v>
      </c>
      <c r="E957" s="2" t="n">
        <v>1.4425436314929</v>
      </c>
      <c r="F957" s="2" t="s">
        <v>7532</v>
      </c>
      <c r="G957" s="2" t="n">
        <v>206664</v>
      </c>
      <c r="H957" s="3" t="str">
        <f>HYPERLINK("http://funmeta.oebiotech.com/network/206664", "http://funmeta.oebiotech.com/network/206664")</f>
      </c>
      <c r="I957" s="2" t="s">
        <v>7534</v>
      </c>
      <c r="J957" s="2"/>
      <c r="K957" s="2"/>
      <c r="L957" s="2"/>
      <c r="M957" s="2"/>
      <c r="N957" s="2" t="s">
        <v>7535</v>
      </c>
      <c r="O957" s="2"/>
      <c r="P957" s="2" t="s">
        <v>7536</v>
      </c>
      <c r="Q957" s="2" t="s">
        <v>7537</v>
      </c>
      <c r="R957" s="2" t="s">
        <v>64</v>
      </c>
      <c r="S957" s="2" t="s">
        <v>65</v>
      </c>
      <c r="T957" s="2" t="s">
        <v>66</v>
      </c>
      <c r="U957" s="2" t="s">
        <v>7531</v>
      </c>
      <c r="V957" s="2" t="s">
        <v>24</v>
      </c>
      <c r="W957" s="2"/>
    </row>
    <row r="958">
      <c r="A958" s="2" t="n">
        <v>693</v>
      </c>
      <c r="B958" s="2" t="s">
        <v>14332</v>
      </c>
      <c r="C958" s="2" t="s">
        <v>7538</v>
      </c>
      <c r="D958" s="2" t="n">
        <v>632.118449755</v>
      </c>
      <c r="E958" s="2" t="n">
        <v>1.24491940628943</v>
      </c>
      <c r="F958" s="2" t="s">
        <v>7540</v>
      </c>
      <c r="G958" s="2" t="n">
        <v>211971</v>
      </c>
      <c r="H958" s="3" t="str">
        <f>HYPERLINK("http://funmeta.oebiotech.com/network/211971", "http://funmeta.oebiotech.com/network/211971")</f>
      </c>
      <c r="I958" s="2" t="s">
        <v>7542</v>
      </c>
      <c r="J958" s="2"/>
      <c r="K958" s="2"/>
      <c r="L958" s="2"/>
      <c r="M958" s="2"/>
      <c r="N958" s="2"/>
      <c r="O958" s="2"/>
      <c r="P958" s="2" t="s">
        <v>7543</v>
      </c>
      <c r="Q958" s="2" t="s">
        <v>7544</v>
      </c>
      <c r="R958" s="2" t="s">
        <v>502</v>
      </c>
      <c r="S958" s="2" t="s">
        <v>503</v>
      </c>
      <c r="T958" s="2" t="s">
        <v>3450</v>
      </c>
      <c r="U958" s="2" t="s">
        <v>7539</v>
      </c>
      <c r="V958" s="2" t="s">
        <v>250</v>
      </c>
      <c r="W958" s="2"/>
    </row>
    <row r="959">
      <c r="A959" s="2" t="n">
        <v>694</v>
      </c>
      <c r="B959" s="2" t="s">
        <v>14333</v>
      </c>
      <c r="C959" s="2" t="s">
        <v>7545</v>
      </c>
      <c r="D959" s="2" t="n">
        <v>633.028298862</v>
      </c>
      <c r="E959" s="2" t="n">
        <v>4.9610546295423</v>
      </c>
      <c r="F959" s="2" t="s">
        <v>7547</v>
      </c>
      <c r="G959" s="2" t="n">
        <v>254953</v>
      </c>
      <c r="H959" s="3" t="str">
        <f>HYPERLINK("http://funmeta.oebiotech.com/network/254953", "http://funmeta.oebiotech.com/network/254953")</f>
      </c>
      <c r="I959" s="2" t="s">
        <v>7549</v>
      </c>
      <c r="J959" s="2"/>
      <c r="K959" s="2"/>
      <c r="L959" s="2"/>
      <c r="M959" s="2"/>
      <c r="N959" s="2" t="s">
        <v>7550</v>
      </c>
      <c r="O959" s="2"/>
      <c r="P959" s="2" t="s">
        <v>7551</v>
      </c>
      <c r="Q959" s="2" t="s">
        <v>7552</v>
      </c>
      <c r="R959" s="2" t="s">
        <v>64</v>
      </c>
      <c r="S959" s="2" t="s">
        <v>1083</v>
      </c>
      <c r="T959" s="2" t="s">
        <v>5320</v>
      </c>
      <c r="U959" s="2" t="s">
        <v>7546</v>
      </c>
      <c r="V959" s="2" t="s">
        <v>1019</v>
      </c>
      <c r="W959" s="2"/>
    </row>
    <row r="960">
      <c r="A960" s="2" t="n">
        <v>695</v>
      </c>
      <c r="B960" s="2" t="s">
        <v>14334</v>
      </c>
      <c r="C960" s="2" t="s">
        <v>7553</v>
      </c>
      <c r="D960" s="2" t="n">
        <v>633.124975213</v>
      </c>
      <c r="E960" s="2" t="n">
        <v>5.55798523065699</v>
      </c>
      <c r="F960" s="2" t="s">
        <v>7555</v>
      </c>
      <c r="G960" s="2" t="n">
        <v>208102</v>
      </c>
      <c r="H960" s="3" t="str">
        <f>HYPERLINK("http://funmeta.oebiotech.com/network/208102", "http://funmeta.oebiotech.com/network/208102")</f>
      </c>
      <c r="I960" s="2" t="s">
        <v>7557</v>
      </c>
      <c r="J960" s="2"/>
      <c r="K960" s="2"/>
      <c r="L960" s="2"/>
      <c r="M960" s="2"/>
      <c r="N960" s="2" t="s">
        <v>7558</v>
      </c>
      <c r="O960" s="2"/>
      <c r="P960" s="2" t="s">
        <v>7559</v>
      </c>
      <c r="Q960" s="2" t="s">
        <v>7560</v>
      </c>
      <c r="R960" s="2" t="s">
        <v>2509</v>
      </c>
      <c r="S960" s="2" t="s">
        <v>5520</v>
      </c>
      <c r="T960" s="2" t="s">
        <v>7136</v>
      </c>
      <c r="U960" s="2" t="s">
        <v>7554</v>
      </c>
      <c r="V960" s="2" t="s">
        <v>24</v>
      </c>
      <c r="W960" s="2"/>
    </row>
    <row r="961">
      <c r="A961" s="2" t="n">
        <v>696</v>
      </c>
      <c r="B961" s="2" t="s">
        <v>14335</v>
      </c>
      <c r="C961" s="2" t="s">
        <v>7561</v>
      </c>
      <c r="D961" s="2" t="n">
        <v>637.366526838</v>
      </c>
      <c r="E961" s="2" t="n">
        <v>3.04644219102695</v>
      </c>
      <c r="F961" s="2" t="s">
        <v>14336</v>
      </c>
      <c r="G961" s="2" t="n">
        <v>255417</v>
      </c>
      <c r="H961" s="3" t="str">
        <f>HYPERLINK("http://funmeta.oebiotech.com/network/255417", "http://funmeta.oebiotech.com/network/255417")</f>
      </c>
      <c r="I961" s="2" t="s">
        <v>14337</v>
      </c>
      <c r="J961" s="2"/>
      <c r="K961" s="2"/>
      <c r="L961" s="2"/>
      <c r="M961" s="2"/>
      <c r="N961" s="2"/>
      <c r="O961" s="2"/>
      <c r="P961" s="2" t="s">
        <v>14338</v>
      </c>
      <c r="Q961" s="2" t="s">
        <v>14339</v>
      </c>
      <c r="R961" s="2" t="s">
        <v>1490</v>
      </c>
      <c r="S961" s="2" t="s">
        <v>4971</v>
      </c>
      <c r="T961" s="2" t="s">
        <v>7445</v>
      </c>
      <c r="U961" s="2" t="s">
        <v>7562</v>
      </c>
      <c r="V961" s="2" t="s">
        <v>522</v>
      </c>
      <c r="W961" s="2"/>
    </row>
    <row r="962">
      <c r="A962" s="2" t="n">
        <v>696</v>
      </c>
      <c r="B962" s="2" t="s">
        <v>14340</v>
      </c>
      <c r="C962" s="2" t="s">
        <v>7561</v>
      </c>
      <c r="D962" s="2" t="n">
        <v>637.366526839</v>
      </c>
      <c r="E962" s="2" t="n">
        <v>3.04644219102695</v>
      </c>
      <c r="F962" s="2" t="s">
        <v>14341</v>
      </c>
      <c r="G962" s="2" t="n">
        <v>257511</v>
      </c>
      <c r="H962" s="3" t="str">
        <f>HYPERLINK("http://funmeta.oebiotech.com/network/257511", "http://funmeta.oebiotech.com/network/257511")</f>
      </c>
      <c r="I962" s="2" t="s">
        <v>14342</v>
      </c>
      <c r="J962" s="2"/>
      <c r="K962" s="2"/>
      <c r="L962" s="2"/>
      <c r="M962" s="2"/>
      <c r="N962" s="2" t="s">
        <v>14343</v>
      </c>
      <c r="O962" s="2"/>
      <c r="P962" s="2" t="s">
        <v>14344</v>
      </c>
      <c r="Q962" s="2" t="s">
        <v>14345</v>
      </c>
      <c r="R962" s="2" t="s">
        <v>1490</v>
      </c>
      <c r="S962" s="2" t="s">
        <v>4971</v>
      </c>
      <c r="T962" s="2" t="s">
        <v>7445</v>
      </c>
      <c r="U962" s="2" t="s">
        <v>7562</v>
      </c>
      <c r="V962" s="2" t="s">
        <v>522</v>
      </c>
      <c r="W962" s="2"/>
    </row>
    <row r="963">
      <c r="A963" s="2" t="n">
        <v>696</v>
      </c>
      <c r="B963" s="2" t="s">
        <v>14346</v>
      </c>
      <c r="C963" s="2" t="s">
        <v>7561</v>
      </c>
      <c r="D963" s="2" t="n">
        <v>637.366526839</v>
      </c>
      <c r="E963" s="2" t="n">
        <v>3.04644219102695</v>
      </c>
      <c r="F963" s="2" t="s">
        <v>14347</v>
      </c>
      <c r="G963" s="2" t="n">
        <v>257512</v>
      </c>
      <c r="H963" s="3" t="str">
        <f>HYPERLINK("http://funmeta.oebiotech.com/network/257512", "http://funmeta.oebiotech.com/network/257512")</f>
      </c>
      <c r="I963" s="2" t="s">
        <v>14348</v>
      </c>
      <c r="J963" s="2"/>
      <c r="K963" s="2"/>
      <c r="L963" s="2"/>
      <c r="M963" s="2"/>
      <c r="N963" s="2" t="s">
        <v>14349</v>
      </c>
      <c r="O963" s="2"/>
      <c r="P963" s="2" t="s">
        <v>14350</v>
      </c>
      <c r="Q963" s="2" t="s">
        <v>14351</v>
      </c>
      <c r="R963" s="2" t="s">
        <v>1490</v>
      </c>
      <c r="S963" s="2" t="s">
        <v>4971</v>
      </c>
      <c r="T963" s="2" t="s">
        <v>7445</v>
      </c>
      <c r="U963" s="2" t="s">
        <v>7562</v>
      </c>
      <c r="V963" s="2" t="s">
        <v>522</v>
      </c>
      <c r="W963" s="2"/>
    </row>
    <row r="964">
      <c r="A964" s="2" t="n">
        <v>697</v>
      </c>
      <c r="B964" s="2" t="s">
        <v>14352</v>
      </c>
      <c r="C964" s="2" t="s">
        <v>7569</v>
      </c>
      <c r="D964" s="2" t="n">
        <v>640.0693438</v>
      </c>
      <c r="E964" s="2" t="n">
        <v>0.390502811428726</v>
      </c>
      <c r="F964" s="2" t="s">
        <v>7571</v>
      </c>
      <c r="G964" s="2" t="n">
        <v>211965</v>
      </c>
      <c r="H964" s="3" t="str">
        <f>HYPERLINK("http://funmeta.oebiotech.com/network/211965", "http://funmeta.oebiotech.com/network/211965")</f>
      </c>
      <c r="I964" s="2" t="s">
        <v>7573</v>
      </c>
      <c r="J964" s="2"/>
      <c r="K964" s="2"/>
      <c r="L964" s="2"/>
      <c r="M964" s="2"/>
      <c r="N964" s="2" t="s">
        <v>7574</v>
      </c>
      <c r="O964" s="2"/>
      <c r="P964" s="2" t="s">
        <v>7575</v>
      </c>
      <c r="Q964" s="2" t="s">
        <v>7576</v>
      </c>
      <c r="R964" s="2" t="s">
        <v>49</v>
      </c>
      <c r="S964" s="2" t="s">
        <v>165</v>
      </c>
      <c r="T964" s="2" t="s">
        <v>166</v>
      </c>
      <c r="U964" s="2" t="s">
        <v>7570</v>
      </c>
      <c r="V964" s="2" t="s">
        <v>360</v>
      </c>
      <c r="W964" s="2"/>
    </row>
    <row r="965">
      <c r="A965" s="2" t="n">
        <v>698</v>
      </c>
      <c r="B965" s="2" t="s">
        <v>14353</v>
      </c>
      <c r="C965" s="2" t="s">
        <v>7577</v>
      </c>
      <c r="D965" s="2" t="n">
        <v>640.203559887</v>
      </c>
      <c r="E965" s="2" t="n">
        <v>7.09091590889547</v>
      </c>
      <c r="F965" s="2" t="s">
        <v>7579</v>
      </c>
      <c r="G965" s="2" t="n">
        <v>200745</v>
      </c>
      <c r="H965" s="3" t="str">
        <f>HYPERLINK("http://funmeta.oebiotech.com/network/200745", "http://funmeta.oebiotech.com/network/200745")</f>
      </c>
      <c r="I965" s="2" t="s">
        <v>7581</v>
      </c>
      <c r="J965" s="2"/>
      <c r="K965" s="2"/>
      <c r="L965" s="2"/>
      <c r="M965" s="2"/>
      <c r="N965" s="2" t="s">
        <v>7582</v>
      </c>
      <c r="O965" s="2"/>
      <c r="P965" s="2" t="s">
        <v>7583</v>
      </c>
      <c r="Q965" s="2" t="s">
        <v>7584</v>
      </c>
      <c r="R965" s="2" t="s">
        <v>2509</v>
      </c>
      <c r="S965" s="2" t="s">
        <v>6605</v>
      </c>
      <c r="T965" s="2" t="s">
        <v>205</v>
      </c>
      <c r="U965" s="2" t="s">
        <v>7578</v>
      </c>
      <c r="V965" s="2" t="s">
        <v>24</v>
      </c>
      <c r="W965" s="2"/>
    </row>
    <row r="966">
      <c r="A966" s="2" t="n">
        <v>699</v>
      </c>
      <c r="B966" s="2" t="s">
        <v>14354</v>
      </c>
      <c r="C966" s="2" t="s">
        <v>7585</v>
      </c>
      <c r="D966" s="2" t="n">
        <v>641.172319354</v>
      </c>
      <c r="E966" s="2" t="n">
        <v>1.07240199437909</v>
      </c>
      <c r="F966" s="2" t="s">
        <v>14355</v>
      </c>
      <c r="G966" s="2" t="n">
        <v>34535</v>
      </c>
      <c r="H966" s="3" t="str">
        <f>HYPERLINK("http://funmeta.oebiotech.com/network/34535", "http://funmeta.oebiotech.com/network/34535")</f>
      </c>
      <c r="I966" s="2" t="s">
        <v>14356</v>
      </c>
      <c r="J966" s="2" t="s">
        <v>14357</v>
      </c>
      <c r="K966" s="2" t="s">
        <v>14358</v>
      </c>
      <c r="L966" s="2" t="s">
        <v>14359</v>
      </c>
      <c r="M966" s="2" t="s">
        <v>14360</v>
      </c>
      <c r="N966" s="2" t="s">
        <v>14361</v>
      </c>
      <c r="O966" s="2"/>
      <c r="P966" s="2" t="s">
        <v>14362</v>
      </c>
      <c r="Q966" s="2" t="s">
        <v>14363</v>
      </c>
      <c r="R966" s="2" t="s">
        <v>2509</v>
      </c>
      <c r="S966" s="2" t="s">
        <v>5520</v>
      </c>
      <c r="T966" s="2" t="s">
        <v>5664</v>
      </c>
      <c r="U966" s="2" t="s">
        <v>7586</v>
      </c>
      <c r="V966" s="2" t="s">
        <v>24</v>
      </c>
      <c r="W966" s="2" t="s">
        <v>39</v>
      </c>
    </row>
    <row r="967">
      <c r="A967" s="2" t="n">
        <v>699</v>
      </c>
      <c r="B967" s="2" t="s">
        <v>14364</v>
      </c>
      <c r="C967" s="2" t="s">
        <v>7585</v>
      </c>
      <c r="D967" s="2" t="n">
        <v>641.172319354</v>
      </c>
      <c r="E967" s="2" t="n">
        <v>1.07240199437909</v>
      </c>
      <c r="F967" s="2" t="s">
        <v>14365</v>
      </c>
      <c r="G967" s="2" t="n">
        <v>48623</v>
      </c>
      <c r="H967" s="3" t="str">
        <f>HYPERLINK("http://funmeta.oebiotech.com/network/48623", "http://funmeta.oebiotech.com/network/48623")</f>
      </c>
      <c r="I967" s="2" t="s">
        <v>14366</v>
      </c>
      <c r="J967" s="2"/>
      <c r="K967" s="2"/>
      <c r="L967" s="2" t="s">
        <v>14367</v>
      </c>
      <c r="M967" s="2"/>
      <c r="N967" s="2" t="s">
        <v>14368</v>
      </c>
      <c r="O967" s="2" t="s">
        <v>14369</v>
      </c>
      <c r="P967" s="2" t="s">
        <v>14370</v>
      </c>
      <c r="Q967" s="2" t="s">
        <v>14371</v>
      </c>
      <c r="R967" s="2" t="s">
        <v>502</v>
      </c>
      <c r="S967" s="2" t="s">
        <v>2413</v>
      </c>
      <c r="T967" s="2" t="s">
        <v>14372</v>
      </c>
      <c r="U967" s="2" t="s">
        <v>7586</v>
      </c>
      <c r="V967" s="2" t="s">
        <v>24</v>
      </c>
      <c r="W967" s="2" t="s">
        <v>39</v>
      </c>
    </row>
    <row r="968">
      <c r="A968" s="2" t="n">
        <v>699</v>
      </c>
      <c r="B968" s="2" t="s">
        <v>14373</v>
      </c>
      <c r="C968" s="2" t="s">
        <v>7585</v>
      </c>
      <c r="D968" s="2" t="n">
        <v>641.172319354</v>
      </c>
      <c r="E968" s="2" t="n">
        <v>1.07240199437909</v>
      </c>
      <c r="F968" s="2" t="s">
        <v>14374</v>
      </c>
      <c r="G968" s="2" t="n">
        <v>61048</v>
      </c>
      <c r="H968" s="3" t="str">
        <f>HYPERLINK("http://funmeta.oebiotech.com/network/61048", "http://funmeta.oebiotech.com/network/61048")</f>
      </c>
      <c r="I968" s="2" t="s">
        <v>14375</v>
      </c>
      <c r="J968" s="2"/>
      <c r="K968" s="2"/>
      <c r="L968" s="2" t="s">
        <v>14376</v>
      </c>
      <c r="M968" s="2"/>
      <c r="N968" s="2" t="s">
        <v>14377</v>
      </c>
      <c r="O968" s="2" t="s">
        <v>14378</v>
      </c>
      <c r="P968" s="2" t="s">
        <v>14379</v>
      </c>
      <c r="Q968" s="2" t="s">
        <v>14380</v>
      </c>
      <c r="R968" s="2" t="s">
        <v>2509</v>
      </c>
      <c r="S968" s="2" t="s">
        <v>5520</v>
      </c>
      <c r="T968" s="2" t="s">
        <v>5664</v>
      </c>
      <c r="U968" s="2" t="s">
        <v>7586</v>
      </c>
      <c r="V968" s="2" t="s">
        <v>24</v>
      </c>
      <c r="W968" s="2" t="s">
        <v>39</v>
      </c>
    </row>
    <row r="969">
      <c r="A969" s="2" t="n">
        <v>700</v>
      </c>
      <c r="B969" s="2" t="s">
        <v>14381</v>
      </c>
      <c r="C969" s="2" t="s">
        <v>7601</v>
      </c>
      <c r="D969" s="2" t="n">
        <v>643.158778488</v>
      </c>
      <c r="E969" s="2" t="n">
        <v>6.20143348979074</v>
      </c>
      <c r="F969" s="2" t="s">
        <v>7603</v>
      </c>
      <c r="G969" s="2" t="n">
        <v>62598</v>
      </c>
      <c r="H969" s="3" t="str">
        <f>HYPERLINK("http://funmeta.oebiotech.com/network/62598", "http://funmeta.oebiotech.com/network/62598")</f>
      </c>
      <c r="I969" s="2" t="s">
        <v>7605</v>
      </c>
      <c r="J969" s="2" t="s">
        <v>7606</v>
      </c>
      <c r="K969" s="2"/>
      <c r="L969" s="2"/>
      <c r="M969" s="2"/>
      <c r="N969" s="2" t="s">
        <v>7607</v>
      </c>
      <c r="O969" s="2" t="s">
        <v>7608</v>
      </c>
      <c r="P969" s="2" t="s">
        <v>7609</v>
      </c>
      <c r="Q969" s="2" t="s">
        <v>7610</v>
      </c>
      <c r="R969" s="2" t="s">
        <v>64</v>
      </c>
      <c r="S969" s="2" t="s">
        <v>65</v>
      </c>
      <c r="T969" s="2" t="s">
        <v>66</v>
      </c>
      <c r="U969" s="2" t="s">
        <v>7602</v>
      </c>
      <c r="V969" s="2" t="s">
        <v>522</v>
      </c>
      <c r="W969" s="2"/>
    </row>
    <row r="970">
      <c r="A970" s="2" t="n">
        <v>701</v>
      </c>
      <c r="B970" s="2" t="s">
        <v>14382</v>
      </c>
      <c r="C970" s="2" t="s">
        <v>7611</v>
      </c>
      <c r="D970" s="2" t="n">
        <v>643.26795538</v>
      </c>
      <c r="E970" s="2" t="n">
        <v>0.329376746063263</v>
      </c>
      <c r="F970" s="2" t="s">
        <v>14383</v>
      </c>
      <c r="G970" s="2" t="n">
        <v>57367</v>
      </c>
      <c r="H970" s="3" t="str">
        <f>HYPERLINK("http://funmeta.oebiotech.com/network/57367", "http://funmeta.oebiotech.com/network/57367")</f>
      </c>
      <c r="I970" s="2" t="s">
        <v>14384</v>
      </c>
      <c r="J970" s="2" t="s">
        <v>14385</v>
      </c>
      <c r="K970" s="2"/>
      <c r="L970" s="2"/>
      <c r="M970" s="2" t="s">
        <v>14386</v>
      </c>
      <c r="N970" s="2" t="s">
        <v>14387</v>
      </c>
      <c r="O970" s="2" t="s">
        <v>14388</v>
      </c>
      <c r="P970" s="2" t="s">
        <v>14389</v>
      </c>
      <c r="Q970" s="2" t="s">
        <v>14390</v>
      </c>
      <c r="R970" s="2" t="s">
        <v>49</v>
      </c>
      <c r="S970" s="2" t="s">
        <v>165</v>
      </c>
      <c r="T970" s="2" t="s">
        <v>166</v>
      </c>
      <c r="U970" s="2" t="s">
        <v>7612</v>
      </c>
      <c r="V970" s="2" t="s">
        <v>1019</v>
      </c>
      <c r="W970" s="2"/>
    </row>
    <row r="971">
      <c r="A971" s="2" t="n">
        <v>701</v>
      </c>
      <c r="B971" s="2" t="s">
        <v>14391</v>
      </c>
      <c r="C971" s="2" t="s">
        <v>7611</v>
      </c>
      <c r="D971" s="2" t="n">
        <v>643.26795538</v>
      </c>
      <c r="E971" s="2" t="n">
        <v>0.329376746063263</v>
      </c>
      <c r="F971" s="2" t="s">
        <v>14392</v>
      </c>
      <c r="G971" s="2" t="n">
        <v>57368</v>
      </c>
      <c r="H971" s="3" t="str">
        <f>HYPERLINK("http://funmeta.oebiotech.com/network/57368", "http://funmeta.oebiotech.com/network/57368")</f>
      </c>
      <c r="I971" s="2" t="s">
        <v>14393</v>
      </c>
      <c r="J971" s="2" t="s">
        <v>14394</v>
      </c>
      <c r="K971" s="2"/>
      <c r="L971" s="2"/>
      <c r="M971" s="2" t="s">
        <v>14395</v>
      </c>
      <c r="N971" s="2" t="s">
        <v>14396</v>
      </c>
      <c r="O971" s="2" t="s">
        <v>14397</v>
      </c>
      <c r="P971" s="2" t="s">
        <v>14398</v>
      </c>
      <c r="Q971" s="2" t="s">
        <v>14399</v>
      </c>
      <c r="R971" s="2" t="s">
        <v>64</v>
      </c>
      <c r="S971" s="2" t="s">
        <v>65</v>
      </c>
      <c r="T971" s="2" t="s">
        <v>66</v>
      </c>
      <c r="U971" s="2" t="s">
        <v>7612</v>
      </c>
      <c r="V971" s="2" t="s">
        <v>1019</v>
      </c>
      <c r="W971" s="2"/>
    </row>
    <row r="972">
      <c r="A972" s="2" t="n">
        <v>701</v>
      </c>
      <c r="B972" s="2" t="s">
        <v>14400</v>
      </c>
      <c r="C972" s="2" t="s">
        <v>7611</v>
      </c>
      <c r="D972" s="2" t="n">
        <v>643.26795538</v>
      </c>
      <c r="E972" s="2" t="n">
        <v>0.329376746063263</v>
      </c>
      <c r="F972" s="2" t="s">
        <v>14401</v>
      </c>
      <c r="G972" s="2" t="n">
        <v>55231</v>
      </c>
      <c r="H972" s="3" t="str">
        <f>HYPERLINK("http://funmeta.oebiotech.com/network/55231", "http://funmeta.oebiotech.com/network/55231")</f>
      </c>
      <c r="I972" s="2" t="s">
        <v>14402</v>
      </c>
      <c r="J972" s="2" t="s">
        <v>14403</v>
      </c>
      <c r="K972" s="2"/>
      <c r="L972" s="2"/>
      <c r="M972" s="2" t="s">
        <v>14404</v>
      </c>
      <c r="N972" s="2" t="s">
        <v>14405</v>
      </c>
      <c r="O972" s="2" t="s">
        <v>14406</v>
      </c>
      <c r="P972" s="2" t="s">
        <v>14407</v>
      </c>
      <c r="Q972" s="2" t="s">
        <v>14408</v>
      </c>
      <c r="R972" s="2" t="s">
        <v>49</v>
      </c>
      <c r="S972" s="2" t="s">
        <v>165</v>
      </c>
      <c r="T972" s="2" t="s">
        <v>166</v>
      </c>
      <c r="U972" s="2" t="s">
        <v>7612</v>
      </c>
      <c r="V972" s="2" t="s">
        <v>1019</v>
      </c>
      <c r="W972" s="2"/>
    </row>
    <row r="973">
      <c r="A973" s="2" t="n">
        <v>702</v>
      </c>
      <c r="B973" s="2" t="s">
        <v>14409</v>
      </c>
      <c r="C973" s="2" t="s">
        <v>7625</v>
      </c>
      <c r="D973" s="2" t="n">
        <v>643.36183539</v>
      </c>
      <c r="E973" s="2" t="n">
        <v>3.87387851208431</v>
      </c>
      <c r="F973" s="2" t="s">
        <v>7627</v>
      </c>
      <c r="G973" s="2" t="n">
        <v>55156</v>
      </c>
      <c r="H973" s="3" t="str">
        <f>HYPERLINK("http://funmeta.oebiotech.com/network/55156", "http://funmeta.oebiotech.com/network/55156")</f>
      </c>
      <c r="I973" s="2" t="s">
        <v>7629</v>
      </c>
      <c r="J973" s="2"/>
      <c r="K973" s="2"/>
      <c r="L973" s="2"/>
      <c r="M973" s="2"/>
      <c r="N973" s="2" t="s">
        <v>7630</v>
      </c>
      <c r="O973" s="2" t="s">
        <v>7631</v>
      </c>
      <c r="P973" s="2" t="s">
        <v>7632</v>
      </c>
      <c r="Q973" s="2" t="s">
        <v>7633</v>
      </c>
      <c r="R973" s="2" t="s">
        <v>1490</v>
      </c>
      <c r="S973" s="2" t="s">
        <v>3546</v>
      </c>
      <c r="T973" s="2" t="s">
        <v>7355</v>
      </c>
      <c r="U973" s="2" t="s">
        <v>7626</v>
      </c>
      <c r="V973" s="2" t="s">
        <v>522</v>
      </c>
      <c r="W973" s="2"/>
    </row>
    <row r="974">
      <c r="A974" s="2" t="n">
        <v>703</v>
      </c>
      <c r="B974" s="2" t="s">
        <v>14410</v>
      </c>
      <c r="C974" s="2" t="s">
        <v>7634</v>
      </c>
      <c r="D974" s="2" t="n">
        <v>644.150911497</v>
      </c>
      <c r="E974" s="2" t="n">
        <v>1.25053539597514</v>
      </c>
      <c r="F974" s="2" t="s">
        <v>7636</v>
      </c>
      <c r="G974" s="2" t="n">
        <v>257605</v>
      </c>
      <c r="H974" s="3" t="str">
        <f>HYPERLINK("http://funmeta.oebiotech.com/network/257605", "http://funmeta.oebiotech.com/network/257605")</f>
      </c>
      <c r="I974" s="2" t="s">
        <v>7638</v>
      </c>
      <c r="J974" s="2"/>
      <c r="K974" s="2"/>
      <c r="L974" s="2"/>
      <c r="M974" s="2"/>
      <c r="N974" s="2"/>
      <c r="O974" s="2"/>
      <c r="P974" s="2" t="s">
        <v>7639</v>
      </c>
      <c r="Q974" s="2" t="s">
        <v>7640</v>
      </c>
      <c r="R974" s="2" t="s">
        <v>502</v>
      </c>
      <c r="S974" s="2" t="s">
        <v>503</v>
      </c>
      <c r="T974" s="2" t="s">
        <v>7641</v>
      </c>
      <c r="U974" s="2" t="s">
        <v>7635</v>
      </c>
      <c r="V974" s="2" t="s">
        <v>360</v>
      </c>
      <c r="W974" s="2"/>
    </row>
    <row r="975">
      <c r="A975" s="2" t="n">
        <v>704</v>
      </c>
      <c r="B975" s="2" t="s">
        <v>14411</v>
      </c>
      <c r="C975" s="2" t="s">
        <v>7642</v>
      </c>
      <c r="D975" s="2" t="n">
        <v>647.1438107</v>
      </c>
      <c r="E975" s="2" t="n">
        <v>0.350828528192761</v>
      </c>
      <c r="F975" s="2" t="s">
        <v>7644</v>
      </c>
      <c r="G975" s="2" t="n">
        <v>203781</v>
      </c>
      <c r="H975" s="3" t="str">
        <f>HYPERLINK("http://funmeta.oebiotech.com/network/203781", "http://funmeta.oebiotech.com/network/203781")</f>
      </c>
      <c r="I975" s="2" t="s">
        <v>7646</v>
      </c>
      <c r="J975" s="2"/>
      <c r="K975" s="2"/>
      <c r="L975" s="2"/>
      <c r="M975" s="2"/>
      <c r="N975" s="2"/>
      <c r="O975" s="2"/>
      <c r="P975" s="2" t="s">
        <v>7647</v>
      </c>
      <c r="Q975" s="2" t="s">
        <v>7648</v>
      </c>
      <c r="R975" s="2" t="s">
        <v>355</v>
      </c>
      <c r="S975" s="2" t="s">
        <v>5131</v>
      </c>
      <c r="T975" s="2" t="s">
        <v>5132</v>
      </c>
      <c r="U975" s="2" t="s">
        <v>7643</v>
      </c>
      <c r="V975" s="2" t="s">
        <v>110</v>
      </c>
      <c r="W975" s="2"/>
    </row>
    <row r="976">
      <c r="A976" s="2" t="n">
        <v>705</v>
      </c>
      <c r="B976" s="2" t="s">
        <v>14412</v>
      </c>
      <c r="C976" s="2" t="s">
        <v>7649</v>
      </c>
      <c r="D976" s="2" t="n">
        <v>651.463009476</v>
      </c>
      <c r="E976" s="2" t="n">
        <v>5.1542047929274</v>
      </c>
      <c r="F976" s="2" t="s">
        <v>14413</v>
      </c>
      <c r="G976" s="2" t="n">
        <v>8498</v>
      </c>
      <c r="H976" s="3" t="str">
        <f>HYPERLINK("http://funmeta.oebiotech.com/network/8498", "http://funmeta.oebiotech.com/network/8498")</f>
      </c>
      <c r="I976" s="2" t="s">
        <v>14414</v>
      </c>
      <c r="J976" s="2"/>
      <c r="K976" s="2" t="s">
        <v>14415</v>
      </c>
      <c r="L976" s="2"/>
      <c r="M976" s="2"/>
      <c r="N976" s="2" t="s">
        <v>14416</v>
      </c>
      <c r="O976" s="2"/>
      <c r="P976" s="2" t="s">
        <v>14417</v>
      </c>
      <c r="Q976" s="2" t="s">
        <v>14418</v>
      </c>
      <c r="R976" s="2" t="s">
        <v>1490</v>
      </c>
      <c r="S976" s="2" t="s">
        <v>1491</v>
      </c>
      <c r="T976" s="2" t="s">
        <v>3437</v>
      </c>
      <c r="U976" s="2" t="s">
        <v>7650</v>
      </c>
      <c r="V976" s="2" t="s">
        <v>24</v>
      </c>
      <c r="W976" s="2"/>
    </row>
    <row r="977">
      <c r="A977" s="2" t="n">
        <v>705</v>
      </c>
      <c r="B977" s="2" t="s">
        <v>14419</v>
      </c>
      <c r="C977" s="2" t="s">
        <v>7649</v>
      </c>
      <c r="D977" s="2" t="n">
        <v>651.463009476</v>
      </c>
      <c r="E977" s="2" t="n">
        <v>5.1542047929274</v>
      </c>
      <c r="F977" s="2" t="s">
        <v>14420</v>
      </c>
      <c r="G977" s="2" t="n">
        <v>8497</v>
      </c>
      <c r="H977" s="3" t="str">
        <f>HYPERLINK("http://funmeta.oebiotech.com/network/8497", "http://funmeta.oebiotech.com/network/8497")</f>
      </c>
      <c r="I977" s="2" t="s">
        <v>14421</v>
      </c>
      <c r="J977" s="2"/>
      <c r="K977" s="2" t="s">
        <v>14422</v>
      </c>
      <c r="L977" s="2"/>
      <c r="M977" s="2"/>
      <c r="N977" s="2" t="s">
        <v>14423</v>
      </c>
      <c r="O977" s="2"/>
      <c r="P977" s="2" t="s">
        <v>14424</v>
      </c>
      <c r="Q977" s="2" t="s">
        <v>14425</v>
      </c>
      <c r="R977" s="2" t="s">
        <v>1490</v>
      </c>
      <c r="S977" s="2" t="s">
        <v>1491</v>
      </c>
      <c r="T977" s="2" t="s">
        <v>3437</v>
      </c>
      <c r="U977" s="2" t="s">
        <v>7650</v>
      </c>
      <c r="V977" s="2" t="s">
        <v>24</v>
      </c>
      <c r="W977" s="2"/>
    </row>
    <row r="978">
      <c r="A978" s="2" t="n">
        <v>706</v>
      </c>
      <c r="B978" s="2" t="s">
        <v>14426</v>
      </c>
      <c r="C978" s="2" t="s">
        <v>7658</v>
      </c>
      <c r="D978" s="2" t="n">
        <v>652.344166695</v>
      </c>
      <c r="E978" s="2" t="n">
        <v>4.58136537846628</v>
      </c>
      <c r="F978" s="2" t="s">
        <v>7660</v>
      </c>
      <c r="G978" s="2" t="n">
        <v>204863</v>
      </c>
      <c r="H978" s="3" t="str">
        <f>HYPERLINK("http://funmeta.oebiotech.com/network/204863", "http://funmeta.oebiotech.com/network/204863")</f>
      </c>
      <c r="I978" s="2" t="s">
        <v>7662</v>
      </c>
      <c r="J978" s="2"/>
      <c r="K978" s="2"/>
      <c r="L978" s="2"/>
      <c r="M978" s="2"/>
      <c r="N978" s="2" t="s">
        <v>7663</v>
      </c>
      <c r="O978" s="2"/>
      <c r="P978" s="2" t="s">
        <v>7664</v>
      </c>
      <c r="Q978" s="2" t="s">
        <v>7665</v>
      </c>
      <c r="R978" s="2" t="s">
        <v>49</v>
      </c>
      <c r="S978" s="2" t="s">
        <v>165</v>
      </c>
      <c r="T978" s="2" t="s">
        <v>166</v>
      </c>
      <c r="U978" s="2" t="s">
        <v>7659</v>
      </c>
      <c r="V978" s="2" t="s">
        <v>250</v>
      </c>
      <c r="W978" s="2"/>
    </row>
    <row r="979">
      <c r="A979" s="2" t="n">
        <v>707</v>
      </c>
      <c r="B979" s="2" t="s">
        <v>14427</v>
      </c>
      <c r="C979" s="2" t="s">
        <v>7666</v>
      </c>
      <c r="D979" s="2" t="n">
        <v>653.239221424</v>
      </c>
      <c r="E979" s="2" t="n">
        <v>5.9736916707251</v>
      </c>
      <c r="F979" s="2" t="s">
        <v>7668</v>
      </c>
      <c r="G979" s="2" t="n">
        <v>208777</v>
      </c>
      <c r="H979" s="3" t="str">
        <f>HYPERLINK("http://funmeta.oebiotech.com/network/208777", "http://funmeta.oebiotech.com/network/208777")</f>
      </c>
      <c r="I979" s="2" t="s">
        <v>7670</v>
      </c>
      <c r="J979" s="2"/>
      <c r="K979" s="2"/>
      <c r="L979" s="2"/>
      <c r="M979" s="2"/>
      <c r="N979" s="2" t="s">
        <v>7671</v>
      </c>
      <c r="O979" s="2"/>
      <c r="P979" s="2" t="s">
        <v>7672</v>
      </c>
      <c r="Q979" s="2" t="s">
        <v>7673</v>
      </c>
      <c r="R979" s="2" t="s">
        <v>1490</v>
      </c>
      <c r="S979" s="2" t="s">
        <v>4971</v>
      </c>
      <c r="T979" s="2" t="s">
        <v>6983</v>
      </c>
      <c r="U979" s="2" t="s">
        <v>7667</v>
      </c>
      <c r="V979" s="2" t="s">
        <v>110</v>
      </c>
      <c r="W979" s="2"/>
    </row>
    <row r="980">
      <c r="A980" s="2" t="n">
        <v>708</v>
      </c>
      <c r="B980" s="2" t="s">
        <v>14428</v>
      </c>
      <c r="C980" s="2" t="s">
        <v>7674</v>
      </c>
      <c r="D980" s="2" t="n">
        <v>654.486249175</v>
      </c>
      <c r="E980" s="2" t="n">
        <v>1.31730729092232</v>
      </c>
      <c r="F980" s="2" t="s">
        <v>7676</v>
      </c>
      <c r="G980" s="2" t="n">
        <v>49937</v>
      </c>
      <c r="H980" s="3" t="str">
        <f>HYPERLINK("http://funmeta.oebiotech.com/network/49937", "http://funmeta.oebiotech.com/network/49937")</f>
      </c>
      <c r="I980" s="2" t="s">
        <v>7678</v>
      </c>
      <c r="J980" s="2" t="s">
        <v>7679</v>
      </c>
      <c r="K980" s="2"/>
      <c r="L980" s="2" t="s">
        <v>7680</v>
      </c>
      <c r="M980" s="2"/>
      <c r="N980" s="2" t="s">
        <v>7681</v>
      </c>
      <c r="O980" s="2"/>
      <c r="P980" s="2" t="s">
        <v>7682</v>
      </c>
      <c r="Q980" s="2" t="s">
        <v>7683</v>
      </c>
      <c r="R980" s="2" t="s">
        <v>1490</v>
      </c>
      <c r="S980" s="2" t="s">
        <v>4236</v>
      </c>
      <c r="T980" s="2" t="s">
        <v>5369</v>
      </c>
      <c r="U980" s="2" t="s">
        <v>7675</v>
      </c>
      <c r="V980" s="2" t="s">
        <v>42</v>
      </c>
      <c r="W980" s="2" t="s">
        <v>39</v>
      </c>
    </row>
    <row r="981">
      <c r="A981" s="2" t="n">
        <v>709</v>
      </c>
      <c r="B981" s="2" t="s">
        <v>14429</v>
      </c>
      <c r="C981" s="2" t="s">
        <v>7684</v>
      </c>
      <c r="D981" s="2" t="n">
        <v>655.096279144</v>
      </c>
      <c r="E981" s="2" t="n">
        <v>0.504080631313367</v>
      </c>
      <c r="F981" s="2" t="s">
        <v>14430</v>
      </c>
      <c r="G981" s="2" t="n">
        <v>57165</v>
      </c>
      <c r="H981" s="3" t="str">
        <f>HYPERLINK("http://funmeta.oebiotech.com/network/57165", "http://funmeta.oebiotech.com/network/57165")</f>
      </c>
      <c r="I981" s="2" t="s">
        <v>14431</v>
      </c>
      <c r="J981" s="2"/>
      <c r="K981" s="2"/>
      <c r="L981" s="2"/>
      <c r="M981" s="2"/>
      <c r="N981" s="2" t="s">
        <v>14432</v>
      </c>
      <c r="O981" s="2" t="s">
        <v>14433</v>
      </c>
      <c r="P981" s="2" t="s">
        <v>14434</v>
      </c>
      <c r="Q981" s="2" t="s">
        <v>14435</v>
      </c>
      <c r="R981" s="2" t="s">
        <v>502</v>
      </c>
      <c r="S981" s="2" t="s">
        <v>2413</v>
      </c>
      <c r="T981" s="2" t="s">
        <v>205</v>
      </c>
      <c r="U981" s="2" t="s">
        <v>7685</v>
      </c>
      <c r="V981" s="2" t="s">
        <v>1019</v>
      </c>
      <c r="W981" s="2"/>
    </row>
    <row r="982">
      <c r="A982" s="2" t="n">
        <v>709</v>
      </c>
      <c r="B982" s="2" t="s">
        <v>14436</v>
      </c>
      <c r="C982" s="2" t="s">
        <v>7684</v>
      </c>
      <c r="D982" s="2" t="n">
        <v>655.096279144</v>
      </c>
      <c r="E982" s="2" t="n">
        <v>0.504080631313367</v>
      </c>
      <c r="F982" s="2" t="s">
        <v>14437</v>
      </c>
      <c r="G982" s="2" t="n">
        <v>57152</v>
      </c>
      <c r="H982" s="3" t="str">
        <f>HYPERLINK("http://funmeta.oebiotech.com/network/57152", "http://funmeta.oebiotech.com/network/57152")</f>
      </c>
      <c r="I982" s="2" t="s">
        <v>14438</v>
      </c>
      <c r="J982" s="2"/>
      <c r="K982" s="2"/>
      <c r="L982" s="2"/>
      <c r="M982" s="2"/>
      <c r="N982" s="2"/>
      <c r="O982" s="2" t="s">
        <v>14439</v>
      </c>
      <c r="P982" s="2" t="s">
        <v>14440</v>
      </c>
      <c r="Q982" s="2" t="s">
        <v>14441</v>
      </c>
      <c r="R982" s="2" t="s">
        <v>502</v>
      </c>
      <c r="S982" s="2" t="s">
        <v>2413</v>
      </c>
      <c r="T982" s="2" t="s">
        <v>14442</v>
      </c>
      <c r="U982" s="2" t="s">
        <v>7685</v>
      </c>
      <c r="V982" s="2" t="s">
        <v>1019</v>
      </c>
      <c r="W982" s="2"/>
    </row>
    <row r="983">
      <c r="A983" s="2" t="n">
        <v>709</v>
      </c>
      <c r="B983" s="2" t="s">
        <v>14443</v>
      </c>
      <c r="C983" s="2" t="s">
        <v>7684</v>
      </c>
      <c r="D983" s="2" t="n">
        <v>655.096279144</v>
      </c>
      <c r="E983" s="2" t="n">
        <v>0.504080631313367</v>
      </c>
      <c r="F983" s="2" t="s">
        <v>14444</v>
      </c>
      <c r="G983" s="2" t="n">
        <v>61321</v>
      </c>
      <c r="H983" s="3" t="str">
        <f>HYPERLINK("http://funmeta.oebiotech.com/network/61321", "http://funmeta.oebiotech.com/network/61321")</f>
      </c>
      <c r="I983" s="2" t="s">
        <v>14445</v>
      </c>
      <c r="J983" s="2"/>
      <c r="K983" s="2"/>
      <c r="L983" s="2"/>
      <c r="M983" s="2"/>
      <c r="N983" s="2"/>
      <c r="O983" s="2" t="s">
        <v>14446</v>
      </c>
      <c r="P983" s="2" t="s">
        <v>14447</v>
      </c>
      <c r="Q983" s="2" t="s">
        <v>14448</v>
      </c>
      <c r="R983" s="2" t="s">
        <v>502</v>
      </c>
      <c r="S983" s="2" t="s">
        <v>2413</v>
      </c>
      <c r="T983" s="2" t="s">
        <v>14442</v>
      </c>
      <c r="U983" s="2" t="s">
        <v>7685</v>
      </c>
      <c r="V983" s="2" t="s">
        <v>1019</v>
      </c>
      <c r="W983" s="2"/>
    </row>
    <row r="984">
      <c r="A984" s="2" t="n">
        <v>710</v>
      </c>
      <c r="B984" s="2" t="s">
        <v>14449</v>
      </c>
      <c r="C984" s="2" t="s">
        <v>7695</v>
      </c>
      <c r="D984" s="2" t="n">
        <v>655.1951776</v>
      </c>
      <c r="E984" s="2" t="n">
        <v>0.559958966119056</v>
      </c>
      <c r="F984" s="2" t="s">
        <v>7697</v>
      </c>
      <c r="G984" s="2" t="n">
        <v>212752</v>
      </c>
      <c r="H984" s="3" t="str">
        <f>HYPERLINK("http://funmeta.oebiotech.com/network/212752", "http://funmeta.oebiotech.com/network/212752")</f>
      </c>
      <c r="I984" s="2" t="s">
        <v>7699</v>
      </c>
      <c r="J984" s="2"/>
      <c r="K984" s="2"/>
      <c r="L984" s="2"/>
      <c r="M984" s="2"/>
      <c r="N984" s="2" t="s">
        <v>7700</v>
      </c>
      <c r="O984" s="2"/>
      <c r="P984" s="2" t="s">
        <v>7701</v>
      </c>
      <c r="Q984" s="2" t="s">
        <v>7702</v>
      </c>
      <c r="R984" s="2" t="s">
        <v>502</v>
      </c>
      <c r="S984" s="2" t="s">
        <v>503</v>
      </c>
      <c r="T984" s="2" t="s">
        <v>2313</v>
      </c>
      <c r="U984" s="2" t="s">
        <v>7696</v>
      </c>
      <c r="V984" s="2" t="s">
        <v>1019</v>
      </c>
      <c r="W984" s="2"/>
    </row>
    <row r="985">
      <c r="A985" s="2" t="n">
        <v>711</v>
      </c>
      <c r="B985" s="2" t="s">
        <v>14450</v>
      </c>
      <c r="C985" s="2" t="s">
        <v>7703</v>
      </c>
      <c r="D985" s="2" t="n">
        <v>657.086401406</v>
      </c>
      <c r="E985" s="2" t="n">
        <v>2.92968924935144</v>
      </c>
      <c r="F985" s="2" t="s">
        <v>14451</v>
      </c>
      <c r="G985" s="2" t="n">
        <v>64794</v>
      </c>
      <c r="H985" s="3" t="str">
        <f>HYPERLINK("http://funmeta.oebiotech.com/network/64794", "http://funmeta.oebiotech.com/network/64794")</f>
      </c>
      <c r="I985" s="2" t="s">
        <v>14452</v>
      </c>
      <c r="J985" s="2" t="s">
        <v>14453</v>
      </c>
      <c r="K985" s="2"/>
      <c r="L985" s="2"/>
      <c r="M985" s="2"/>
      <c r="N985" s="2" t="s">
        <v>14454</v>
      </c>
      <c r="O985" s="2"/>
      <c r="P985" s="2" t="s">
        <v>14455</v>
      </c>
      <c r="Q985" s="2" t="s">
        <v>14456</v>
      </c>
      <c r="R985" s="2" t="s">
        <v>2509</v>
      </c>
      <c r="S985" s="2" t="s">
        <v>4720</v>
      </c>
      <c r="T985" s="2" t="s">
        <v>7346</v>
      </c>
      <c r="U985" s="2" t="s">
        <v>7704</v>
      </c>
      <c r="V985" s="2" t="s">
        <v>522</v>
      </c>
      <c r="W985" s="2"/>
    </row>
    <row r="986">
      <c r="A986" s="2" t="n">
        <v>711</v>
      </c>
      <c r="B986" s="2" t="s">
        <v>14457</v>
      </c>
      <c r="C986" s="2" t="s">
        <v>7703</v>
      </c>
      <c r="D986" s="2" t="n">
        <v>657.086401406</v>
      </c>
      <c r="E986" s="2" t="n">
        <v>2.92968924935144</v>
      </c>
      <c r="F986" s="2" t="s">
        <v>14458</v>
      </c>
      <c r="G986" s="2" t="n">
        <v>30452</v>
      </c>
      <c r="H986" s="3" t="str">
        <f>HYPERLINK("http://funmeta.oebiotech.com/network/30452", "http://funmeta.oebiotech.com/network/30452")</f>
      </c>
      <c r="I986" s="2" t="s">
        <v>14459</v>
      </c>
      <c r="J986" s="2" t="s">
        <v>14460</v>
      </c>
      <c r="K986" s="2" t="s">
        <v>14461</v>
      </c>
      <c r="L986" s="2"/>
      <c r="M986" s="2"/>
      <c r="N986" s="2" t="s">
        <v>14462</v>
      </c>
      <c r="O986" s="2"/>
      <c r="P986" s="2" t="s">
        <v>14463</v>
      </c>
      <c r="Q986" s="2" t="s">
        <v>14464</v>
      </c>
      <c r="R986" s="2" t="s">
        <v>2509</v>
      </c>
      <c r="S986" s="2" t="s">
        <v>5520</v>
      </c>
      <c r="T986" s="2" t="s">
        <v>5664</v>
      </c>
      <c r="U986" s="2" t="s">
        <v>7704</v>
      </c>
      <c r="V986" s="2" t="s">
        <v>522</v>
      </c>
      <c r="W986" s="2"/>
    </row>
    <row r="987">
      <c r="A987" s="2" t="n">
        <v>712</v>
      </c>
      <c r="B987" s="2" t="s">
        <v>14465</v>
      </c>
      <c r="C987" s="2" t="s">
        <v>7715</v>
      </c>
      <c r="D987" s="2" t="n">
        <v>661.504874286</v>
      </c>
      <c r="E987" s="2" t="n">
        <v>7.64313467246227</v>
      </c>
      <c r="F987" s="2" t="s">
        <v>7717</v>
      </c>
      <c r="G987" s="2" t="n">
        <v>10912</v>
      </c>
      <c r="H987" s="3" t="str">
        <f>HYPERLINK("http://funmeta.oebiotech.com/network/10912", "http://funmeta.oebiotech.com/network/10912")</f>
      </c>
      <c r="I987" s="2" t="s">
        <v>7719</v>
      </c>
      <c r="J987" s="2" t="s">
        <v>7720</v>
      </c>
      <c r="K987" s="2" t="s">
        <v>7721</v>
      </c>
      <c r="L987" s="2"/>
      <c r="M987" s="2" t="s">
        <v>7722</v>
      </c>
      <c r="N987" s="2" t="s">
        <v>7723</v>
      </c>
      <c r="O987" s="2"/>
      <c r="P987" s="2" t="s">
        <v>7724</v>
      </c>
      <c r="Q987" s="2" t="s">
        <v>7725</v>
      </c>
      <c r="R987" s="2" t="s">
        <v>1490</v>
      </c>
      <c r="S987" s="2" t="s">
        <v>6728</v>
      </c>
      <c r="T987" s="2" t="s">
        <v>6729</v>
      </c>
      <c r="U987" s="2" t="s">
        <v>7716</v>
      </c>
      <c r="V987" s="2" t="s">
        <v>24</v>
      </c>
      <c r="W987" s="2"/>
    </row>
    <row r="988">
      <c r="A988" s="2" t="n">
        <v>713</v>
      </c>
      <c r="B988" s="2" t="s">
        <v>14466</v>
      </c>
      <c r="C988" s="2" t="s">
        <v>7726</v>
      </c>
      <c r="D988" s="2" t="n">
        <v>662.286319457</v>
      </c>
      <c r="E988" s="2" t="n">
        <v>3.54335120866985</v>
      </c>
      <c r="F988" s="2" t="s">
        <v>7728</v>
      </c>
      <c r="G988" s="2" t="n">
        <v>53669</v>
      </c>
      <c r="H988" s="3" t="str">
        <f>HYPERLINK("http://funmeta.oebiotech.com/network/53669", "http://funmeta.oebiotech.com/network/53669")</f>
      </c>
      <c r="I988" s="2" t="s">
        <v>7730</v>
      </c>
      <c r="J988" s="2" t="s">
        <v>7731</v>
      </c>
      <c r="K988" s="2"/>
      <c r="L988" s="2"/>
      <c r="M988" s="2" t="s">
        <v>7732</v>
      </c>
      <c r="N988" s="2" t="s">
        <v>7733</v>
      </c>
      <c r="O988" s="2" t="s">
        <v>7734</v>
      </c>
      <c r="P988" s="2" t="s">
        <v>7735</v>
      </c>
      <c r="Q988" s="2" t="s">
        <v>7736</v>
      </c>
      <c r="R988" s="2" t="s">
        <v>355</v>
      </c>
      <c r="S988" s="2" t="s">
        <v>1396</v>
      </c>
      <c r="T988" s="2" t="s">
        <v>205</v>
      </c>
      <c r="U988" s="2" t="s">
        <v>7727</v>
      </c>
      <c r="V988" s="2" t="s">
        <v>522</v>
      </c>
      <c r="W988" s="2"/>
    </row>
    <row r="989">
      <c r="A989" s="2" t="n">
        <v>714</v>
      </c>
      <c r="B989" s="2" t="s">
        <v>14467</v>
      </c>
      <c r="C989" s="2" t="s">
        <v>7737</v>
      </c>
      <c r="D989" s="2" t="n">
        <v>663.505272524</v>
      </c>
      <c r="E989" s="2" t="n">
        <v>1.46683883694487</v>
      </c>
      <c r="F989" s="2" t="s">
        <v>7739</v>
      </c>
      <c r="G989" s="2" t="n">
        <v>3101</v>
      </c>
      <c r="H989" s="3" t="str">
        <f>HYPERLINK("http://funmeta.oebiotech.com/network/3101", "http://funmeta.oebiotech.com/network/3101")</f>
      </c>
      <c r="I989" s="2" t="s">
        <v>7741</v>
      </c>
      <c r="J989" s="2" t="s">
        <v>7742</v>
      </c>
      <c r="K989" s="2" t="s">
        <v>7743</v>
      </c>
      <c r="L989" s="2" t="s">
        <v>7744</v>
      </c>
      <c r="M989" s="2" t="s">
        <v>7745</v>
      </c>
      <c r="N989" s="2" t="s">
        <v>7746</v>
      </c>
      <c r="O989" s="2" t="s">
        <v>7747</v>
      </c>
      <c r="P989" s="2" t="s">
        <v>7748</v>
      </c>
      <c r="Q989" s="2" t="s">
        <v>7749</v>
      </c>
      <c r="R989" s="2" t="s">
        <v>1490</v>
      </c>
      <c r="S989" s="2" t="s">
        <v>1491</v>
      </c>
      <c r="T989" s="2" t="s">
        <v>1492</v>
      </c>
      <c r="U989" s="2" t="s">
        <v>7738</v>
      </c>
      <c r="V989" s="2" t="s">
        <v>1019</v>
      </c>
      <c r="W989" s="2" t="s">
        <v>39</v>
      </c>
    </row>
    <row r="990">
      <c r="A990" s="2" t="n">
        <v>715</v>
      </c>
      <c r="B990" s="2" t="s">
        <v>14468</v>
      </c>
      <c r="C990" s="2" t="s">
        <v>7750</v>
      </c>
      <c r="D990" s="2" t="n">
        <v>664.297464595</v>
      </c>
      <c r="E990" s="2" t="n">
        <v>0.403748396809829</v>
      </c>
      <c r="F990" s="2" t="s">
        <v>7752</v>
      </c>
      <c r="G990" s="2" t="n">
        <v>53106</v>
      </c>
      <c r="H990" s="3" t="str">
        <f>HYPERLINK("http://funmeta.oebiotech.com/network/53106", "http://funmeta.oebiotech.com/network/53106")</f>
      </c>
      <c r="I990" s="2" t="s">
        <v>7754</v>
      </c>
      <c r="J990" s="2"/>
      <c r="K990" s="2"/>
      <c r="L990" s="2" t="s">
        <v>7755</v>
      </c>
      <c r="M990" s="2" t="s">
        <v>7756</v>
      </c>
      <c r="N990" s="2" t="s">
        <v>7757</v>
      </c>
      <c r="O990" s="2" t="s">
        <v>7758</v>
      </c>
      <c r="P990" s="2" t="s">
        <v>7759</v>
      </c>
      <c r="Q990" s="2" t="s">
        <v>7760</v>
      </c>
      <c r="R990" s="2" t="s">
        <v>64</v>
      </c>
      <c r="S990" s="2" t="s">
        <v>65</v>
      </c>
      <c r="T990" s="2" t="s">
        <v>66</v>
      </c>
      <c r="U990" s="2" t="s">
        <v>7751</v>
      </c>
      <c r="V990" s="2" t="s">
        <v>110</v>
      </c>
      <c r="W990" s="2" t="s">
        <v>39</v>
      </c>
    </row>
    <row r="991">
      <c r="A991" s="2" t="n">
        <v>716</v>
      </c>
      <c r="B991" s="2" t="s">
        <v>14469</v>
      </c>
      <c r="C991" s="2" t="s">
        <v>7761</v>
      </c>
      <c r="D991" s="2" t="n">
        <v>665.1539155</v>
      </c>
      <c r="E991" s="2" t="n">
        <v>4.07869085382218</v>
      </c>
      <c r="F991" s="2" t="s">
        <v>7763</v>
      </c>
      <c r="G991" s="2" t="n">
        <v>203389</v>
      </c>
      <c r="H991" s="3" t="str">
        <f>HYPERLINK("http://funmeta.oebiotech.com/network/203389", "http://funmeta.oebiotech.com/network/203389")</f>
      </c>
      <c r="I991" s="2" t="s">
        <v>7765</v>
      </c>
      <c r="J991" s="2"/>
      <c r="K991" s="2"/>
      <c r="L991" s="2"/>
      <c r="M991" s="2"/>
      <c r="N991" s="2" t="s">
        <v>7766</v>
      </c>
      <c r="O991" s="2"/>
      <c r="P991" s="2" t="s">
        <v>7767</v>
      </c>
      <c r="Q991" s="2" t="s">
        <v>7768</v>
      </c>
      <c r="R991" s="2" t="s">
        <v>49</v>
      </c>
      <c r="S991" s="2" t="s">
        <v>165</v>
      </c>
      <c r="T991" s="2" t="s">
        <v>166</v>
      </c>
      <c r="U991" s="2" t="s">
        <v>7762</v>
      </c>
      <c r="V991" s="2" t="s">
        <v>250</v>
      </c>
      <c r="W991" s="2"/>
    </row>
    <row r="992">
      <c r="A992" s="2" t="n">
        <v>717</v>
      </c>
      <c r="B992" s="2" t="s">
        <v>14470</v>
      </c>
      <c r="C992" s="2" t="s">
        <v>7769</v>
      </c>
      <c r="D992" s="2" t="n">
        <v>665.463403402</v>
      </c>
      <c r="E992" s="2" t="n">
        <v>1.49510978587387</v>
      </c>
      <c r="F992" s="2" t="s">
        <v>7771</v>
      </c>
      <c r="G992" s="2" t="n">
        <v>55829</v>
      </c>
      <c r="H992" s="3" t="str">
        <f>HYPERLINK("http://funmeta.oebiotech.com/network/55829", "http://funmeta.oebiotech.com/network/55829")</f>
      </c>
      <c r="I992" s="2" t="s">
        <v>7773</v>
      </c>
      <c r="J992" s="2" t="s">
        <v>7774</v>
      </c>
      <c r="K992" s="2"/>
      <c r="L992" s="2"/>
      <c r="M992" s="2" t="s">
        <v>7775</v>
      </c>
      <c r="N992" s="2" t="s">
        <v>7776</v>
      </c>
      <c r="O992" s="2" t="s">
        <v>7777</v>
      </c>
      <c r="P992" s="2" t="s">
        <v>7778</v>
      </c>
      <c r="Q992" s="2" t="s">
        <v>7779</v>
      </c>
      <c r="R992" s="2" t="s">
        <v>1490</v>
      </c>
      <c r="S992" s="2" t="s">
        <v>1491</v>
      </c>
      <c r="T992" s="2" t="s">
        <v>6924</v>
      </c>
      <c r="U992" s="2" t="s">
        <v>7770</v>
      </c>
      <c r="V992" s="2" t="s">
        <v>24</v>
      </c>
      <c r="W992" s="2"/>
    </row>
    <row r="993">
      <c r="A993" s="2" t="n">
        <v>718</v>
      </c>
      <c r="B993" s="2" t="s">
        <v>14471</v>
      </c>
      <c r="C993" s="2" t="s">
        <v>7780</v>
      </c>
      <c r="D993" s="2" t="n">
        <v>669.450080115</v>
      </c>
      <c r="E993" s="2" t="n">
        <v>2.19025501447695</v>
      </c>
      <c r="F993" s="2" t="s">
        <v>7782</v>
      </c>
      <c r="G993" s="2" t="n">
        <v>134881</v>
      </c>
      <c r="H993" s="3" t="str">
        <f>HYPERLINK("http://funmeta.oebiotech.com/network/134881", "http://funmeta.oebiotech.com/network/134881")</f>
      </c>
      <c r="I993" s="2" t="s">
        <v>7784</v>
      </c>
      <c r="J993" s="2"/>
      <c r="K993" s="2"/>
      <c r="L993" s="2"/>
      <c r="M993" s="2"/>
      <c r="N993" s="2" t="s">
        <v>7785</v>
      </c>
      <c r="O993" s="2"/>
      <c r="P993" s="2" t="s">
        <v>7786</v>
      </c>
      <c r="Q993" s="2" t="s">
        <v>7787</v>
      </c>
      <c r="R993" s="2" t="s">
        <v>1490</v>
      </c>
      <c r="S993" s="2" t="s">
        <v>4236</v>
      </c>
      <c r="T993" s="2" t="s">
        <v>5175</v>
      </c>
      <c r="U993" s="2" t="s">
        <v>7781</v>
      </c>
      <c r="V993" s="2" t="s">
        <v>110</v>
      </c>
      <c r="W993" s="2"/>
    </row>
    <row r="994">
      <c r="A994" s="2" t="n">
        <v>719</v>
      </c>
      <c r="B994" s="2" t="s">
        <v>14472</v>
      </c>
      <c r="C994" s="2" t="s">
        <v>7788</v>
      </c>
      <c r="D994" s="2" t="n">
        <v>670.0796716</v>
      </c>
      <c r="E994" s="2" t="n">
        <v>9.92678586613279</v>
      </c>
      <c r="F994" s="2" t="s">
        <v>7790</v>
      </c>
      <c r="G994" s="2" t="n">
        <v>203203</v>
      </c>
      <c r="H994" s="3" t="str">
        <f>HYPERLINK("http://funmeta.oebiotech.com/network/203203", "http://funmeta.oebiotech.com/network/203203")</f>
      </c>
      <c r="I994" s="2" t="s">
        <v>7792</v>
      </c>
      <c r="J994" s="2"/>
      <c r="K994" s="2"/>
      <c r="L994" s="2"/>
      <c r="M994" s="2"/>
      <c r="N994" s="2" t="s">
        <v>7793</v>
      </c>
      <c r="O994" s="2"/>
      <c r="P994" s="2" t="s">
        <v>7794</v>
      </c>
      <c r="Q994" s="2" t="s">
        <v>7795</v>
      </c>
      <c r="R994" s="2" t="s">
        <v>502</v>
      </c>
      <c r="S994" s="2" t="s">
        <v>2413</v>
      </c>
      <c r="T994" s="2" t="s">
        <v>7796</v>
      </c>
      <c r="U994" s="2" t="s">
        <v>7789</v>
      </c>
      <c r="V994" s="2" t="s">
        <v>24</v>
      </c>
      <c r="W994" s="2"/>
    </row>
    <row r="995">
      <c r="A995" s="2" t="n">
        <v>720</v>
      </c>
      <c r="B995" s="2" t="s">
        <v>14473</v>
      </c>
      <c r="C995" s="2" t="s">
        <v>7797</v>
      </c>
      <c r="D995" s="2" t="n">
        <v>670.458392111</v>
      </c>
      <c r="E995" s="2" t="n">
        <v>6.06657255048243</v>
      </c>
      <c r="F995" s="2" t="s">
        <v>14474</v>
      </c>
      <c r="G995" s="2" t="n">
        <v>54194</v>
      </c>
      <c r="H995" s="3" t="str">
        <f>HYPERLINK("http://funmeta.oebiotech.com/network/54194", "http://funmeta.oebiotech.com/network/54194")</f>
      </c>
      <c r="I995" s="2" t="s">
        <v>14475</v>
      </c>
      <c r="J995" s="2"/>
      <c r="K995" s="2"/>
      <c r="L995" s="2"/>
      <c r="M995" s="2"/>
      <c r="N995" s="2" t="s">
        <v>14476</v>
      </c>
      <c r="O995" s="2"/>
      <c r="P995" s="2" t="s">
        <v>14477</v>
      </c>
      <c r="Q995" s="2" t="s">
        <v>14478</v>
      </c>
      <c r="R995" s="2" t="s">
        <v>1490</v>
      </c>
      <c r="S995" s="2" t="s">
        <v>4236</v>
      </c>
      <c r="T995" s="2" t="s">
        <v>8613</v>
      </c>
      <c r="U995" s="2" t="s">
        <v>7798</v>
      </c>
      <c r="V995" s="2" t="s">
        <v>522</v>
      </c>
      <c r="W995" s="2"/>
    </row>
    <row r="996">
      <c r="A996" s="2" t="n">
        <v>720</v>
      </c>
      <c r="B996" s="2" t="s">
        <v>14479</v>
      </c>
      <c r="C996" s="2" t="s">
        <v>7797</v>
      </c>
      <c r="D996" s="2" t="n">
        <v>670.458392596</v>
      </c>
      <c r="E996" s="2" t="n">
        <v>6.06657255048243</v>
      </c>
      <c r="F996" s="2" t="s">
        <v>14480</v>
      </c>
      <c r="G996" s="2" t="n">
        <v>210069</v>
      </c>
      <c r="H996" s="3" t="str">
        <f>HYPERLINK("http://funmeta.oebiotech.com/network/210069", "http://funmeta.oebiotech.com/network/210069")</f>
      </c>
      <c r="I996" s="2" t="s">
        <v>14481</v>
      </c>
      <c r="J996" s="2"/>
      <c r="K996" s="2"/>
      <c r="L996" s="2"/>
      <c r="M996" s="2"/>
      <c r="N996" s="2" t="s">
        <v>14482</v>
      </c>
      <c r="O996" s="2"/>
      <c r="P996" s="2" t="s">
        <v>14483</v>
      </c>
      <c r="Q996" s="2" t="s">
        <v>14484</v>
      </c>
      <c r="R996" s="2" t="s">
        <v>1490</v>
      </c>
      <c r="S996" s="2" t="s">
        <v>4236</v>
      </c>
      <c r="T996" s="2" t="s">
        <v>5369</v>
      </c>
      <c r="U996" s="2" t="s">
        <v>7798</v>
      </c>
      <c r="V996" s="2" t="s">
        <v>522</v>
      </c>
      <c r="W996" s="2"/>
    </row>
    <row r="997">
      <c r="A997" s="2" t="n">
        <v>721</v>
      </c>
      <c r="B997" s="2" t="s">
        <v>14485</v>
      </c>
      <c r="C997" s="2" t="s">
        <v>7806</v>
      </c>
      <c r="D997" s="2" t="n">
        <v>671.465729696</v>
      </c>
      <c r="E997" s="2" t="n">
        <v>2.7417468717893</v>
      </c>
      <c r="F997" s="2" t="s">
        <v>7808</v>
      </c>
      <c r="G997" s="2" t="n">
        <v>24926</v>
      </c>
      <c r="H997" s="3" t="str">
        <f>HYPERLINK("http://funmeta.oebiotech.com/network/24926", "http://funmeta.oebiotech.com/network/24926")</f>
      </c>
      <c r="I997" s="2" t="s">
        <v>7810</v>
      </c>
      <c r="J997" s="2" t="s">
        <v>7811</v>
      </c>
      <c r="K997" s="2" t="s">
        <v>7812</v>
      </c>
      <c r="L997" s="2" t="s">
        <v>7813</v>
      </c>
      <c r="M997" s="2" t="s">
        <v>7814</v>
      </c>
      <c r="N997" s="2" t="s">
        <v>7815</v>
      </c>
      <c r="O997" s="2"/>
      <c r="P997" s="2" t="s">
        <v>7816</v>
      </c>
      <c r="Q997" s="2" t="s">
        <v>7817</v>
      </c>
      <c r="R997" s="2" t="s">
        <v>1490</v>
      </c>
      <c r="S997" s="2" t="s">
        <v>4236</v>
      </c>
      <c r="T997" s="2" t="s">
        <v>5175</v>
      </c>
      <c r="U997" s="2" t="s">
        <v>7807</v>
      </c>
      <c r="V997" s="2" t="s">
        <v>110</v>
      </c>
      <c r="W997" s="2" t="s">
        <v>39</v>
      </c>
    </row>
    <row r="998">
      <c r="A998" s="2" t="n">
        <v>722</v>
      </c>
      <c r="B998" s="2" t="s">
        <v>14486</v>
      </c>
      <c r="C998" s="2" t="s">
        <v>7818</v>
      </c>
      <c r="D998" s="2" t="n">
        <v>675.140381098</v>
      </c>
      <c r="E998" s="2" t="n">
        <v>2.36775574479</v>
      </c>
      <c r="F998" s="2" t="s">
        <v>7820</v>
      </c>
      <c r="G998" s="2" t="n">
        <v>51904</v>
      </c>
      <c r="H998" s="3" t="str">
        <f>HYPERLINK("http://funmeta.oebiotech.com/network/51904", "http://funmeta.oebiotech.com/network/51904")</f>
      </c>
      <c r="I998" s="2" t="s">
        <v>7822</v>
      </c>
      <c r="J998" s="2" t="s">
        <v>7823</v>
      </c>
      <c r="K998" s="2"/>
      <c r="L998" s="2" t="s">
        <v>7824</v>
      </c>
      <c r="M998" s="2" t="s">
        <v>7825</v>
      </c>
      <c r="N998" s="2" t="s">
        <v>7826</v>
      </c>
      <c r="O998" s="2" t="s">
        <v>7827</v>
      </c>
      <c r="P998" s="2" t="s">
        <v>7828</v>
      </c>
      <c r="Q998" s="2" t="s">
        <v>7829</v>
      </c>
      <c r="R998" s="2" t="s">
        <v>2590</v>
      </c>
      <c r="S998" s="2" t="s">
        <v>4599</v>
      </c>
      <c r="T998" s="2" t="s">
        <v>7467</v>
      </c>
      <c r="U998" s="2" t="s">
        <v>7819</v>
      </c>
      <c r="V998" s="2" t="s">
        <v>24</v>
      </c>
      <c r="W998" s="2" t="s">
        <v>39</v>
      </c>
    </row>
    <row r="999">
      <c r="A999" s="2" t="n">
        <v>723</v>
      </c>
      <c r="B999" s="2" t="s">
        <v>14487</v>
      </c>
      <c r="C999" s="2" t="s">
        <v>7830</v>
      </c>
      <c r="D999" s="2" t="n">
        <v>675.212807634</v>
      </c>
      <c r="E999" s="2" t="n">
        <v>3.86020650729131</v>
      </c>
      <c r="F999" s="2" t="s">
        <v>7832</v>
      </c>
      <c r="G999" s="2" t="n">
        <v>212510</v>
      </c>
      <c r="H999" s="3" t="str">
        <f>HYPERLINK("http://funmeta.oebiotech.com/network/212510", "http://funmeta.oebiotech.com/network/212510")</f>
      </c>
      <c r="I999" s="2" t="s">
        <v>7834</v>
      </c>
      <c r="J999" s="2" t="s">
        <v>7835</v>
      </c>
      <c r="K999" s="2"/>
      <c r="L999" s="2"/>
      <c r="M999" s="2" t="s">
        <v>7836</v>
      </c>
      <c r="N999" s="2" t="s">
        <v>7837</v>
      </c>
      <c r="O999" s="2"/>
      <c r="P999" s="2" t="s">
        <v>7838</v>
      </c>
      <c r="Q999" s="2" t="s">
        <v>7839</v>
      </c>
      <c r="R999" s="2" t="s">
        <v>355</v>
      </c>
      <c r="S999" s="2" t="s">
        <v>356</v>
      </c>
      <c r="T999" s="2" t="s">
        <v>3625</v>
      </c>
      <c r="U999" s="2" t="s">
        <v>7831</v>
      </c>
      <c r="V999" s="2" t="s">
        <v>1019</v>
      </c>
      <c r="W999" s="2"/>
    </row>
    <row r="1000">
      <c r="A1000" s="2" t="n">
        <v>724</v>
      </c>
      <c r="B1000" s="2" t="s">
        <v>14488</v>
      </c>
      <c r="C1000" s="2" t="s">
        <v>7840</v>
      </c>
      <c r="D1000" s="2" t="n">
        <v>676.179417089</v>
      </c>
      <c r="E1000" s="2" t="n">
        <v>3.61206762112471</v>
      </c>
      <c r="F1000" s="2" t="s">
        <v>7842</v>
      </c>
      <c r="G1000" s="2" t="n">
        <v>204661</v>
      </c>
      <c r="H1000" s="3" t="str">
        <f>HYPERLINK("http://funmeta.oebiotech.com/network/204661", "http://funmeta.oebiotech.com/network/204661")</f>
      </c>
      <c r="I1000" s="2" t="s">
        <v>7844</v>
      </c>
      <c r="J1000" s="2"/>
      <c r="K1000" s="2"/>
      <c r="L1000" s="2"/>
      <c r="M1000" s="2"/>
      <c r="N1000" s="2" t="s">
        <v>7845</v>
      </c>
      <c r="O1000" s="2"/>
      <c r="P1000" s="2" t="s">
        <v>7846</v>
      </c>
      <c r="Q1000" s="2" t="s">
        <v>7847</v>
      </c>
      <c r="R1000" s="2" t="s">
        <v>355</v>
      </c>
      <c r="S1000" s="2" t="s">
        <v>4796</v>
      </c>
      <c r="T1000" s="2" t="s">
        <v>4797</v>
      </c>
      <c r="U1000" s="2" t="s">
        <v>7841</v>
      </c>
      <c r="V1000" s="2" t="s">
        <v>42</v>
      </c>
      <c r="W1000" s="2"/>
    </row>
    <row r="1001">
      <c r="A1001" s="2" t="n">
        <v>725</v>
      </c>
      <c r="B1001" s="2" t="s">
        <v>14489</v>
      </c>
      <c r="C1001" s="2" t="s">
        <v>7848</v>
      </c>
      <c r="D1001" s="2" t="n">
        <v>681.15646618</v>
      </c>
      <c r="E1001" s="2" t="n">
        <v>2.64347813804934</v>
      </c>
      <c r="F1001" s="2" t="s">
        <v>14490</v>
      </c>
      <c r="G1001" s="2" t="n">
        <v>64347</v>
      </c>
      <c r="H1001" s="3" t="str">
        <f>HYPERLINK("http://funmeta.oebiotech.com/network/64347", "http://funmeta.oebiotech.com/network/64347")</f>
      </c>
      <c r="I1001" s="2" t="s">
        <v>14491</v>
      </c>
      <c r="J1001" s="2" t="s">
        <v>14492</v>
      </c>
      <c r="K1001" s="2"/>
      <c r="L1001" s="2"/>
      <c r="M1001" s="2"/>
      <c r="N1001" s="2" t="s">
        <v>14493</v>
      </c>
      <c r="O1001" s="2" t="s">
        <v>14494</v>
      </c>
      <c r="P1001" s="2" t="s">
        <v>14495</v>
      </c>
      <c r="Q1001" s="2" t="s">
        <v>14496</v>
      </c>
      <c r="R1001" s="2" t="s">
        <v>355</v>
      </c>
      <c r="S1001" s="2" t="s">
        <v>3869</v>
      </c>
      <c r="T1001" s="2" t="s">
        <v>3870</v>
      </c>
      <c r="U1001" s="2" t="s">
        <v>7849</v>
      </c>
      <c r="V1001" s="2" t="s">
        <v>1019</v>
      </c>
      <c r="W1001" s="2"/>
    </row>
    <row r="1002">
      <c r="A1002" s="2" t="n">
        <v>725</v>
      </c>
      <c r="B1002" s="2" t="s">
        <v>14497</v>
      </c>
      <c r="C1002" s="2" t="s">
        <v>7848</v>
      </c>
      <c r="D1002" s="2" t="n">
        <v>681.1564662</v>
      </c>
      <c r="E1002" s="2" t="n">
        <v>2.64347813804934</v>
      </c>
      <c r="F1002" s="2" t="s">
        <v>14498</v>
      </c>
      <c r="G1002" s="2" t="n">
        <v>200132</v>
      </c>
      <c r="H1002" s="3" t="str">
        <f>HYPERLINK("http://funmeta.oebiotech.com/network/200132", "http://funmeta.oebiotech.com/network/200132")</f>
      </c>
      <c r="I1002" s="2" t="s">
        <v>14499</v>
      </c>
      <c r="J1002" s="2"/>
      <c r="K1002" s="2"/>
      <c r="L1002" s="2"/>
      <c r="M1002" s="2"/>
      <c r="N1002" s="2" t="s">
        <v>14500</v>
      </c>
      <c r="O1002" s="2"/>
      <c r="P1002" s="2" t="s">
        <v>14501</v>
      </c>
      <c r="Q1002" s="2" t="s">
        <v>14502</v>
      </c>
      <c r="R1002" s="2" t="s">
        <v>355</v>
      </c>
      <c r="S1002" s="2" t="s">
        <v>2424</v>
      </c>
      <c r="T1002" s="2" t="s">
        <v>11439</v>
      </c>
      <c r="U1002" s="2" t="s">
        <v>7849</v>
      </c>
      <c r="V1002" s="2" t="s">
        <v>1019</v>
      </c>
      <c r="W1002" s="2"/>
    </row>
    <row r="1003">
      <c r="A1003" s="2" t="n">
        <v>726</v>
      </c>
      <c r="B1003" s="2" t="s">
        <v>14503</v>
      </c>
      <c r="C1003" s="2" t="s">
        <v>7860</v>
      </c>
      <c r="D1003" s="2" t="n">
        <v>682.165674299</v>
      </c>
      <c r="E1003" s="2" t="n">
        <v>6.80380134480102</v>
      </c>
      <c r="F1003" s="2" t="s">
        <v>7862</v>
      </c>
      <c r="G1003" s="2" t="n">
        <v>203483</v>
      </c>
      <c r="H1003" s="3" t="str">
        <f>HYPERLINK("http://funmeta.oebiotech.com/network/203483", "http://funmeta.oebiotech.com/network/203483")</f>
      </c>
      <c r="I1003" s="2" t="s">
        <v>7864</v>
      </c>
      <c r="J1003" s="2"/>
      <c r="K1003" s="2"/>
      <c r="L1003" s="2"/>
      <c r="M1003" s="2"/>
      <c r="N1003" s="2" t="s">
        <v>7865</v>
      </c>
      <c r="O1003" s="2"/>
      <c r="P1003" s="2" t="s">
        <v>7866</v>
      </c>
      <c r="Q1003" s="2" t="s">
        <v>7867</v>
      </c>
      <c r="R1003" s="2" t="s">
        <v>502</v>
      </c>
      <c r="S1003" s="2" t="s">
        <v>503</v>
      </c>
      <c r="T1003" s="2" t="s">
        <v>3450</v>
      </c>
      <c r="U1003" s="2" t="s">
        <v>7861</v>
      </c>
      <c r="V1003" s="2" t="s">
        <v>24</v>
      </c>
      <c r="W1003" s="2"/>
    </row>
    <row r="1004">
      <c r="A1004" s="2" t="n">
        <v>727</v>
      </c>
      <c r="B1004" s="2" t="s">
        <v>14504</v>
      </c>
      <c r="C1004" s="2" t="s">
        <v>7868</v>
      </c>
      <c r="D1004" s="2" t="n">
        <v>683.47397239</v>
      </c>
      <c r="E1004" s="2" t="n">
        <v>0.120244584924768</v>
      </c>
      <c r="F1004" s="2" t="s">
        <v>14505</v>
      </c>
      <c r="G1004" s="2" t="n">
        <v>200842</v>
      </c>
      <c r="H1004" s="3" t="str">
        <f>HYPERLINK("http://funmeta.oebiotech.com/network/200842", "http://funmeta.oebiotech.com/network/200842")</f>
      </c>
      <c r="I1004" s="2" t="s">
        <v>14506</v>
      </c>
      <c r="J1004" s="2"/>
      <c r="K1004" s="2"/>
      <c r="L1004" s="2"/>
      <c r="M1004" s="2"/>
      <c r="N1004" s="2" t="s">
        <v>14507</v>
      </c>
      <c r="O1004" s="2"/>
      <c r="P1004" s="2" t="s">
        <v>14508</v>
      </c>
      <c r="Q1004" s="2" t="s">
        <v>14509</v>
      </c>
      <c r="R1004" s="2" t="s">
        <v>1490</v>
      </c>
      <c r="S1004" s="2" t="s">
        <v>1491</v>
      </c>
      <c r="T1004" s="2" t="s">
        <v>1492</v>
      </c>
      <c r="U1004" s="2" t="s">
        <v>7869</v>
      </c>
      <c r="V1004" s="2" t="s">
        <v>1019</v>
      </c>
      <c r="W1004" s="2"/>
    </row>
    <row r="1005">
      <c r="A1005" s="2" t="n">
        <v>727</v>
      </c>
      <c r="B1005" s="2" t="s">
        <v>14510</v>
      </c>
      <c r="C1005" s="2" t="s">
        <v>7868</v>
      </c>
      <c r="D1005" s="2" t="n">
        <v>683.473972396</v>
      </c>
      <c r="E1005" s="2" t="n">
        <v>0.120244584924768</v>
      </c>
      <c r="F1005" s="2" t="s">
        <v>14511</v>
      </c>
      <c r="G1005" s="2" t="n">
        <v>3242</v>
      </c>
      <c r="H1005" s="3" t="str">
        <f>HYPERLINK("http://funmeta.oebiotech.com/network/3242", "http://funmeta.oebiotech.com/network/3242")</f>
      </c>
      <c r="I1005" s="2" t="s">
        <v>14512</v>
      </c>
      <c r="J1005" s="2" t="s">
        <v>14513</v>
      </c>
      <c r="K1005" s="2" t="s">
        <v>14514</v>
      </c>
      <c r="L1005" s="2"/>
      <c r="M1005" s="2"/>
      <c r="N1005" s="2" t="s">
        <v>14515</v>
      </c>
      <c r="O1005" s="2" t="s">
        <v>14516</v>
      </c>
      <c r="P1005" s="2" t="s">
        <v>14517</v>
      </c>
      <c r="Q1005" s="2" t="s">
        <v>14518</v>
      </c>
      <c r="R1005" s="2" t="s">
        <v>1490</v>
      </c>
      <c r="S1005" s="2" t="s">
        <v>1491</v>
      </c>
      <c r="T1005" s="2" t="s">
        <v>3437</v>
      </c>
      <c r="U1005" s="2" t="s">
        <v>7869</v>
      </c>
      <c r="V1005" s="2" t="s">
        <v>1019</v>
      </c>
      <c r="W1005" s="2"/>
    </row>
    <row r="1006">
      <c r="A1006" s="2" t="n">
        <v>728</v>
      </c>
      <c r="B1006" s="2" t="s">
        <v>14519</v>
      </c>
      <c r="C1006" s="2" t="s">
        <v>7880</v>
      </c>
      <c r="D1006" s="2" t="n">
        <v>684.083788631</v>
      </c>
      <c r="E1006" s="2" t="n">
        <v>6.88308342351639</v>
      </c>
      <c r="F1006" s="2" t="s">
        <v>7882</v>
      </c>
      <c r="G1006" s="2" t="n">
        <v>47288</v>
      </c>
      <c r="H1006" s="3" t="str">
        <f>HYPERLINK("http://funmeta.oebiotech.com/network/47288", "http://funmeta.oebiotech.com/network/47288")</f>
      </c>
      <c r="I1006" s="2" t="s">
        <v>7884</v>
      </c>
      <c r="J1006" s="2" t="s">
        <v>7885</v>
      </c>
      <c r="K1006" s="2"/>
      <c r="L1006" s="2" t="s">
        <v>7886</v>
      </c>
      <c r="M1006" s="2" t="s">
        <v>7887</v>
      </c>
      <c r="N1006" s="2" t="s">
        <v>7888</v>
      </c>
      <c r="O1006" s="2" t="s">
        <v>7889</v>
      </c>
      <c r="P1006" s="2" t="s">
        <v>7890</v>
      </c>
      <c r="Q1006" s="2" t="s">
        <v>7891</v>
      </c>
      <c r="R1006" s="2" t="s">
        <v>2590</v>
      </c>
      <c r="S1006" s="2" t="s">
        <v>7892</v>
      </c>
      <c r="T1006" s="2" t="s">
        <v>205</v>
      </c>
      <c r="U1006" s="2" t="s">
        <v>7881</v>
      </c>
      <c r="V1006" s="2" t="s">
        <v>360</v>
      </c>
      <c r="W1006" s="2" t="s">
        <v>39</v>
      </c>
    </row>
    <row r="1007">
      <c r="A1007" s="2" t="n">
        <v>729</v>
      </c>
      <c r="B1007" s="2" t="s">
        <v>14520</v>
      </c>
      <c r="C1007" s="2" t="s">
        <v>7893</v>
      </c>
      <c r="D1007" s="2" t="n">
        <v>684.220670051</v>
      </c>
      <c r="E1007" s="2" t="n">
        <v>6.18873656655429</v>
      </c>
      <c r="F1007" s="2" t="s">
        <v>7895</v>
      </c>
      <c r="G1007" s="2" t="n">
        <v>203563</v>
      </c>
      <c r="H1007" s="3" t="str">
        <f>HYPERLINK("http://funmeta.oebiotech.com/network/203563", "http://funmeta.oebiotech.com/network/203563")</f>
      </c>
      <c r="I1007" s="2" t="s">
        <v>7897</v>
      </c>
      <c r="J1007" s="2"/>
      <c r="K1007" s="2"/>
      <c r="L1007" s="2"/>
      <c r="M1007" s="2"/>
      <c r="N1007" s="2" t="s">
        <v>7898</v>
      </c>
      <c r="O1007" s="2"/>
      <c r="P1007" s="2" t="s">
        <v>7899</v>
      </c>
      <c r="Q1007" s="2" t="s">
        <v>7900</v>
      </c>
      <c r="R1007" s="2" t="s">
        <v>355</v>
      </c>
      <c r="S1007" s="2" t="s">
        <v>2424</v>
      </c>
      <c r="T1007" s="2" t="s">
        <v>4246</v>
      </c>
      <c r="U1007" s="2" t="s">
        <v>7894</v>
      </c>
      <c r="V1007" s="2" t="s">
        <v>42</v>
      </c>
      <c r="W1007" s="2"/>
    </row>
    <row r="1008">
      <c r="A1008" s="2" t="n">
        <v>730</v>
      </c>
      <c r="B1008" s="2" t="s">
        <v>14521</v>
      </c>
      <c r="C1008" s="2" t="s">
        <v>7901</v>
      </c>
      <c r="D1008" s="2" t="n">
        <v>686.476628733</v>
      </c>
      <c r="E1008" s="2" t="n">
        <v>2.4699791413155</v>
      </c>
      <c r="F1008" s="2" t="s">
        <v>7903</v>
      </c>
      <c r="G1008" s="2" t="n">
        <v>20935</v>
      </c>
      <c r="H1008" s="3" t="str">
        <f>HYPERLINK("http://funmeta.oebiotech.com/network/20935", "http://funmeta.oebiotech.com/network/20935")</f>
      </c>
      <c r="I1008" s="2" t="s">
        <v>7905</v>
      </c>
      <c r="J1008" s="2" t="s">
        <v>7906</v>
      </c>
      <c r="K1008" s="2" t="s">
        <v>7907</v>
      </c>
      <c r="L1008" s="2" t="s">
        <v>7680</v>
      </c>
      <c r="M1008" s="2"/>
      <c r="N1008" s="2" t="s">
        <v>7908</v>
      </c>
      <c r="O1008" s="2"/>
      <c r="P1008" s="2" t="s">
        <v>7909</v>
      </c>
      <c r="Q1008" s="2" t="s">
        <v>7910</v>
      </c>
      <c r="R1008" s="2" t="s">
        <v>1490</v>
      </c>
      <c r="S1008" s="2" t="s">
        <v>4236</v>
      </c>
      <c r="T1008" s="2" t="s">
        <v>5369</v>
      </c>
      <c r="U1008" s="2" t="s">
        <v>7902</v>
      </c>
      <c r="V1008" s="2" t="s">
        <v>110</v>
      </c>
      <c r="W1008" s="2" t="s">
        <v>39</v>
      </c>
    </row>
    <row r="1009">
      <c r="A1009" s="2" t="n">
        <v>731</v>
      </c>
      <c r="B1009" s="2" t="s">
        <v>14522</v>
      </c>
      <c r="C1009" s="2" t="s">
        <v>7911</v>
      </c>
      <c r="D1009" s="2" t="n">
        <v>687.46301378</v>
      </c>
      <c r="E1009" s="2" t="n">
        <v>8.9244140290878</v>
      </c>
      <c r="F1009" s="2" t="s">
        <v>14523</v>
      </c>
      <c r="G1009" s="2" t="n">
        <v>45045</v>
      </c>
      <c r="H1009" s="3" t="str">
        <f>HYPERLINK("http://funmeta.oebiotech.com/network/45045", "http://funmeta.oebiotech.com/network/45045")</f>
      </c>
      <c r="I1009" s="2" t="s">
        <v>14524</v>
      </c>
      <c r="J1009" s="2" t="s">
        <v>14525</v>
      </c>
      <c r="K1009" s="2" t="s">
        <v>14526</v>
      </c>
      <c r="L1009" s="2" t="s">
        <v>14527</v>
      </c>
      <c r="M1009" s="2" t="s">
        <v>14528</v>
      </c>
      <c r="N1009" s="2" t="s">
        <v>14529</v>
      </c>
      <c r="O1009" s="2" t="s">
        <v>14530</v>
      </c>
      <c r="P1009" s="2" t="s">
        <v>14531</v>
      </c>
      <c r="Q1009" s="2" t="s">
        <v>14532</v>
      </c>
      <c r="R1009" s="2" t="s">
        <v>1490</v>
      </c>
      <c r="S1009" s="2" t="s">
        <v>3546</v>
      </c>
      <c r="T1009" s="2" t="s">
        <v>7375</v>
      </c>
      <c r="U1009" s="2" t="s">
        <v>7912</v>
      </c>
      <c r="V1009" s="2" t="s">
        <v>1019</v>
      </c>
      <c r="W1009" s="2" t="s">
        <v>39</v>
      </c>
    </row>
    <row r="1010">
      <c r="A1010" s="2" t="n">
        <v>731</v>
      </c>
      <c r="B1010" s="2" t="s">
        <v>14533</v>
      </c>
      <c r="C1010" s="2" t="s">
        <v>7911</v>
      </c>
      <c r="D1010" s="2" t="n">
        <v>687.46301378</v>
      </c>
      <c r="E1010" s="2" t="n">
        <v>8.9244140290878</v>
      </c>
      <c r="F1010" s="2" t="s">
        <v>14534</v>
      </c>
      <c r="G1010" s="2" t="n">
        <v>44933</v>
      </c>
      <c r="H1010" s="3" t="str">
        <f>HYPERLINK("http://funmeta.oebiotech.com/network/44933", "http://funmeta.oebiotech.com/network/44933")</f>
      </c>
      <c r="I1010" s="2" t="s">
        <v>14535</v>
      </c>
      <c r="J1010" s="2" t="s">
        <v>14536</v>
      </c>
      <c r="K1010" s="2" t="s">
        <v>14537</v>
      </c>
      <c r="L1010" s="2" t="s">
        <v>14538</v>
      </c>
      <c r="M1010" s="2" t="s">
        <v>14539</v>
      </c>
      <c r="N1010" s="2" t="s">
        <v>14540</v>
      </c>
      <c r="O1010" s="2" t="s">
        <v>14541</v>
      </c>
      <c r="P1010" s="2" t="s">
        <v>14542</v>
      </c>
      <c r="Q1010" s="2" t="s">
        <v>14543</v>
      </c>
      <c r="R1010" s="2" t="s">
        <v>1490</v>
      </c>
      <c r="S1010" s="2" t="s">
        <v>3546</v>
      </c>
      <c r="T1010" s="2" t="s">
        <v>14544</v>
      </c>
      <c r="U1010" s="2" t="s">
        <v>7912</v>
      </c>
      <c r="V1010" s="2" t="s">
        <v>1019</v>
      </c>
      <c r="W1010" s="2" t="s">
        <v>39</v>
      </c>
    </row>
    <row r="1011">
      <c r="A1011" s="2" t="n">
        <v>731</v>
      </c>
      <c r="B1011" s="2" t="s">
        <v>14545</v>
      </c>
      <c r="C1011" s="2" t="s">
        <v>7911</v>
      </c>
      <c r="D1011" s="2" t="n">
        <v>687.46301378</v>
      </c>
      <c r="E1011" s="2" t="n">
        <v>8.9244140290878</v>
      </c>
      <c r="F1011" s="2" t="s">
        <v>14546</v>
      </c>
      <c r="G1011" s="2" t="n">
        <v>52651</v>
      </c>
      <c r="H1011" s="3" t="str">
        <f>HYPERLINK("http://funmeta.oebiotech.com/network/52651", "http://funmeta.oebiotech.com/network/52651")</f>
      </c>
      <c r="I1011" s="2" t="s">
        <v>14547</v>
      </c>
      <c r="J1011" s="2" t="s">
        <v>14548</v>
      </c>
      <c r="K1011" s="2"/>
      <c r="L1011" s="2" t="s">
        <v>14549</v>
      </c>
      <c r="M1011" s="2" t="s">
        <v>14550</v>
      </c>
      <c r="N1011" s="2" t="s">
        <v>14551</v>
      </c>
      <c r="O1011" s="2" t="s">
        <v>14552</v>
      </c>
      <c r="P1011" s="2" t="s">
        <v>14553</v>
      </c>
      <c r="Q1011" s="2" t="s">
        <v>14554</v>
      </c>
      <c r="R1011" s="2" t="s">
        <v>1490</v>
      </c>
      <c r="S1011" s="2" t="s">
        <v>3546</v>
      </c>
      <c r="T1011" s="2" t="s">
        <v>7375</v>
      </c>
      <c r="U1011" s="2" t="s">
        <v>7912</v>
      </c>
      <c r="V1011" s="2" t="s">
        <v>1019</v>
      </c>
      <c r="W1011" s="2" t="s">
        <v>39</v>
      </c>
    </row>
    <row r="1012">
      <c r="A1012" s="2" t="n">
        <v>732</v>
      </c>
      <c r="B1012" s="2" t="s">
        <v>14555</v>
      </c>
      <c r="C1012" s="2" t="s">
        <v>7925</v>
      </c>
      <c r="D1012" s="2" t="n">
        <v>690.1909888</v>
      </c>
      <c r="E1012" s="2" t="n">
        <v>0.360047032966412</v>
      </c>
      <c r="F1012" s="2" t="s">
        <v>7927</v>
      </c>
      <c r="G1012" s="2" t="n">
        <v>213392</v>
      </c>
      <c r="H1012" s="3" t="str">
        <f>HYPERLINK("http://funmeta.oebiotech.com/network/213392", "http://funmeta.oebiotech.com/network/213392")</f>
      </c>
      <c r="I1012" s="2" t="s">
        <v>7929</v>
      </c>
      <c r="J1012" s="2"/>
      <c r="K1012" s="2"/>
      <c r="L1012" s="2"/>
      <c r="M1012" s="2"/>
      <c r="N1012" s="2" t="s">
        <v>7930</v>
      </c>
      <c r="O1012" s="2"/>
      <c r="P1012" s="2" t="s">
        <v>7931</v>
      </c>
      <c r="Q1012" s="2" t="s">
        <v>7932</v>
      </c>
      <c r="R1012" s="2" t="s">
        <v>49</v>
      </c>
      <c r="S1012" s="2" t="s">
        <v>165</v>
      </c>
      <c r="T1012" s="2" t="s">
        <v>166</v>
      </c>
      <c r="U1012" s="2" t="s">
        <v>7926</v>
      </c>
      <c r="V1012" s="2" t="s">
        <v>24</v>
      </c>
      <c r="W1012" s="2"/>
    </row>
    <row r="1013">
      <c r="A1013" s="2" t="n">
        <v>733</v>
      </c>
      <c r="B1013" s="2" t="s">
        <v>14556</v>
      </c>
      <c r="C1013" s="2" t="s">
        <v>7933</v>
      </c>
      <c r="D1013" s="2" t="n">
        <v>691.179846284</v>
      </c>
      <c r="E1013" s="2" t="n">
        <v>4.71758465163609</v>
      </c>
      <c r="F1013" s="2" t="s">
        <v>7935</v>
      </c>
      <c r="G1013" s="2" t="n">
        <v>211844</v>
      </c>
      <c r="H1013" s="3" t="str">
        <f>HYPERLINK("http://funmeta.oebiotech.com/network/211844", "http://funmeta.oebiotech.com/network/211844")</f>
      </c>
      <c r="I1013" s="2" t="s">
        <v>7937</v>
      </c>
      <c r="J1013" s="2"/>
      <c r="K1013" s="2"/>
      <c r="L1013" s="2"/>
      <c r="M1013" s="2"/>
      <c r="N1013" s="2" t="s">
        <v>7938</v>
      </c>
      <c r="O1013" s="2"/>
      <c r="P1013" s="2" t="s">
        <v>7939</v>
      </c>
      <c r="Q1013" s="2" t="s">
        <v>7940</v>
      </c>
      <c r="R1013" s="2" t="s">
        <v>355</v>
      </c>
      <c r="S1013" s="2" t="s">
        <v>5788</v>
      </c>
      <c r="T1013" s="2" t="s">
        <v>7941</v>
      </c>
      <c r="U1013" s="2" t="s">
        <v>7934</v>
      </c>
      <c r="V1013" s="2" t="s">
        <v>250</v>
      </c>
      <c r="W1013" s="2"/>
    </row>
    <row r="1014">
      <c r="A1014" s="2" t="n">
        <v>734</v>
      </c>
      <c r="B1014" s="2" t="s">
        <v>14557</v>
      </c>
      <c r="C1014" s="2" t="s">
        <v>7942</v>
      </c>
      <c r="D1014" s="2" t="n">
        <v>693.203623764</v>
      </c>
      <c r="E1014" s="2" t="n">
        <v>5.01054446189872</v>
      </c>
      <c r="F1014" s="2" t="s">
        <v>14558</v>
      </c>
      <c r="G1014" s="2" t="n">
        <v>64674</v>
      </c>
      <c r="H1014" s="3" t="str">
        <f>HYPERLINK("http://funmeta.oebiotech.com/network/64674", "http://funmeta.oebiotech.com/network/64674")</f>
      </c>
      <c r="I1014" s="2" t="s">
        <v>14559</v>
      </c>
      <c r="J1014" s="2" t="s">
        <v>14560</v>
      </c>
      <c r="K1014" s="2"/>
      <c r="L1014" s="2"/>
      <c r="M1014" s="2" t="s">
        <v>14561</v>
      </c>
      <c r="N1014" s="2" t="s">
        <v>14562</v>
      </c>
      <c r="O1014" s="2"/>
      <c r="P1014" s="2" t="s">
        <v>14563</v>
      </c>
      <c r="Q1014" s="2" t="s">
        <v>14564</v>
      </c>
      <c r="R1014" s="2" t="s">
        <v>7174</v>
      </c>
      <c r="S1014" s="2" t="s">
        <v>14565</v>
      </c>
      <c r="T1014" s="2" t="s">
        <v>205</v>
      </c>
      <c r="U1014" s="2" t="s">
        <v>7943</v>
      </c>
      <c r="V1014" s="2" t="s">
        <v>110</v>
      </c>
      <c r="W1014" s="2"/>
    </row>
    <row r="1015">
      <c r="A1015" s="2" t="n">
        <v>734</v>
      </c>
      <c r="B1015" s="2" t="s">
        <v>14566</v>
      </c>
      <c r="C1015" s="2" t="s">
        <v>7942</v>
      </c>
      <c r="D1015" s="2" t="n">
        <v>693.20362379</v>
      </c>
      <c r="E1015" s="2" t="n">
        <v>5.01054446189872</v>
      </c>
      <c r="F1015" s="2" t="s">
        <v>14567</v>
      </c>
      <c r="G1015" s="2" t="n">
        <v>60633</v>
      </c>
      <c r="H1015" s="3" t="str">
        <f>HYPERLINK("http://funmeta.oebiotech.com/network/60633", "http://funmeta.oebiotech.com/network/60633")</f>
      </c>
      <c r="I1015" s="2" t="s">
        <v>14568</v>
      </c>
      <c r="J1015" s="2" t="s">
        <v>14569</v>
      </c>
      <c r="K1015" s="2"/>
      <c r="L1015" s="2"/>
      <c r="M1015" s="2"/>
      <c r="N1015" s="2" t="s">
        <v>14570</v>
      </c>
      <c r="O1015" s="2"/>
      <c r="P1015" s="2" t="s">
        <v>14571</v>
      </c>
      <c r="Q1015" s="2" t="s">
        <v>14572</v>
      </c>
      <c r="R1015" s="2" t="s">
        <v>2509</v>
      </c>
      <c r="S1015" s="2" t="s">
        <v>4367</v>
      </c>
      <c r="T1015" s="2" t="s">
        <v>14573</v>
      </c>
      <c r="U1015" s="2" t="s">
        <v>7943</v>
      </c>
      <c r="V1015" s="2" t="s">
        <v>110</v>
      </c>
      <c r="W1015" s="2"/>
    </row>
    <row r="1016">
      <c r="A1016" s="2" t="n">
        <v>734</v>
      </c>
      <c r="B1016" s="2" t="s">
        <v>14574</v>
      </c>
      <c r="C1016" s="2" t="s">
        <v>7942</v>
      </c>
      <c r="D1016" s="2" t="n">
        <v>693.20362379</v>
      </c>
      <c r="E1016" s="2" t="n">
        <v>5.01054446189872</v>
      </c>
      <c r="F1016" s="2" t="s">
        <v>14575</v>
      </c>
      <c r="G1016" s="2" t="n">
        <v>64311</v>
      </c>
      <c r="H1016" s="3" t="str">
        <f>HYPERLINK("http://funmeta.oebiotech.com/network/64311", "http://funmeta.oebiotech.com/network/64311")</f>
      </c>
      <c r="I1016" s="2" t="s">
        <v>14576</v>
      </c>
      <c r="J1016" s="2" t="s">
        <v>14577</v>
      </c>
      <c r="K1016" s="2"/>
      <c r="L1016" s="2"/>
      <c r="M1016" s="2"/>
      <c r="N1016" s="2" t="s">
        <v>14578</v>
      </c>
      <c r="O1016" s="2" t="s">
        <v>14579</v>
      </c>
      <c r="P1016" s="2" t="s">
        <v>14580</v>
      </c>
      <c r="Q1016" s="2" t="s">
        <v>14581</v>
      </c>
      <c r="R1016" s="2" t="s">
        <v>7174</v>
      </c>
      <c r="S1016" s="2" t="s">
        <v>14565</v>
      </c>
      <c r="T1016" s="2" t="s">
        <v>205</v>
      </c>
      <c r="U1016" s="2" t="s">
        <v>7943</v>
      </c>
      <c r="V1016" s="2" t="s">
        <v>110</v>
      </c>
      <c r="W1016" s="2"/>
    </row>
    <row r="1017">
      <c r="A1017" s="2" t="n">
        <v>735</v>
      </c>
      <c r="B1017" s="2" t="s">
        <v>14582</v>
      </c>
      <c r="C1017" s="2" t="s">
        <v>7956</v>
      </c>
      <c r="D1017" s="2" t="n">
        <v>694.445329087</v>
      </c>
      <c r="E1017" s="2" t="n">
        <v>7.94409895086981</v>
      </c>
      <c r="F1017" s="2" t="s">
        <v>7958</v>
      </c>
      <c r="G1017" s="2" t="n">
        <v>133106</v>
      </c>
      <c r="H1017" s="3" t="str">
        <f>HYPERLINK("http://funmeta.oebiotech.com/network/133106", "http://funmeta.oebiotech.com/network/133106")</f>
      </c>
      <c r="I1017" s="2" t="s">
        <v>7960</v>
      </c>
      <c r="J1017" s="2"/>
      <c r="K1017" s="2"/>
      <c r="L1017" s="2"/>
      <c r="M1017" s="2"/>
      <c r="N1017" s="2" t="s">
        <v>7961</v>
      </c>
      <c r="O1017" s="2"/>
      <c r="P1017" s="2" t="s">
        <v>7962</v>
      </c>
      <c r="Q1017" s="2" t="s">
        <v>7963</v>
      </c>
      <c r="R1017" s="2" t="s">
        <v>1490</v>
      </c>
      <c r="S1017" s="2" t="s">
        <v>4236</v>
      </c>
      <c r="T1017" s="2" t="s">
        <v>5369</v>
      </c>
      <c r="U1017" s="2" t="s">
        <v>7957</v>
      </c>
      <c r="V1017" s="2" t="s">
        <v>110</v>
      </c>
      <c r="W1017" s="2"/>
    </row>
    <row r="1018">
      <c r="A1018" s="2" t="n">
        <v>736</v>
      </c>
      <c r="B1018" s="2" t="s">
        <v>14583</v>
      </c>
      <c r="C1018" s="2" t="s">
        <v>7964</v>
      </c>
      <c r="D1018" s="2" t="n">
        <v>695.285316404</v>
      </c>
      <c r="E1018" s="2" t="n">
        <v>3.73282812309452</v>
      </c>
      <c r="F1018" s="2" t="s">
        <v>14584</v>
      </c>
      <c r="G1018" s="2" t="n">
        <v>47833</v>
      </c>
      <c r="H1018" s="3" t="str">
        <f>HYPERLINK("http://funmeta.oebiotech.com/network/47833", "http://funmeta.oebiotech.com/network/47833")</f>
      </c>
      <c r="I1018" s="2" t="s">
        <v>14585</v>
      </c>
      <c r="J1018" s="2" t="s">
        <v>3368</v>
      </c>
      <c r="K1018" s="2"/>
      <c r="L1018" s="2" t="s">
        <v>14586</v>
      </c>
      <c r="M1018" s="2" t="s">
        <v>14587</v>
      </c>
      <c r="N1018" s="2" t="s">
        <v>14588</v>
      </c>
      <c r="O1018" s="2" t="s">
        <v>14589</v>
      </c>
      <c r="P1018" s="2" t="s">
        <v>14590</v>
      </c>
      <c r="Q1018" s="2" t="s">
        <v>14591</v>
      </c>
      <c r="R1018" s="2" t="s">
        <v>355</v>
      </c>
      <c r="S1018" s="2" t="s">
        <v>14592</v>
      </c>
      <c r="T1018" s="2" t="s">
        <v>14593</v>
      </c>
      <c r="U1018" s="2" t="s">
        <v>7965</v>
      </c>
      <c r="V1018" s="2" t="s">
        <v>522</v>
      </c>
      <c r="W1018" s="2" t="s">
        <v>39</v>
      </c>
    </row>
    <row r="1019">
      <c r="A1019" s="2" t="n">
        <v>736</v>
      </c>
      <c r="B1019" s="2" t="s">
        <v>14594</v>
      </c>
      <c r="C1019" s="2" t="s">
        <v>7964</v>
      </c>
      <c r="D1019" s="2" t="n">
        <v>695.285316404</v>
      </c>
      <c r="E1019" s="2" t="n">
        <v>3.73282812309452</v>
      </c>
      <c r="F1019" s="2" t="s">
        <v>14595</v>
      </c>
      <c r="G1019" s="2" t="n">
        <v>47478</v>
      </c>
      <c r="H1019" s="3" t="str">
        <f>HYPERLINK("http://funmeta.oebiotech.com/network/47478", "http://funmeta.oebiotech.com/network/47478")</f>
      </c>
      <c r="I1019" s="2" t="s">
        <v>14596</v>
      </c>
      <c r="J1019" s="2" t="s">
        <v>14597</v>
      </c>
      <c r="K1019" s="2"/>
      <c r="L1019" s="2" t="s">
        <v>14598</v>
      </c>
      <c r="M1019" s="2" t="s">
        <v>14599</v>
      </c>
      <c r="N1019" s="2" t="s">
        <v>14600</v>
      </c>
      <c r="O1019" s="2" t="s">
        <v>14601</v>
      </c>
      <c r="P1019" s="2" t="s">
        <v>14602</v>
      </c>
      <c r="Q1019" s="2" t="s">
        <v>14603</v>
      </c>
      <c r="R1019" s="2" t="s">
        <v>355</v>
      </c>
      <c r="S1019" s="2" t="s">
        <v>14592</v>
      </c>
      <c r="T1019" s="2" t="s">
        <v>14593</v>
      </c>
      <c r="U1019" s="2" t="s">
        <v>7965</v>
      </c>
      <c r="V1019" s="2" t="s">
        <v>522</v>
      </c>
      <c r="W1019" s="2" t="s">
        <v>39</v>
      </c>
    </row>
    <row r="1020">
      <c r="A1020" s="2" t="n">
        <v>737</v>
      </c>
      <c r="B1020" s="2" t="s">
        <v>14604</v>
      </c>
      <c r="C1020" s="2" t="s">
        <v>7978</v>
      </c>
      <c r="D1020" s="2" t="n">
        <v>695.465729696</v>
      </c>
      <c r="E1020" s="2" t="n">
        <v>1.05922951764827</v>
      </c>
      <c r="F1020" s="2" t="s">
        <v>14605</v>
      </c>
      <c r="G1020" s="2" t="n">
        <v>55719</v>
      </c>
      <c r="H1020" s="3" t="str">
        <f>HYPERLINK("http://funmeta.oebiotech.com/network/55719", "http://funmeta.oebiotech.com/network/55719")</f>
      </c>
      <c r="I1020" s="2" t="s">
        <v>14606</v>
      </c>
      <c r="J1020" s="2"/>
      <c r="K1020" s="2"/>
      <c r="L1020" s="2"/>
      <c r="M1020" s="2"/>
      <c r="N1020" s="2" t="s">
        <v>14607</v>
      </c>
      <c r="O1020" s="2" t="s">
        <v>14608</v>
      </c>
      <c r="P1020" s="2" t="s">
        <v>14609</v>
      </c>
      <c r="Q1020" s="2" t="s">
        <v>14610</v>
      </c>
      <c r="R1020" s="2" t="s">
        <v>1490</v>
      </c>
      <c r="S1020" s="2" t="s">
        <v>4236</v>
      </c>
      <c r="T1020" s="2" t="s">
        <v>5175</v>
      </c>
      <c r="U1020" s="2" t="s">
        <v>7979</v>
      </c>
      <c r="V1020" s="2" t="s">
        <v>110</v>
      </c>
      <c r="W1020" s="2"/>
    </row>
    <row r="1021">
      <c r="A1021" s="2" t="n">
        <v>737</v>
      </c>
      <c r="B1021" s="2" t="s">
        <v>14611</v>
      </c>
      <c r="C1021" s="2" t="s">
        <v>7978</v>
      </c>
      <c r="D1021" s="2" t="n">
        <v>695.46573018</v>
      </c>
      <c r="E1021" s="2" t="n">
        <v>1.05922951764827</v>
      </c>
      <c r="F1021" s="2" t="s">
        <v>14612</v>
      </c>
      <c r="G1021" s="2" t="n">
        <v>25005</v>
      </c>
      <c r="H1021" s="3" t="str">
        <f>HYPERLINK("http://funmeta.oebiotech.com/network/25005", "http://funmeta.oebiotech.com/network/25005")</f>
      </c>
      <c r="I1021" s="2" t="s">
        <v>14613</v>
      </c>
      <c r="J1021" s="2" t="s">
        <v>14614</v>
      </c>
      <c r="K1021" s="2" t="s">
        <v>14615</v>
      </c>
      <c r="L1021" s="2"/>
      <c r="M1021" s="2"/>
      <c r="N1021" s="2" t="s">
        <v>14616</v>
      </c>
      <c r="O1021" s="2"/>
      <c r="P1021" s="2" t="s">
        <v>14617</v>
      </c>
      <c r="Q1021" s="2" t="s">
        <v>14618</v>
      </c>
      <c r="R1021" s="2" t="s">
        <v>1490</v>
      </c>
      <c r="S1021" s="2" t="s">
        <v>4236</v>
      </c>
      <c r="T1021" s="2" t="s">
        <v>5175</v>
      </c>
      <c r="U1021" s="2" t="s">
        <v>7979</v>
      </c>
      <c r="V1021" s="2" t="s">
        <v>110</v>
      </c>
      <c r="W1021" s="2"/>
    </row>
    <row r="1022">
      <c r="A1022" s="2" t="n">
        <v>737</v>
      </c>
      <c r="B1022" s="2" t="s">
        <v>14619</v>
      </c>
      <c r="C1022" s="2" t="s">
        <v>7978</v>
      </c>
      <c r="D1022" s="2" t="n">
        <v>695.46573018</v>
      </c>
      <c r="E1022" s="2" t="n">
        <v>1.05922951764827</v>
      </c>
      <c r="F1022" s="2" t="s">
        <v>14620</v>
      </c>
      <c r="G1022" s="2" t="n">
        <v>24928</v>
      </c>
      <c r="H1022" s="3" t="str">
        <f>HYPERLINK("http://funmeta.oebiotech.com/network/24928", "http://funmeta.oebiotech.com/network/24928")</f>
      </c>
      <c r="I1022" s="2" t="s">
        <v>14621</v>
      </c>
      <c r="J1022" s="2" t="s">
        <v>14622</v>
      </c>
      <c r="K1022" s="2" t="s">
        <v>14623</v>
      </c>
      <c r="L1022" s="2"/>
      <c r="M1022" s="2" t="s">
        <v>14624</v>
      </c>
      <c r="N1022" s="2" t="s">
        <v>14625</v>
      </c>
      <c r="O1022" s="2"/>
      <c r="P1022" s="2" t="s">
        <v>14626</v>
      </c>
      <c r="Q1022" s="2" t="s">
        <v>14627</v>
      </c>
      <c r="R1022" s="2" t="s">
        <v>1490</v>
      </c>
      <c r="S1022" s="2" t="s">
        <v>4236</v>
      </c>
      <c r="T1022" s="2" t="s">
        <v>5175</v>
      </c>
      <c r="U1022" s="2" t="s">
        <v>7979</v>
      </c>
      <c r="V1022" s="2" t="s">
        <v>110</v>
      </c>
      <c r="W1022" s="2"/>
    </row>
    <row r="1023">
      <c r="A1023" s="2" t="n">
        <v>738</v>
      </c>
      <c r="B1023" s="2" t="s">
        <v>14628</v>
      </c>
      <c r="C1023" s="2" t="s">
        <v>7991</v>
      </c>
      <c r="D1023" s="2" t="n">
        <v>697.481380244</v>
      </c>
      <c r="E1023" s="2" t="n">
        <v>6.20427120143099</v>
      </c>
      <c r="F1023" s="2" t="s">
        <v>14629</v>
      </c>
      <c r="G1023" s="2" t="n">
        <v>25804</v>
      </c>
      <c r="H1023" s="3" t="str">
        <f>HYPERLINK("http://funmeta.oebiotech.com/network/25804", "http://funmeta.oebiotech.com/network/25804")</f>
      </c>
      <c r="I1023" s="2" t="s">
        <v>14630</v>
      </c>
      <c r="J1023" s="2" t="s">
        <v>14631</v>
      </c>
      <c r="K1023" s="2" t="s">
        <v>14632</v>
      </c>
      <c r="L1023" s="2"/>
      <c r="M1023" s="2"/>
      <c r="N1023" s="2" t="s">
        <v>14633</v>
      </c>
      <c r="O1023" s="2"/>
      <c r="P1023" s="2" t="s">
        <v>14634</v>
      </c>
      <c r="Q1023" s="2" t="s">
        <v>14635</v>
      </c>
      <c r="R1023" s="2" t="s">
        <v>1490</v>
      </c>
      <c r="S1023" s="2" t="s">
        <v>4236</v>
      </c>
      <c r="T1023" s="2" t="s">
        <v>5175</v>
      </c>
      <c r="U1023" s="2" t="s">
        <v>7992</v>
      </c>
      <c r="V1023" s="2" t="s">
        <v>110</v>
      </c>
      <c r="W1023" s="2"/>
    </row>
    <row r="1024">
      <c r="A1024" s="2" t="n">
        <v>738</v>
      </c>
      <c r="B1024" s="2" t="s">
        <v>14636</v>
      </c>
      <c r="C1024" s="2" t="s">
        <v>7991</v>
      </c>
      <c r="D1024" s="2" t="n">
        <v>697.481380244</v>
      </c>
      <c r="E1024" s="2" t="n">
        <v>6.20427120143099</v>
      </c>
      <c r="F1024" s="2" t="s">
        <v>14637</v>
      </c>
      <c r="G1024" s="2" t="n">
        <v>25033</v>
      </c>
      <c r="H1024" s="3" t="str">
        <f>HYPERLINK("http://funmeta.oebiotech.com/network/25033", "http://funmeta.oebiotech.com/network/25033")</f>
      </c>
      <c r="I1024" s="2" t="s">
        <v>14638</v>
      </c>
      <c r="J1024" s="2" t="s">
        <v>14639</v>
      </c>
      <c r="K1024" s="2" t="s">
        <v>14640</v>
      </c>
      <c r="L1024" s="2"/>
      <c r="M1024" s="2"/>
      <c r="N1024" s="2" t="s">
        <v>14641</v>
      </c>
      <c r="O1024" s="2"/>
      <c r="P1024" s="2" t="s">
        <v>14642</v>
      </c>
      <c r="Q1024" s="2" t="s">
        <v>14643</v>
      </c>
      <c r="R1024" s="2" t="s">
        <v>1490</v>
      </c>
      <c r="S1024" s="2" t="s">
        <v>4236</v>
      </c>
      <c r="T1024" s="2" t="s">
        <v>5175</v>
      </c>
      <c r="U1024" s="2" t="s">
        <v>7992</v>
      </c>
      <c r="V1024" s="2" t="s">
        <v>110</v>
      </c>
      <c r="W1024" s="2"/>
    </row>
    <row r="1025">
      <c r="A1025" s="2" t="n">
        <v>739</v>
      </c>
      <c r="B1025" s="2" t="s">
        <v>14644</v>
      </c>
      <c r="C1025" s="2" t="s">
        <v>8002</v>
      </c>
      <c r="D1025" s="2" t="n">
        <v>700.492278797</v>
      </c>
      <c r="E1025" s="2" t="n">
        <v>7.53463020487666</v>
      </c>
      <c r="F1025" s="2" t="s">
        <v>14645</v>
      </c>
      <c r="G1025" s="2" t="n">
        <v>20921</v>
      </c>
      <c r="H1025" s="3" t="str">
        <f>HYPERLINK("http://funmeta.oebiotech.com/network/20921", "http://funmeta.oebiotech.com/network/20921")</f>
      </c>
      <c r="I1025" s="2" t="s">
        <v>14646</v>
      </c>
      <c r="J1025" s="2" t="s">
        <v>14647</v>
      </c>
      <c r="K1025" s="2" t="s">
        <v>14648</v>
      </c>
      <c r="L1025" s="2" t="s">
        <v>7680</v>
      </c>
      <c r="M1025" s="2"/>
      <c r="N1025" s="2" t="s">
        <v>14649</v>
      </c>
      <c r="O1025" s="2"/>
      <c r="P1025" s="2" t="s">
        <v>14650</v>
      </c>
      <c r="Q1025" s="2" t="s">
        <v>14651</v>
      </c>
      <c r="R1025" s="2" t="s">
        <v>1490</v>
      </c>
      <c r="S1025" s="2" t="s">
        <v>4236</v>
      </c>
      <c r="T1025" s="2" t="s">
        <v>5369</v>
      </c>
      <c r="U1025" s="2" t="s">
        <v>8003</v>
      </c>
      <c r="V1025" s="2" t="s">
        <v>110</v>
      </c>
      <c r="W1025" s="2" t="s">
        <v>39</v>
      </c>
    </row>
    <row r="1026">
      <c r="A1026" s="2" t="n">
        <v>739</v>
      </c>
      <c r="B1026" s="2" t="s">
        <v>14652</v>
      </c>
      <c r="C1026" s="2" t="s">
        <v>8002</v>
      </c>
      <c r="D1026" s="2" t="n">
        <v>700.492278797</v>
      </c>
      <c r="E1026" s="2" t="n">
        <v>7.53463020487666</v>
      </c>
      <c r="F1026" s="2" t="s">
        <v>14653</v>
      </c>
      <c r="G1026" s="2" t="n">
        <v>18644</v>
      </c>
      <c r="H1026" s="3" t="str">
        <f>HYPERLINK("http://funmeta.oebiotech.com/network/18644", "http://funmeta.oebiotech.com/network/18644")</f>
      </c>
      <c r="I1026" s="2" t="s">
        <v>14654</v>
      </c>
      <c r="J1026" s="2" t="s">
        <v>14655</v>
      </c>
      <c r="K1026" s="2" t="s">
        <v>14656</v>
      </c>
      <c r="L1026" s="2" t="s">
        <v>8608</v>
      </c>
      <c r="M1026" s="2" t="s">
        <v>14657</v>
      </c>
      <c r="N1026" s="2" t="s">
        <v>14658</v>
      </c>
      <c r="O1026" s="2"/>
      <c r="P1026" s="2" t="s">
        <v>14659</v>
      </c>
      <c r="Q1026" s="2" t="s">
        <v>14660</v>
      </c>
      <c r="R1026" s="2" t="s">
        <v>1490</v>
      </c>
      <c r="S1026" s="2" t="s">
        <v>4236</v>
      </c>
      <c r="T1026" s="2" t="s">
        <v>8613</v>
      </c>
      <c r="U1026" s="2" t="s">
        <v>8003</v>
      </c>
      <c r="V1026" s="2" t="s">
        <v>110</v>
      </c>
      <c r="W1026" s="2" t="s">
        <v>39</v>
      </c>
    </row>
    <row r="1027">
      <c r="A1027" s="2" t="n">
        <v>740</v>
      </c>
      <c r="B1027" s="2" t="s">
        <v>14661</v>
      </c>
      <c r="C1027" s="2" t="s">
        <v>8014</v>
      </c>
      <c r="D1027" s="2" t="n">
        <v>701.17929961</v>
      </c>
      <c r="E1027" s="2" t="n">
        <v>5.58009477946337</v>
      </c>
      <c r="F1027" s="2" t="s">
        <v>14662</v>
      </c>
      <c r="G1027" s="2" t="n">
        <v>203465</v>
      </c>
      <c r="H1027" s="3" t="str">
        <f>HYPERLINK("http://funmeta.oebiotech.com/network/203465", "http://funmeta.oebiotech.com/network/203465")</f>
      </c>
      <c r="I1027" s="2" t="s">
        <v>14663</v>
      </c>
      <c r="J1027" s="2"/>
      <c r="K1027" s="2"/>
      <c r="L1027" s="2"/>
      <c r="M1027" s="2"/>
      <c r="N1027" s="2" t="s">
        <v>14664</v>
      </c>
      <c r="O1027" s="2"/>
      <c r="P1027" s="2" t="s">
        <v>14665</v>
      </c>
      <c r="Q1027" s="2" t="s">
        <v>14666</v>
      </c>
      <c r="R1027" s="2" t="s">
        <v>2509</v>
      </c>
      <c r="S1027" s="2" t="s">
        <v>6596</v>
      </c>
      <c r="T1027" s="2" t="s">
        <v>205</v>
      </c>
      <c r="U1027" s="2" t="s">
        <v>8015</v>
      </c>
      <c r="V1027" s="2" t="s">
        <v>360</v>
      </c>
      <c r="W1027" s="2"/>
    </row>
    <row r="1028">
      <c r="A1028" s="2" t="n">
        <v>740</v>
      </c>
      <c r="B1028" s="2" t="s">
        <v>14667</v>
      </c>
      <c r="C1028" s="2" t="s">
        <v>8014</v>
      </c>
      <c r="D1028" s="2" t="n">
        <v>701.179299622</v>
      </c>
      <c r="E1028" s="2" t="n">
        <v>5.58009477946337</v>
      </c>
      <c r="F1028" s="2" t="s">
        <v>14668</v>
      </c>
      <c r="G1028" s="2" t="n">
        <v>64637</v>
      </c>
      <c r="H1028" s="3" t="str">
        <f>HYPERLINK("http://funmeta.oebiotech.com/network/64637", "http://funmeta.oebiotech.com/network/64637")</f>
      </c>
      <c r="I1028" s="2" t="s">
        <v>14669</v>
      </c>
      <c r="J1028" s="2" t="s">
        <v>14670</v>
      </c>
      <c r="K1028" s="2"/>
      <c r="L1028" s="2"/>
      <c r="M1028" s="2"/>
      <c r="N1028" s="2" t="s">
        <v>14671</v>
      </c>
      <c r="O1028" s="2" t="s">
        <v>14672</v>
      </c>
      <c r="P1028" s="2" t="s">
        <v>14673</v>
      </c>
      <c r="Q1028" s="2" t="s">
        <v>14674</v>
      </c>
      <c r="R1028" s="2" t="s">
        <v>2509</v>
      </c>
      <c r="S1028" s="2" t="s">
        <v>6596</v>
      </c>
      <c r="T1028" s="2" t="s">
        <v>205</v>
      </c>
      <c r="U1028" s="2" t="s">
        <v>8015</v>
      </c>
      <c r="V1028" s="2" t="s">
        <v>360</v>
      </c>
      <c r="W1028" s="2"/>
    </row>
    <row r="1029">
      <c r="A1029" s="2" t="n">
        <v>741</v>
      </c>
      <c r="B1029" s="2" t="s">
        <v>14675</v>
      </c>
      <c r="C1029" s="2" t="s">
        <v>8025</v>
      </c>
      <c r="D1029" s="2" t="n">
        <v>701.45461518</v>
      </c>
      <c r="E1029" s="2" t="n">
        <v>9.14225044369677</v>
      </c>
      <c r="F1029" s="2" t="s">
        <v>14676</v>
      </c>
      <c r="G1029" s="2" t="n">
        <v>134910</v>
      </c>
      <c r="H1029" s="3" t="str">
        <f>HYPERLINK("http://funmeta.oebiotech.com/network/134910", "http://funmeta.oebiotech.com/network/134910")</f>
      </c>
      <c r="I1029" s="2" t="s">
        <v>14677</v>
      </c>
      <c r="J1029" s="2"/>
      <c r="K1029" s="2"/>
      <c r="L1029" s="2"/>
      <c r="M1029" s="2"/>
      <c r="N1029" s="2" t="s">
        <v>14678</v>
      </c>
      <c r="O1029" s="2"/>
      <c r="P1029" s="2" t="s">
        <v>14679</v>
      </c>
      <c r="Q1029" s="2" t="s">
        <v>14680</v>
      </c>
      <c r="R1029" s="2" t="s">
        <v>1490</v>
      </c>
      <c r="S1029" s="2" t="s">
        <v>4236</v>
      </c>
      <c r="T1029" s="2" t="s">
        <v>5175</v>
      </c>
      <c r="U1029" s="2" t="s">
        <v>8026</v>
      </c>
      <c r="V1029" s="2" t="s">
        <v>42</v>
      </c>
      <c r="W1029" s="2"/>
    </row>
    <row r="1030">
      <c r="A1030" s="2" t="n">
        <v>741</v>
      </c>
      <c r="B1030" s="2" t="s">
        <v>14681</v>
      </c>
      <c r="C1030" s="2" t="s">
        <v>8025</v>
      </c>
      <c r="D1030" s="2" t="n">
        <v>701.45461518</v>
      </c>
      <c r="E1030" s="2" t="n">
        <v>9.14225044369677</v>
      </c>
      <c r="F1030" s="2" t="s">
        <v>14682</v>
      </c>
      <c r="G1030" s="2" t="n">
        <v>24937</v>
      </c>
      <c r="H1030" s="3" t="str">
        <f>HYPERLINK("http://funmeta.oebiotech.com/network/24937", "http://funmeta.oebiotech.com/network/24937")</f>
      </c>
      <c r="I1030" s="2" t="s">
        <v>14683</v>
      </c>
      <c r="J1030" s="2" t="s">
        <v>14684</v>
      </c>
      <c r="K1030" s="2" t="s">
        <v>14685</v>
      </c>
      <c r="L1030" s="2"/>
      <c r="M1030" s="2" t="s">
        <v>14686</v>
      </c>
      <c r="N1030" s="2" t="s">
        <v>14687</v>
      </c>
      <c r="O1030" s="2"/>
      <c r="P1030" s="2" t="s">
        <v>14688</v>
      </c>
      <c r="Q1030" s="2" t="s">
        <v>14689</v>
      </c>
      <c r="R1030" s="2" t="s">
        <v>1490</v>
      </c>
      <c r="S1030" s="2" t="s">
        <v>4236</v>
      </c>
      <c r="T1030" s="2" t="s">
        <v>5175</v>
      </c>
      <c r="U1030" s="2" t="s">
        <v>8026</v>
      </c>
      <c r="V1030" s="2" t="s">
        <v>42</v>
      </c>
      <c r="W1030" s="2"/>
    </row>
    <row r="1031">
      <c r="A1031" s="2" t="n">
        <v>742</v>
      </c>
      <c r="B1031" s="2" t="s">
        <v>14690</v>
      </c>
      <c r="C1031" s="2" t="s">
        <v>8036</v>
      </c>
      <c r="D1031" s="2" t="n">
        <v>702.175883998</v>
      </c>
      <c r="E1031" s="2" t="n">
        <v>5.72742398306523</v>
      </c>
      <c r="F1031" s="2" t="s">
        <v>8038</v>
      </c>
      <c r="G1031" s="2" t="n">
        <v>212052</v>
      </c>
      <c r="H1031" s="3" t="str">
        <f>HYPERLINK("http://funmeta.oebiotech.com/network/212052", "http://funmeta.oebiotech.com/network/212052")</f>
      </c>
      <c r="I1031" s="2" t="s">
        <v>8040</v>
      </c>
      <c r="J1031" s="2"/>
      <c r="K1031" s="2"/>
      <c r="L1031" s="2"/>
      <c r="M1031" s="2"/>
      <c r="N1031" s="2"/>
      <c r="O1031" s="2"/>
      <c r="P1031" s="2" t="s">
        <v>8041</v>
      </c>
      <c r="Q1031" s="2" t="s">
        <v>8042</v>
      </c>
      <c r="R1031" s="2" t="s">
        <v>502</v>
      </c>
      <c r="S1031" s="2" t="s">
        <v>503</v>
      </c>
      <c r="T1031" s="2" t="s">
        <v>7641</v>
      </c>
      <c r="U1031" s="2" t="s">
        <v>8037</v>
      </c>
      <c r="V1031" s="2" t="s">
        <v>522</v>
      </c>
      <c r="W1031" s="2"/>
    </row>
    <row r="1032">
      <c r="A1032" s="2" t="n">
        <v>743</v>
      </c>
      <c r="B1032" s="2" t="s">
        <v>14691</v>
      </c>
      <c r="C1032" s="2" t="s">
        <v>8043</v>
      </c>
      <c r="D1032" s="2" t="n">
        <v>703.2320311</v>
      </c>
      <c r="E1032" s="2" t="n">
        <v>2.6923421822461</v>
      </c>
      <c r="F1032" s="2" t="s">
        <v>14692</v>
      </c>
      <c r="G1032" s="2" t="n">
        <v>207665</v>
      </c>
      <c r="H1032" s="3" t="str">
        <f>HYPERLINK("http://funmeta.oebiotech.com/network/207665", "http://funmeta.oebiotech.com/network/207665")</f>
      </c>
      <c r="I1032" s="2" t="s">
        <v>14693</v>
      </c>
      <c r="J1032" s="2"/>
      <c r="K1032" s="2"/>
      <c r="L1032" s="2"/>
      <c r="M1032" s="2"/>
      <c r="N1032" s="2"/>
      <c r="O1032" s="2"/>
      <c r="P1032" s="2" t="s">
        <v>14694</v>
      </c>
      <c r="Q1032" s="2" t="s">
        <v>14695</v>
      </c>
      <c r="R1032" s="2" t="s">
        <v>355</v>
      </c>
      <c r="S1032" s="2" t="s">
        <v>5131</v>
      </c>
      <c r="T1032" s="2" t="s">
        <v>5132</v>
      </c>
      <c r="U1032" s="2" t="s">
        <v>8044</v>
      </c>
      <c r="V1032" s="2" t="s">
        <v>110</v>
      </c>
      <c r="W1032" s="2"/>
    </row>
    <row r="1033">
      <c r="A1033" s="2" t="n">
        <v>743</v>
      </c>
      <c r="B1033" s="2" t="s">
        <v>14696</v>
      </c>
      <c r="C1033" s="2" t="s">
        <v>8043</v>
      </c>
      <c r="D1033" s="2" t="n">
        <v>703.232031158</v>
      </c>
      <c r="E1033" s="2" t="n">
        <v>2.6923421822461</v>
      </c>
      <c r="F1033" s="2" t="s">
        <v>14697</v>
      </c>
      <c r="G1033" s="2" t="n">
        <v>53384</v>
      </c>
      <c r="H1033" s="3" t="str">
        <f>HYPERLINK("http://funmeta.oebiotech.com/network/53384", "http://funmeta.oebiotech.com/network/53384")</f>
      </c>
      <c r="I1033" s="2" t="s">
        <v>14698</v>
      </c>
      <c r="J1033" s="2"/>
      <c r="K1033" s="2"/>
      <c r="L1033" s="2"/>
      <c r="M1033" s="2" t="s">
        <v>14699</v>
      </c>
      <c r="N1033" s="2" t="s">
        <v>14700</v>
      </c>
      <c r="O1033" s="2" t="s">
        <v>14701</v>
      </c>
      <c r="P1033" s="2" t="s">
        <v>14702</v>
      </c>
      <c r="Q1033" s="2" t="s">
        <v>14703</v>
      </c>
      <c r="R1033" s="2" t="s">
        <v>355</v>
      </c>
      <c r="S1033" s="2" t="s">
        <v>5131</v>
      </c>
      <c r="T1033" s="2" t="s">
        <v>5132</v>
      </c>
      <c r="U1033" s="2" t="s">
        <v>8044</v>
      </c>
      <c r="V1033" s="2" t="s">
        <v>110</v>
      </c>
      <c r="W1033" s="2"/>
    </row>
    <row r="1034">
      <c r="A1034" s="2" t="n">
        <v>744</v>
      </c>
      <c r="B1034" s="2" t="s">
        <v>14704</v>
      </c>
      <c r="C1034" s="2" t="s">
        <v>8055</v>
      </c>
      <c r="D1034" s="2" t="n">
        <v>703.45555942</v>
      </c>
      <c r="E1034" s="2" t="n">
        <v>3.58604513175758</v>
      </c>
      <c r="F1034" s="2" t="s">
        <v>8057</v>
      </c>
      <c r="G1034" s="2" t="n">
        <v>136292</v>
      </c>
      <c r="H1034" s="3" t="str">
        <f>HYPERLINK("http://funmeta.oebiotech.com/network/136292", "http://funmeta.oebiotech.com/network/136292")</f>
      </c>
      <c r="I1034" s="2" t="s">
        <v>8059</v>
      </c>
      <c r="J1034" s="2"/>
      <c r="K1034" s="2"/>
      <c r="L1034" s="2"/>
      <c r="M1034" s="2"/>
      <c r="N1034" s="2" t="s">
        <v>8060</v>
      </c>
      <c r="O1034" s="2"/>
      <c r="P1034" s="2" t="s">
        <v>8061</v>
      </c>
      <c r="Q1034" s="2" t="s">
        <v>8062</v>
      </c>
      <c r="R1034" s="2" t="s">
        <v>1490</v>
      </c>
      <c r="S1034" s="2" t="s">
        <v>4236</v>
      </c>
      <c r="T1034" s="2" t="s">
        <v>8063</v>
      </c>
      <c r="U1034" s="2" t="s">
        <v>8056</v>
      </c>
      <c r="V1034" s="2" t="s">
        <v>110</v>
      </c>
      <c r="W1034" s="2"/>
    </row>
    <row r="1035">
      <c r="A1035" s="2" t="n">
        <v>745</v>
      </c>
      <c r="B1035" s="2" t="s">
        <v>14705</v>
      </c>
      <c r="C1035" s="2" t="s">
        <v>8064</v>
      </c>
      <c r="D1035" s="2" t="n">
        <v>707.182338034</v>
      </c>
      <c r="E1035" s="2" t="n">
        <v>0.664322503201102</v>
      </c>
      <c r="F1035" s="2" t="s">
        <v>14706</v>
      </c>
      <c r="G1035" s="2" t="n">
        <v>62125</v>
      </c>
      <c r="H1035" s="3" t="str">
        <f>HYPERLINK("http://funmeta.oebiotech.com/network/62125", "http://funmeta.oebiotech.com/network/62125")</f>
      </c>
      <c r="I1035" s="2" t="s">
        <v>14707</v>
      </c>
      <c r="J1035" s="2"/>
      <c r="K1035" s="2"/>
      <c r="L1035" s="2"/>
      <c r="M1035" s="2"/>
      <c r="N1035" s="2" t="s">
        <v>14708</v>
      </c>
      <c r="O1035" s="2" t="s">
        <v>14709</v>
      </c>
      <c r="P1035" s="2" t="s">
        <v>14710</v>
      </c>
      <c r="Q1035" s="2" t="s">
        <v>14711</v>
      </c>
      <c r="R1035" s="2" t="s">
        <v>2509</v>
      </c>
      <c r="S1035" s="2" t="s">
        <v>5520</v>
      </c>
      <c r="T1035" s="2" t="s">
        <v>5664</v>
      </c>
      <c r="U1035" s="2" t="s">
        <v>8065</v>
      </c>
      <c r="V1035" s="2" t="s">
        <v>42</v>
      </c>
      <c r="W1035" s="2"/>
    </row>
    <row r="1036">
      <c r="A1036" s="2" t="n">
        <v>745</v>
      </c>
      <c r="B1036" s="2" t="s">
        <v>14712</v>
      </c>
      <c r="C1036" s="2" t="s">
        <v>8064</v>
      </c>
      <c r="D1036" s="2" t="n">
        <v>707.182338034</v>
      </c>
      <c r="E1036" s="2" t="n">
        <v>0.664322503201102</v>
      </c>
      <c r="F1036" s="2" t="s">
        <v>14713</v>
      </c>
      <c r="G1036" s="2" t="n">
        <v>63014</v>
      </c>
      <c r="H1036" s="3" t="str">
        <f>HYPERLINK("http://funmeta.oebiotech.com/network/63014", "http://funmeta.oebiotech.com/network/63014")</f>
      </c>
      <c r="I1036" s="2" t="s">
        <v>14714</v>
      </c>
      <c r="J1036" s="2" t="s">
        <v>14715</v>
      </c>
      <c r="K1036" s="2"/>
      <c r="L1036" s="2"/>
      <c r="M1036" s="2"/>
      <c r="N1036" s="2" t="s">
        <v>14716</v>
      </c>
      <c r="O1036" s="2" t="s">
        <v>14717</v>
      </c>
      <c r="P1036" s="2" t="s">
        <v>14718</v>
      </c>
      <c r="Q1036" s="2" t="s">
        <v>14719</v>
      </c>
      <c r="R1036" s="2" t="s">
        <v>2509</v>
      </c>
      <c r="S1036" s="2" t="s">
        <v>5520</v>
      </c>
      <c r="T1036" s="2" t="s">
        <v>5664</v>
      </c>
      <c r="U1036" s="2" t="s">
        <v>8065</v>
      </c>
      <c r="V1036" s="2" t="s">
        <v>42</v>
      </c>
      <c r="W1036" s="2"/>
    </row>
    <row r="1037">
      <c r="A1037" s="2" t="n">
        <v>745</v>
      </c>
      <c r="B1037" s="2" t="s">
        <v>14720</v>
      </c>
      <c r="C1037" s="2" t="s">
        <v>8064</v>
      </c>
      <c r="D1037" s="2" t="n">
        <v>707.182338034</v>
      </c>
      <c r="E1037" s="2" t="n">
        <v>0.664322503201102</v>
      </c>
      <c r="F1037" s="2" t="s">
        <v>14721</v>
      </c>
      <c r="G1037" s="2" t="n">
        <v>63998</v>
      </c>
      <c r="H1037" s="3" t="str">
        <f>HYPERLINK("http://funmeta.oebiotech.com/network/63998", "http://funmeta.oebiotech.com/network/63998")</f>
      </c>
      <c r="I1037" s="2" t="s">
        <v>14722</v>
      </c>
      <c r="J1037" s="2" t="s">
        <v>14723</v>
      </c>
      <c r="K1037" s="2"/>
      <c r="L1037" s="2"/>
      <c r="M1037" s="2"/>
      <c r="N1037" s="2" t="s">
        <v>14724</v>
      </c>
      <c r="O1037" s="2" t="s">
        <v>14725</v>
      </c>
      <c r="P1037" s="2" t="s">
        <v>14726</v>
      </c>
      <c r="Q1037" s="2" t="s">
        <v>14727</v>
      </c>
      <c r="R1037" s="2" t="s">
        <v>2509</v>
      </c>
      <c r="S1037" s="2" t="s">
        <v>5520</v>
      </c>
      <c r="T1037" s="2" t="s">
        <v>5664</v>
      </c>
      <c r="U1037" s="2" t="s">
        <v>8065</v>
      </c>
      <c r="V1037" s="2" t="s">
        <v>42</v>
      </c>
      <c r="W1037" s="2"/>
    </row>
    <row r="1038">
      <c r="A1038" s="2" t="n">
        <v>746</v>
      </c>
      <c r="B1038" s="2" t="s">
        <v>14728</v>
      </c>
      <c r="C1038" s="2" t="s">
        <v>8075</v>
      </c>
      <c r="D1038" s="2" t="n">
        <v>707.46590653</v>
      </c>
      <c r="E1038" s="2" t="n">
        <v>6.44164098511487</v>
      </c>
      <c r="F1038" s="2" t="s">
        <v>8077</v>
      </c>
      <c r="G1038" s="2" t="n">
        <v>136066</v>
      </c>
      <c r="H1038" s="3" t="str">
        <f>HYPERLINK("http://funmeta.oebiotech.com/network/136066", "http://funmeta.oebiotech.com/network/136066")</f>
      </c>
      <c r="I1038" s="2" t="s">
        <v>8079</v>
      </c>
      <c r="J1038" s="2"/>
      <c r="K1038" s="2"/>
      <c r="L1038" s="2"/>
      <c r="M1038" s="2"/>
      <c r="N1038" s="2"/>
      <c r="O1038" s="2"/>
      <c r="P1038" s="2" t="s">
        <v>8080</v>
      </c>
      <c r="Q1038" s="2" t="s">
        <v>8081</v>
      </c>
      <c r="R1038" s="2" t="s">
        <v>1490</v>
      </c>
      <c r="S1038" s="2" t="s">
        <v>1491</v>
      </c>
      <c r="T1038" s="2" t="s">
        <v>1492</v>
      </c>
      <c r="U1038" s="2" t="s">
        <v>8076</v>
      </c>
      <c r="V1038" s="2" t="s">
        <v>522</v>
      </c>
      <c r="W1038" s="2"/>
    </row>
    <row r="1039">
      <c r="A1039" s="2" t="n">
        <v>747</v>
      </c>
      <c r="B1039" s="2" t="s">
        <v>14729</v>
      </c>
      <c r="C1039" s="2" t="s">
        <v>8082</v>
      </c>
      <c r="D1039" s="2" t="n">
        <v>709.190410968</v>
      </c>
      <c r="E1039" s="2" t="n">
        <v>3.06039024591803</v>
      </c>
      <c r="F1039" s="2" t="s">
        <v>14730</v>
      </c>
      <c r="G1039" s="2" t="n">
        <v>210204</v>
      </c>
      <c r="H1039" s="3" t="str">
        <f>HYPERLINK("http://funmeta.oebiotech.com/network/210204", "http://funmeta.oebiotech.com/network/210204")</f>
      </c>
      <c r="I1039" s="2" t="s">
        <v>14731</v>
      </c>
      <c r="J1039" s="2"/>
      <c r="K1039" s="2"/>
      <c r="L1039" s="2"/>
      <c r="M1039" s="2"/>
      <c r="N1039" s="2"/>
      <c r="O1039" s="2"/>
      <c r="P1039" s="2" t="s">
        <v>14732</v>
      </c>
      <c r="Q1039" s="2" t="s">
        <v>14733</v>
      </c>
      <c r="R1039" s="2" t="s">
        <v>1490</v>
      </c>
      <c r="S1039" s="2" t="s">
        <v>4971</v>
      </c>
      <c r="T1039" s="2" t="s">
        <v>7445</v>
      </c>
      <c r="U1039" s="2" t="s">
        <v>8083</v>
      </c>
      <c r="V1039" s="2" t="s">
        <v>250</v>
      </c>
      <c r="W1039" s="2"/>
    </row>
    <row r="1040">
      <c r="A1040" s="2" t="n">
        <v>747</v>
      </c>
      <c r="B1040" s="2" t="s">
        <v>14734</v>
      </c>
      <c r="C1040" s="2" t="s">
        <v>8082</v>
      </c>
      <c r="D1040" s="2" t="n">
        <v>709.190410988</v>
      </c>
      <c r="E1040" s="2" t="n">
        <v>3.06039024591803</v>
      </c>
      <c r="F1040" s="2" t="s">
        <v>14735</v>
      </c>
      <c r="G1040" s="2" t="n">
        <v>60244</v>
      </c>
      <c r="H1040" s="3" t="str">
        <f>HYPERLINK("http://funmeta.oebiotech.com/network/60244", "http://funmeta.oebiotech.com/network/60244")</f>
      </c>
      <c r="I1040" s="2" t="s">
        <v>14736</v>
      </c>
      <c r="J1040" s="2" t="s">
        <v>14737</v>
      </c>
      <c r="K1040" s="2"/>
      <c r="L1040" s="2"/>
      <c r="M1040" s="2"/>
      <c r="N1040" s="2" t="s">
        <v>14738</v>
      </c>
      <c r="O1040" s="2" t="s">
        <v>14739</v>
      </c>
      <c r="P1040" s="2" t="s">
        <v>14740</v>
      </c>
      <c r="Q1040" s="2" t="s">
        <v>14741</v>
      </c>
      <c r="R1040" s="2" t="s">
        <v>2509</v>
      </c>
      <c r="S1040" s="2" t="s">
        <v>14742</v>
      </c>
      <c r="T1040" s="2" t="s">
        <v>14743</v>
      </c>
      <c r="U1040" s="2" t="s">
        <v>8083</v>
      </c>
      <c r="V1040" s="2" t="s">
        <v>250</v>
      </c>
      <c r="W1040" s="2"/>
    </row>
    <row r="1041">
      <c r="A1041" s="2" t="n">
        <v>748</v>
      </c>
      <c r="B1041" s="2" t="s">
        <v>14744</v>
      </c>
      <c r="C1041" s="2" t="s">
        <v>8094</v>
      </c>
      <c r="D1041" s="2" t="n">
        <v>709.469230077</v>
      </c>
      <c r="E1041" s="2" t="n">
        <v>6.58296681809998</v>
      </c>
      <c r="F1041" s="2" t="s">
        <v>14745</v>
      </c>
      <c r="G1041" s="2" t="n">
        <v>39614</v>
      </c>
      <c r="H1041" s="3" t="str">
        <f>HYPERLINK("http://funmeta.oebiotech.com/network/39614", "http://funmeta.oebiotech.com/network/39614")</f>
      </c>
      <c r="I1041" s="2" t="s">
        <v>14746</v>
      </c>
      <c r="J1041" s="2" t="s">
        <v>14747</v>
      </c>
      <c r="K1041" s="2" t="s">
        <v>14748</v>
      </c>
      <c r="L1041" s="2"/>
      <c r="M1041" s="2"/>
      <c r="N1041" s="2" t="s">
        <v>14749</v>
      </c>
      <c r="O1041" s="2" t="s">
        <v>14750</v>
      </c>
      <c r="P1041" s="2" t="s">
        <v>14751</v>
      </c>
      <c r="Q1041" s="2" t="s">
        <v>14752</v>
      </c>
      <c r="R1041" s="2" t="s">
        <v>1490</v>
      </c>
      <c r="S1041" s="2" t="s">
        <v>8433</v>
      </c>
      <c r="T1041" s="2" t="s">
        <v>8858</v>
      </c>
      <c r="U1041" s="2" t="s">
        <v>8095</v>
      </c>
      <c r="V1041" s="2" t="s">
        <v>250</v>
      </c>
      <c r="W1041" s="2"/>
    </row>
    <row r="1042">
      <c r="A1042" s="2" t="n">
        <v>748</v>
      </c>
      <c r="B1042" s="2" t="s">
        <v>14753</v>
      </c>
      <c r="C1042" s="2" t="s">
        <v>8094</v>
      </c>
      <c r="D1042" s="2" t="n">
        <v>709.469230077</v>
      </c>
      <c r="E1042" s="2" t="n">
        <v>6.58296681809998</v>
      </c>
      <c r="F1042" s="2" t="s">
        <v>14754</v>
      </c>
      <c r="G1042" s="2" t="n">
        <v>197245</v>
      </c>
      <c r="H1042" s="3" t="str">
        <f>HYPERLINK("http://funmeta.oebiotech.com/network/197245", "http://funmeta.oebiotech.com/network/197245")</f>
      </c>
      <c r="I1042" s="2" t="s">
        <v>14755</v>
      </c>
      <c r="J1042" s="2"/>
      <c r="K1042" s="2"/>
      <c r="L1042" s="2"/>
      <c r="M1042" s="2"/>
      <c r="N1042" s="2"/>
      <c r="O1042" s="2" t="s">
        <v>14756</v>
      </c>
      <c r="P1042" s="2" t="s">
        <v>14757</v>
      </c>
      <c r="Q1042" s="2" t="s">
        <v>14758</v>
      </c>
      <c r="R1042" s="2" t="s">
        <v>1490</v>
      </c>
      <c r="S1042" s="2" t="s">
        <v>8433</v>
      </c>
      <c r="T1042" s="2" t="s">
        <v>8858</v>
      </c>
      <c r="U1042" s="2" t="s">
        <v>8095</v>
      </c>
      <c r="V1042" s="2" t="s">
        <v>250</v>
      </c>
      <c r="W1042" s="2"/>
    </row>
    <row r="1043">
      <c r="A1043" s="2" t="n">
        <v>749</v>
      </c>
      <c r="B1043" s="2" t="s">
        <v>14759</v>
      </c>
      <c r="C1043" s="2" t="s">
        <v>8107</v>
      </c>
      <c r="D1043" s="2" t="n">
        <v>710.248534977</v>
      </c>
      <c r="E1043" s="2" t="n">
        <v>5.34156105599033</v>
      </c>
      <c r="F1043" s="2" t="s">
        <v>8109</v>
      </c>
      <c r="G1043" s="2" t="n">
        <v>257329</v>
      </c>
      <c r="H1043" s="3" t="str">
        <f>HYPERLINK("http://funmeta.oebiotech.com/network/257329", "http://funmeta.oebiotech.com/network/257329")</f>
      </c>
      <c r="I1043" s="2" t="s">
        <v>8111</v>
      </c>
      <c r="J1043" s="2"/>
      <c r="K1043" s="2"/>
      <c r="L1043" s="2"/>
      <c r="M1043" s="2"/>
      <c r="N1043" s="2" t="s">
        <v>8112</v>
      </c>
      <c r="O1043" s="2"/>
      <c r="P1043" s="2" t="s">
        <v>8113</v>
      </c>
      <c r="Q1043" s="2" t="s">
        <v>8114</v>
      </c>
      <c r="R1043" s="2" t="s">
        <v>2509</v>
      </c>
      <c r="S1043" s="2" t="s">
        <v>4528</v>
      </c>
      <c r="T1043" s="2" t="s">
        <v>4529</v>
      </c>
      <c r="U1043" s="2" t="s">
        <v>8108</v>
      </c>
      <c r="V1043" s="2" t="s">
        <v>250</v>
      </c>
      <c r="W1043" s="2"/>
    </row>
    <row r="1044">
      <c r="A1044" s="2" t="n">
        <v>750</v>
      </c>
      <c r="B1044" s="2" t="s">
        <v>14760</v>
      </c>
      <c r="C1044" s="2" t="s">
        <v>8115</v>
      </c>
      <c r="D1044" s="2" t="n">
        <v>710.476628733</v>
      </c>
      <c r="E1044" s="2" t="n">
        <v>1.79723961252603</v>
      </c>
      <c r="F1044" s="2" t="s">
        <v>8117</v>
      </c>
      <c r="G1044" s="2" t="n">
        <v>20931</v>
      </c>
      <c r="H1044" s="3" t="str">
        <f>HYPERLINK("http://funmeta.oebiotech.com/network/20931", "http://funmeta.oebiotech.com/network/20931")</f>
      </c>
      <c r="I1044" s="2" t="s">
        <v>8119</v>
      </c>
      <c r="J1044" s="2" t="s">
        <v>8120</v>
      </c>
      <c r="K1044" s="2" t="s">
        <v>8121</v>
      </c>
      <c r="L1044" s="2" t="s">
        <v>7680</v>
      </c>
      <c r="M1044" s="2"/>
      <c r="N1044" s="2" t="s">
        <v>8122</v>
      </c>
      <c r="O1044" s="2"/>
      <c r="P1044" s="2" t="s">
        <v>8123</v>
      </c>
      <c r="Q1044" s="2" t="s">
        <v>8124</v>
      </c>
      <c r="R1044" s="2" t="s">
        <v>1490</v>
      </c>
      <c r="S1044" s="2" t="s">
        <v>4236</v>
      </c>
      <c r="T1044" s="2" t="s">
        <v>5369</v>
      </c>
      <c r="U1044" s="2" t="s">
        <v>8116</v>
      </c>
      <c r="V1044" s="2" t="s">
        <v>110</v>
      </c>
      <c r="W1044" s="2" t="s">
        <v>39</v>
      </c>
    </row>
    <row r="1045">
      <c r="A1045" s="2" t="n">
        <v>751</v>
      </c>
      <c r="B1045" s="2" t="s">
        <v>14761</v>
      </c>
      <c r="C1045" s="2" t="s">
        <v>8125</v>
      </c>
      <c r="D1045" s="2" t="n">
        <v>711.257234277</v>
      </c>
      <c r="E1045" s="2" t="n">
        <v>3.46471722033375</v>
      </c>
      <c r="F1045" s="2" t="s">
        <v>8127</v>
      </c>
      <c r="G1045" s="2" t="n">
        <v>208309</v>
      </c>
      <c r="H1045" s="3" t="str">
        <f>HYPERLINK("http://funmeta.oebiotech.com/network/208309", "http://funmeta.oebiotech.com/network/208309")</f>
      </c>
      <c r="I1045" s="2" t="s">
        <v>8129</v>
      </c>
      <c r="J1045" s="2"/>
      <c r="K1045" s="2"/>
      <c r="L1045" s="2"/>
      <c r="M1045" s="2"/>
      <c r="N1045" s="2" t="s">
        <v>8130</v>
      </c>
      <c r="O1045" s="2"/>
      <c r="P1045" s="2" t="s">
        <v>8131</v>
      </c>
      <c r="Q1045" s="2" t="s">
        <v>8132</v>
      </c>
      <c r="R1045" s="2" t="s">
        <v>49</v>
      </c>
      <c r="S1045" s="2" t="s">
        <v>165</v>
      </c>
      <c r="T1045" s="2" t="s">
        <v>166</v>
      </c>
      <c r="U1045" s="2" t="s">
        <v>8126</v>
      </c>
      <c r="V1045" s="2" t="s">
        <v>42</v>
      </c>
      <c r="W1045" s="2"/>
    </row>
    <row r="1046">
      <c r="A1046" s="2" t="n">
        <v>752</v>
      </c>
      <c r="B1046" s="2" t="s">
        <v>14762</v>
      </c>
      <c r="C1046" s="2" t="s">
        <v>8133</v>
      </c>
      <c r="D1046" s="2" t="n">
        <v>711.458124214</v>
      </c>
      <c r="E1046" s="2" t="n">
        <v>5.83323977376647</v>
      </c>
      <c r="F1046" s="2" t="s">
        <v>8135</v>
      </c>
      <c r="G1046" s="2" t="n">
        <v>202936</v>
      </c>
      <c r="H1046" s="3" t="str">
        <f>HYPERLINK("http://funmeta.oebiotech.com/network/202936", "http://funmeta.oebiotech.com/network/202936")</f>
      </c>
      <c r="I1046" s="2" t="s">
        <v>8137</v>
      </c>
      <c r="J1046" s="2"/>
      <c r="K1046" s="2"/>
      <c r="L1046" s="2"/>
      <c r="M1046" s="2" t="s">
        <v>8138</v>
      </c>
      <c r="N1046" s="2" t="s">
        <v>8139</v>
      </c>
      <c r="O1046" s="2"/>
      <c r="P1046" s="2" t="s">
        <v>8140</v>
      </c>
      <c r="Q1046" s="2" t="s">
        <v>8141</v>
      </c>
      <c r="R1046" s="2" t="s">
        <v>64</v>
      </c>
      <c r="S1046" s="2" t="s">
        <v>65</v>
      </c>
      <c r="T1046" s="2" t="s">
        <v>91</v>
      </c>
      <c r="U1046" s="2" t="s">
        <v>8134</v>
      </c>
      <c r="V1046" s="2" t="s">
        <v>1019</v>
      </c>
      <c r="W1046" s="2"/>
    </row>
    <row r="1047">
      <c r="A1047" s="2" t="n">
        <v>753</v>
      </c>
      <c r="B1047" s="2" t="s">
        <v>14763</v>
      </c>
      <c r="C1047" s="2" t="s">
        <v>8142</v>
      </c>
      <c r="D1047" s="2" t="n">
        <v>712.16315593</v>
      </c>
      <c r="E1047" s="2" t="n">
        <v>1.63739373135379</v>
      </c>
      <c r="F1047" s="2" t="s">
        <v>8144</v>
      </c>
      <c r="G1047" s="2" t="n">
        <v>207004</v>
      </c>
      <c r="H1047" s="3" t="str">
        <f>HYPERLINK("http://funmeta.oebiotech.com/network/207004", "http://funmeta.oebiotech.com/network/207004")</f>
      </c>
      <c r="I1047" s="2" t="s">
        <v>8146</v>
      </c>
      <c r="J1047" s="2"/>
      <c r="K1047" s="2"/>
      <c r="L1047" s="2"/>
      <c r="M1047" s="2"/>
      <c r="N1047" s="2" t="s">
        <v>8147</v>
      </c>
      <c r="O1047" s="2"/>
      <c r="P1047" s="2" t="s">
        <v>8148</v>
      </c>
      <c r="Q1047" s="2" t="s">
        <v>8149</v>
      </c>
      <c r="R1047" s="2" t="s">
        <v>49</v>
      </c>
      <c r="S1047" s="2" t="s">
        <v>165</v>
      </c>
      <c r="T1047" s="2" t="s">
        <v>6223</v>
      </c>
      <c r="U1047" s="2" t="s">
        <v>8143</v>
      </c>
      <c r="V1047" s="2" t="s">
        <v>110</v>
      </c>
      <c r="W1047" s="2"/>
    </row>
    <row r="1048">
      <c r="A1048" s="2" t="n">
        <v>754</v>
      </c>
      <c r="B1048" s="2" t="s">
        <v>14764</v>
      </c>
      <c r="C1048" s="2" t="s">
        <v>8150</v>
      </c>
      <c r="D1048" s="2" t="n">
        <v>713.495770462</v>
      </c>
      <c r="E1048" s="2" t="n">
        <v>0.146222166188373</v>
      </c>
      <c r="F1048" s="2" t="s">
        <v>14765</v>
      </c>
      <c r="G1048" s="2" t="n">
        <v>8306</v>
      </c>
      <c r="H1048" s="3" t="str">
        <f>HYPERLINK("http://funmeta.oebiotech.com/network/8306", "http://funmeta.oebiotech.com/network/8306")</f>
      </c>
      <c r="I1048" s="2" t="s">
        <v>14766</v>
      </c>
      <c r="J1048" s="2"/>
      <c r="K1048" s="2" t="s">
        <v>14767</v>
      </c>
      <c r="L1048" s="2"/>
      <c r="M1048" s="2" t="s">
        <v>14768</v>
      </c>
      <c r="N1048" s="2" t="s">
        <v>14769</v>
      </c>
      <c r="O1048" s="2"/>
      <c r="P1048" s="2" t="s">
        <v>14770</v>
      </c>
      <c r="Q1048" s="2" t="s">
        <v>14771</v>
      </c>
      <c r="R1048" s="2" t="s">
        <v>1490</v>
      </c>
      <c r="S1048" s="2" t="s">
        <v>1491</v>
      </c>
      <c r="T1048" s="2" t="s">
        <v>3884</v>
      </c>
      <c r="U1048" s="2" t="s">
        <v>8151</v>
      </c>
      <c r="V1048" s="2" t="s">
        <v>1019</v>
      </c>
      <c r="W1048" s="2"/>
    </row>
    <row r="1049">
      <c r="A1049" s="2" t="n">
        <v>754</v>
      </c>
      <c r="B1049" s="2" t="s">
        <v>14772</v>
      </c>
      <c r="C1049" s="2" t="s">
        <v>8150</v>
      </c>
      <c r="D1049" s="2" t="n">
        <v>713.495770462</v>
      </c>
      <c r="E1049" s="2" t="n">
        <v>0.146222166188373</v>
      </c>
      <c r="F1049" s="2" t="s">
        <v>14773</v>
      </c>
      <c r="G1049" s="2" t="n">
        <v>197766</v>
      </c>
      <c r="H1049" s="3" t="str">
        <f>HYPERLINK("http://funmeta.oebiotech.com/network/197766", "http://funmeta.oebiotech.com/network/197766")</f>
      </c>
      <c r="I1049" s="2" t="s">
        <v>14774</v>
      </c>
      <c r="J1049" s="2"/>
      <c r="K1049" s="2"/>
      <c r="L1049" s="2"/>
      <c r="M1049" s="2"/>
      <c r="N1049" s="2"/>
      <c r="O1049" s="2"/>
      <c r="P1049" s="2" t="s">
        <v>14775</v>
      </c>
      <c r="Q1049" s="2" t="s">
        <v>14776</v>
      </c>
      <c r="R1049" s="2" t="s">
        <v>1490</v>
      </c>
      <c r="S1049" s="2" t="s">
        <v>1491</v>
      </c>
      <c r="T1049" s="2" t="s">
        <v>3884</v>
      </c>
      <c r="U1049" s="2" t="s">
        <v>8151</v>
      </c>
      <c r="V1049" s="2" t="s">
        <v>1019</v>
      </c>
      <c r="W1049" s="2"/>
    </row>
    <row r="1050">
      <c r="A1050" s="2" t="n">
        <v>754</v>
      </c>
      <c r="B1050" s="2" t="s">
        <v>14777</v>
      </c>
      <c r="C1050" s="2" t="s">
        <v>8150</v>
      </c>
      <c r="D1050" s="2" t="n">
        <v>713.495770462</v>
      </c>
      <c r="E1050" s="2" t="n">
        <v>0.146222166188373</v>
      </c>
      <c r="F1050" s="2" t="s">
        <v>14778</v>
      </c>
      <c r="G1050" s="2" t="n">
        <v>197767</v>
      </c>
      <c r="H1050" s="3" t="str">
        <f>HYPERLINK("http://funmeta.oebiotech.com/network/197767", "http://funmeta.oebiotech.com/network/197767")</f>
      </c>
      <c r="I1050" s="2" t="s">
        <v>14779</v>
      </c>
      <c r="J1050" s="2"/>
      <c r="K1050" s="2"/>
      <c r="L1050" s="2"/>
      <c r="M1050" s="2"/>
      <c r="N1050" s="2"/>
      <c r="O1050" s="2"/>
      <c r="P1050" s="2" t="s">
        <v>14780</v>
      </c>
      <c r="Q1050" s="2" t="s">
        <v>14781</v>
      </c>
      <c r="R1050" s="2" t="s">
        <v>1490</v>
      </c>
      <c r="S1050" s="2" t="s">
        <v>1491</v>
      </c>
      <c r="T1050" s="2" t="s">
        <v>3884</v>
      </c>
      <c r="U1050" s="2" t="s">
        <v>8151</v>
      </c>
      <c r="V1050" s="2" t="s">
        <v>1019</v>
      </c>
      <c r="W1050" s="2"/>
    </row>
    <row r="1051">
      <c r="A1051" s="2" t="n">
        <v>755</v>
      </c>
      <c r="B1051" s="2" t="s">
        <v>14782</v>
      </c>
      <c r="C1051" s="2" t="s">
        <v>8160</v>
      </c>
      <c r="D1051" s="2" t="n">
        <v>715.206696162</v>
      </c>
      <c r="E1051" s="2" t="n">
        <v>1.23217056003772</v>
      </c>
      <c r="F1051" s="2" t="s">
        <v>8162</v>
      </c>
      <c r="G1051" s="2" t="n">
        <v>58733</v>
      </c>
      <c r="H1051" s="3" t="str">
        <f>HYPERLINK("http://funmeta.oebiotech.com/network/58733", "http://funmeta.oebiotech.com/network/58733")</f>
      </c>
      <c r="I1051" s="2" t="s">
        <v>8164</v>
      </c>
      <c r="J1051" s="2" t="s">
        <v>8165</v>
      </c>
      <c r="K1051" s="2"/>
      <c r="L1051" s="2"/>
      <c r="M1051" s="2"/>
      <c r="N1051" s="2" t="s">
        <v>8166</v>
      </c>
      <c r="O1051" s="2" t="s">
        <v>8167</v>
      </c>
      <c r="P1051" s="2" t="s">
        <v>8168</v>
      </c>
      <c r="Q1051" s="2" t="s">
        <v>8169</v>
      </c>
      <c r="R1051" s="2" t="s">
        <v>64</v>
      </c>
      <c r="S1051" s="2" t="s">
        <v>65</v>
      </c>
      <c r="T1051" s="2" t="s">
        <v>66</v>
      </c>
      <c r="U1051" s="2" t="s">
        <v>8161</v>
      </c>
      <c r="V1051" s="2" t="s">
        <v>360</v>
      </c>
      <c r="W1051" s="2"/>
    </row>
    <row r="1052">
      <c r="A1052" s="2" t="n">
        <v>756</v>
      </c>
      <c r="B1052" s="2" t="s">
        <v>14783</v>
      </c>
      <c r="C1052" s="2" t="s">
        <v>8170</v>
      </c>
      <c r="D1052" s="2" t="n">
        <v>716.523578925</v>
      </c>
      <c r="E1052" s="2" t="n">
        <v>6.66667482759543</v>
      </c>
      <c r="F1052" s="2" t="s">
        <v>14784</v>
      </c>
      <c r="G1052" s="2" t="n">
        <v>18230</v>
      </c>
      <c r="H1052" s="3" t="str">
        <f>HYPERLINK("http://funmeta.oebiotech.com/network/18230", "http://funmeta.oebiotech.com/network/18230")</f>
      </c>
      <c r="I1052" s="2" t="s">
        <v>14785</v>
      </c>
      <c r="J1052" s="2" t="s">
        <v>14786</v>
      </c>
      <c r="K1052" s="2" t="s">
        <v>14787</v>
      </c>
      <c r="L1052" s="2" t="s">
        <v>8608</v>
      </c>
      <c r="M1052" s="2"/>
      <c r="N1052" s="2" t="s">
        <v>14788</v>
      </c>
      <c r="O1052" s="2"/>
      <c r="P1052" s="2" t="s">
        <v>14789</v>
      </c>
      <c r="Q1052" s="2" t="s">
        <v>14790</v>
      </c>
      <c r="R1052" s="2" t="s">
        <v>1490</v>
      </c>
      <c r="S1052" s="2" t="s">
        <v>4236</v>
      </c>
      <c r="T1052" s="2" t="s">
        <v>8613</v>
      </c>
      <c r="U1052" s="2" t="s">
        <v>8171</v>
      </c>
      <c r="V1052" s="2" t="s">
        <v>110</v>
      </c>
      <c r="W1052" s="2" t="s">
        <v>39</v>
      </c>
    </row>
    <row r="1053">
      <c r="A1053" s="2" t="n">
        <v>756</v>
      </c>
      <c r="B1053" s="2" t="s">
        <v>14791</v>
      </c>
      <c r="C1053" s="2" t="s">
        <v>8170</v>
      </c>
      <c r="D1053" s="2" t="n">
        <v>716.523578925</v>
      </c>
      <c r="E1053" s="2" t="n">
        <v>6.66667482759543</v>
      </c>
      <c r="F1053" s="2" t="s">
        <v>14792</v>
      </c>
      <c r="G1053" s="2" t="n">
        <v>20104</v>
      </c>
      <c r="H1053" s="3" t="str">
        <f>HYPERLINK("http://funmeta.oebiotech.com/network/20104", "http://funmeta.oebiotech.com/network/20104")</f>
      </c>
      <c r="I1053" s="2" t="s">
        <v>14793</v>
      </c>
      <c r="J1053" s="2" t="s">
        <v>14794</v>
      </c>
      <c r="K1053" s="2" t="s">
        <v>14795</v>
      </c>
      <c r="L1053" s="2" t="s">
        <v>7680</v>
      </c>
      <c r="M1053" s="2"/>
      <c r="N1053" s="2" t="s">
        <v>14796</v>
      </c>
      <c r="O1053" s="2"/>
      <c r="P1053" s="2" t="s">
        <v>14797</v>
      </c>
      <c r="Q1053" s="2" t="s">
        <v>14798</v>
      </c>
      <c r="R1053" s="2" t="s">
        <v>1490</v>
      </c>
      <c r="S1053" s="2" t="s">
        <v>4236</v>
      </c>
      <c r="T1053" s="2" t="s">
        <v>5369</v>
      </c>
      <c r="U1053" s="2" t="s">
        <v>8171</v>
      </c>
      <c r="V1053" s="2" t="s">
        <v>110</v>
      </c>
      <c r="W1053" s="2" t="s">
        <v>39</v>
      </c>
    </row>
    <row r="1054">
      <c r="A1054" s="2" t="n">
        <v>757</v>
      </c>
      <c r="B1054" s="2" t="s">
        <v>14799</v>
      </c>
      <c r="C1054" s="2" t="s">
        <v>8181</v>
      </c>
      <c r="D1054" s="2" t="n">
        <v>717.143916284</v>
      </c>
      <c r="E1054" s="2" t="n">
        <v>2.14134829253355</v>
      </c>
      <c r="F1054" s="2" t="s">
        <v>8183</v>
      </c>
      <c r="G1054" s="2" t="n">
        <v>64333</v>
      </c>
      <c r="H1054" s="3" t="str">
        <f>HYPERLINK("http://funmeta.oebiotech.com/network/64333", "http://funmeta.oebiotech.com/network/64333")</f>
      </c>
      <c r="I1054" s="2" t="s">
        <v>8185</v>
      </c>
      <c r="J1054" s="2" t="s">
        <v>8186</v>
      </c>
      <c r="K1054" s="2"/>
      <c r="L1054" s="2"/>
      <c r="M1054" s="2" t="s">
        <v>8187</v>
      </c>
      <c r="N1054" s="2" t="s">
        <v>8188</v>
      </c>
      <c r="O1054" s="2" t="s">
        <v>8189</v>
      </c>
      <c r="P1054" s="2" t="s">
        <v>8190</v>
      </c>
      <c r="Q1054" s="2" t="s">
        <v>8191</v>
      </c>
      <c r="R1054" s="2" t="s">
        <v>2509</v>
      </c>
      <c r="S1054" s="2" t="s">
        <v>5520</v>
      </c>
      <c r="T1054" s="2" t="s">
        <v>5664</v>
      </c>
      <c r="U1054" s="2" t="s">
        <v>8182</v>
      </c>
      <c r="V1054" s="2" t="s">
        <v>522</v>
      </c>
      <c r="W1054" s="2"/>
    </row>
    <row r="1055">
      <c r="A1055" s="2" t="n">
        <v>758</v>
      </c>
      <c r="B1055" s="2" t="s">
        <v>14800</v>
      </c>
      <c r="C1055" s="2" t="s">
        <v>8192</v>
      </c>
      <c r="D1055" s="2" t="n">
        <v>719.452843024</v>
      </c>
      <c r="E1055" s="2" t="n">
        <v>1.11903439792227</v>
      </c>
      <c r="F1055" s="2" t="s">
        <v>14801</v>
      </c>
      <c r="G1055" s="2" t="n">
        <v>5969</v>
      </c>
      <c r="H1055" s="3" t="str">
        <f>HYPERLINK("http://funmeta.oebiotech.com/network/5969", "http://funmeta.oebiotech.com/network/5969")</f>
      </c>
      <c r="I1055" s="2" t="s">
        <v>14802</v>
      </c>
      <c r="J1055" s="2" t="s">
        <v>14803</v>
      </c>
      <c r="K1055" s="2" t="s">
        <v>14804</v>
      </c>
      <c r="L1055" s="2"/>
      <c r="M1055" s="2" t="s">
        <v>14805</v>
      </c>
      <c r="N1055" s="2" t="s">
        <v>14806</v>
      </c>
      <c r="O1055" s="2"/>
      <c r="P1055" s="2" t="s">
        <v>14807</v>
      </c>
      <c r="Q1055" s="2" t="s">
        <v>14808</v>
      </c>
      <c r="R1055" s="2" t="s">
        <v>1490</v>
      </c>
      <c r="S1055" s="2" t="s">
        <v>1491</v>
      </c>
      <c r="T1055" s="2" t="s">
        <v>1492</v>
      </c>
      <c r="U1055" s="2" t="s">
        <v>8193</v>
      </c>
      <c r="V1055" s="2" t="s">
        <v>1019</v>
      </c>
      <c r="W1055" s="2"/>
    </row>
    <row r="1056">
      <c r="A1056" s="2" t="n">
        <v>758</v>
      </c>
      <c r="B1056" s="2" t="s">
        <v>14809</v>
      </c>
      <c r="C1056" s="2" t="s">
        <v>8192</v>
      </c>
      <c r="D1056" s="2" t="n">
        <v>719.452843024</v>
      </c>
      <c r="E1056" s="2" t="n">
        <v>1.11903439792227</v>
      </c>
      <c r="F1056" s="2" t="s">
        <v>14810</v>
      </c>
      <c r="G1056" s="2" t="n">
        <v>48209</v>
      </c>
      <c r="H1056" s="3" t="str">
        <f>HYPERLINK("http://funmeta.oebiotech.com/network/48209", "http://funmeta.oebiotech.com/network/48209")</f>
      </c>
      <c r="I1056" s="2" t="s">
        <v>14811</v>
      </c>
      <c r="J1056" s="2" t="s">
        <v>14812</v>
      </c>
      <c r="K1056" s="2"/>
      <c r="L1056" s="2"/>
      <c r="M1056" s="2" t="s">
        <v>14813</v>
      </c>
      <c r="N1056" s="2" t="s">
        <v>14814</v>
      </c>
      <c r="O1056" s="2"/>
      <c r="P1056" s="2" t="s">
        <v>14815</v>
      </c>
      <c r="Q1056" s="2" t="s">
        <v>14816</v>
      </c>
      <c r="R1056" s="2" t="s">
        <v>1490</v>
      </c>
      <c r="S1056" s="2" t="s">
        <v>1491</v>
      </c>
      <c r="T1056" s="2" t="s">
        <v>1492</v>
      </c>
      <c r="U1056" s="2" t="s">
        <v>8193</v>
      </c>
      <c r="V1056" s="2" t="s">
        <v>1019</v>
      </c>
      <c r="W1056" s="2"/>
    </row>
    <row r="1057">
      <c r="A1057" s="2" t="n">
        <v>758</v>
      </c>
      <c r="B1057" s="2" t="s">
        <v>14817</v>
      </c>
      <c r="C1057" s="2" t="s">
        <v>8192</v>
      </c>
      <c r="D1057" s="2" t="n">
        <v>719.452843024</v>
      </c>
      <c r="E1057" s="2" t="n">
        <v>1.11903439792227</v>
      </c>
      <c r="F1057" s="2" t="s">
        <v>14818</v>
      </c>
      <c r="G1057" s="2" t="n">
        <v>55267</v>
      </c>
      <c r="H1057" s="3" t="str">
        <f>HYPERLINK("http://funmeta.oebiotech.com/network/55267", "http://funmeta.oebiotech.com/network/55267")</f>
      </c>
      <c r="I1057" s="2" t="s">
        <v>14819</v>
      </c>
      <c r="J1057" s="2" t="s">
        <v>14820</v>
      </c>
      <c r="K1057" s="2"/>
      <c r="L1057" s="2"/>
      <c r="M1057" s="2"/>
      <c r="N1057" s="2" t="s">
        <v>14821</v>
      </c>
      <c r="O1057" s="2" t="s">
        <v>14822</v>
      </c>
      <c r="P1057" s="2" t="s">
        <v>14823</v>
      </c>
      <c r="Q1057" s="2" t="s">
        <v>14824</v>
      </c>
      <c r="R1057" s="2" t="s">
        <v>64</v>
      </c>
      <c r="S1057" s="2" t="s">
        <v>65</v>
      </c>
      <c r="T1057" s="2" t="s">
        <v>91</v>
      </c>
      <c r="U1057" s="2" t="s">
        <v>8193</v>
      </c>
      <c r="V1057" s="2" t="s">
        <v>1019</v>
      </c>
      <c r="W1057" s="2"/>
    </row>
    <row r="1058">
      <c r="A1058" s="2" t="n">
        <v>759</v>
      </c>
      <c r="B1058" s="2" t="s">
        <v>14825</v>
      </c>
      <c r="C1058" s="2" t="s">
        <v>8207</v>
      </c>
      <c r="D1058" s="2" t="n">
        <v>721.197988098</v>
      </c>
      <c r="E1058" s="2" t="n">
        <v>0.122445023564537</v>
      </c>
      <c r="F1058" s="2" t="s">
        <v>8209</v>
      </c>
      <c r="G1058" s="2" t="n">
        <v>31774</v>
      </c>
      <c r="H1058" s="3" t="str">
        <f>HYPERLINK("http://funmeta.oebiotech.com/network/31774", "http://funmeta.oebiotech.com/network/31774")</f>
      </c>
      <c r="I1058" s="2" t="s">
        <v>8211</v>
      </c>
      <c r="J1058" s="2"/>
      <c r="K1058" s="2" t="s">
        <v>8212</v>
      </c>
      <c r="L1058" s="2" t="s">
        <v>8213</v>
      </c>
      <c r="M1058" s="2" t="s">
        <v>8214</v>
      </c>
      <c r="N1058" s="2" t="s">
        <v>8215</v>
      </c>
      <c r="O1058" s="2"/>
      <c r="P1058" s="2" t="s">
        <v>8216</v>
      </c>
      <c r="Q1058" s="2" t="s">
        <v>8217</v>
      </c>
      <c r="R1058" s="2" t="s">
        <v>2509</v>
      </c>
      <c r="S1058" s="2" t="s">
        <v>5520</v>
      </c>
      <c r="T1058" s="2" t="s">
        <v>5664</v>
      </c>
      <c r="U1058" s="2" t="s">
        <v>8208</v>
      </c>
      <c r="V1058" s="2" t="s">
        <v>42</v>
      </c>
      <c r="W1058" s="2" t="s">
        <v>39</v>
      </c>
    </row>
    <row r="1059">
      <c r="A1059" s="2" t="n">
        <v>760</v>
      </c>
      <c r="B1059" s="2" t="s">
        <v>14826</v>
      </c>
      <c r="C1059" s="2" t="s">
        <v>8218</v>
      </c>
      <c r="D1059" s="2" t="n">
        <v>721.502509613</v>
      </c>
      <c r="E1059" s="2" t="n">
        <v>5.46153709756556</v>
      </c>
      <c r="F1059" s="2" t="s">
        <v>14827</v>
      </c>
      <c r="G1059" s="2" t="n">
        <v>23464</v>
      </c>
      <c r="H1059" s="3" t="str">
        <f>HYPERLINK("http://funmeta.oebiotech.com/network/23464", "http://funmeta.oebiotech.com/network/23464")</f>
      </c>
      <c r="I1059" s="2" t="s">
        <v>14828</v>
      </c>
      <c r="J1059" s="2" t="s">
        <v>14829</v>
      </c>
      <c r="K1059" s="2" t="s">
        <v>14830</v>
      </c>
      <c r="L1059" s="2"/>
      <c r="M1059" s="2" t="s">
        <v>14831</v>
      </c>
      <c r="N1059" s="2" t="s">
        <v>14832</v>
      </c>
      <c r="O1059" s="2"/>
      <c r="P1059" s="2" t="s">
        <v>14833</v>
      </c>
      <c r="Q1059" s="2" t="s">
        <v>14834</v>
      </c>
      <c r="R1059" s="2" t="s">
        <v>1490</v>
      </c>
      <c r="S1059" s="2" t="s">
        <v>4236</v>
      </c>
      <c r="T1059" s="2" t="s">
        <v>8063</v>
      </c>
      <c r="U1059" s="2" t="s">
        <v>8219</v>
      </c>
      <c r="V1059" s="2" t="s">
        <v>110</v>
      </c>
      <c r="W1059" s="2"/>
    </row>
    <row r="1060">
      <c r="A1060" s="2" t="n">
        <v>760</v>
      </c>
      <c r="B1060" s="2" t="s">
        <v>14835</v>
      </c>
      <c r="C1060" s="2" t="s">
        <v>8218</v>
      </c>
      <c r="D1060" s="2" t="n">
        <v>721.502509613</v>
      </c>
      <c r="E1060" s="2" t="n">
        <v>5.46153709756556</v>
      </c>
      <c r="F1060" s="2" t="s">
        <v>14836</v>
      </c>
      <c r="G1060" s="2" t="n">
        <v>206219</v>
      </c>
      <c r="H1060" s="3" t="str">
        <f>HYPERLINK("http://funmeta.oebiotech.com/network/206219", "http://funmeta.oebiotech.com/network/206219")</f>
      </c>
      <c r="I1060" s="2" t="s">
        <v>14837</v>
      </c>
      <c r="J1060" s="2"/>
      <c r="K1060" s="2"/>
      <c r="L1060" s="2"/>
      <c r="M1060" s="2" t="s">
        <v>14838</v>
      </c>
      <c r="N1060" s="2" t="s">
        <v>14839</v>
      </c>
      <c r="O1060" s="2"/>
      <c r="P1060" s="2" t="s">
        <v>14840</v>
      </c>
      <c r="Q1060" s="2" t="s">
        <v>14841</v>
      </c>
      <c r="R1060" s="2" t="s">
        <v>1490</v>
      </c>
      <c r="S1060" s="2" t="s">
        <v>4236</v>
      </c>
      <c r="T1060" s="2" t="s">
        <v>8063</v>
      </c>
      <c r="U1060" s="2" t="s">
        <v>8219</v>
      </c>
      <c r="V1060" s="2" t="s">
        <v>110</v>
      </c>
      <c r="W1060" s="2"/>
    </row>
    <row r="1061">
      <c r="A1061" s="2" t="n">
        <v>761</v>
      </c>
      <c r="B1061" s="2" t="s">
        <v>14842</v>
      </c>
      <c r="C1061" s="2" t="s">
        <v>8230</v>
      </c>
      <c r="D1061" s="2" t="n">
        <v>722.299708221</v>
      </c>
      <c r="E1061" s="2" t="n">
        <v>8.82922637533978</v>
      </c>
      <c r="F1061" s="2" t="s">
        <v>8232</v>
      </c>
      <c r="G1061" s="2" t="n">
        <v>210097</v>
      </c>
      <c r="H1061" s="3" t="str">
        <f>HYPERLINK("http://funmeta.oebiotech.com/network/210097", "http://funmeta.oebiotech.com/network/210097")</f>
      </c>
      <c r="I1061" s="2" t="s">
        <v>8234</v>
      </c>
      <c r="J1061" s="2"/>
      <c r="K1061" s="2"/>
      <c r="L1061" s="2"/>
      <c r="M1061" s="2"/>
      <c r="N1061" s="2" t="s">
        <v>8235</v>
      </c>
      <c r="O1061" s="2"/>
      <c r="P1061" s="2" t="s">
        <v>8236</v>
      </c>
      <c r="Q1061" s="2" t="s">
        <v>8237</v>
      </c>
      <c r="R1061" s="2" t="s">
        <v>49</v>
      </c>
      <c r="S1061" s="2" t="s">
        <v>165</v>
      </c>
      <c r="T1061" s="2" t="s">
        <v>166</v>
      </c>
      <c r="U1061" s="2" t="s">
        <v>8231</v>
      </c>
      <c r="V1061" s="2" t="s">
        <v>42</v>
      </c>
      <c r="W1061" s="2"/>
    </row>
    <row r="1062">
      <c r="A1062" s="2" t="n">
        <v>762</v>
      </c>
      <c r="B1062" s="2" t="s">
        <v>14843</v>
      </c>
      <c r="C1062" s="2" t="s">
        <v>8238</v>
      </c>
      <c r="D1062" s="2" t="n">
        <v>722.510607303</v>
      </c>
      <c r="E1062" s="2" t="n">
        <v>9.16622936077819</v>
      </c>
      <c r="F1062" s="2" t="s">
        <v>8240</v>
      </c>
      <c r="G1062" s="2" t="n">
        <v>49971</v>
      </c>
      <c r="H1062" s="3" t="str">
        <f>HYPERLINK("http://funmeta.oebiotech.com/network/49971", "http://funmeta.oebiotech.com/network/49971")</f>
      </c>
      <c r="I1062" s="2" t="s">
        <v>8242</v>
      </c>
      <c r="J1062" s="2" t="s">
        <v>8243</v>
      </c>
      <c r="K1062" s="2"/>
      <c r="L1062" s="2" t="s">
        <v>7680</v>
      </c>
      <c r="M1062" s="2" t="s">
        <v>8244</v>
      </c>
      <c r="N1062" s="2" t="s">
        <v>8245</v>
      </c>
      <c r="O1062" s="2"/>
      <c r="P1062" s="2" t="s">
        <v>8246</v>
      </c>
      <c r="Q1062" s="2" t="s">
        <v>8247</v>
      </c>
      <c r="R1062" s="2" t="s">
        <v>1490</v>
      </c>
      <c r="S1062" s="2" t="s">
        <v>4236</v>
      </c>
      <c r="T1062" s="2" t="s">
        <v>5369</v>
      </c>
      <c r="U1062" s="2" t="s">
        <v>8239</v>
      </c>
      <c r="V1062" s="2" t="s">
        <v>360</v>
      </c>
      <c r="W1062" s="2" t="s">
        <v>39</v>
      </c>
    </row>
    <row r="1063">
      <c r="A1063" s="2" t="n">
        <v>763</v>
      </c>
      <c r="B1063" s="2" t="s">
        <v>14844</v>
      </c>
      <c r="C1063" s="2" t="s">
        <v>8248</v>
      </c>
      <c r="D1063" s="2" t="n">
        <v>723.292455267</v>
      </c>
      <c r="E1063" s="2" t="n">
        <v>5.61095721427082</v>
      </c>
      <c r="F1063" s="2" t="s">
        <v>8250</v>
      </c>
      <c r="G1063" s="2" t="n">
        <v>199296</v>
      </c>
      <c r="H1063" s="3" t="str">
        <f>HYPERLINK("http://funmeta.oebiotech.com/network/199296", "http://funmeta.oebiotech.com/network/199296")</f>
      </c>
      <c r="I1063" s="2" t="s">
        <v>8252</v>
      </c>
      <c r="J1063" s="2"/>
      <c r="K1063" s="2"/>
      <c r="L1063" s="2"/>
      <c r="M1063" s="2"/>
      <c r="N1063" s="2" t="s">
        <v>8253</v>
      </c>
      <c r="O1063" s="2"/>
      <c r="P1063" s="2" t="s">
        <v>8254</v>
      </c>
      <c r="Q1063" s="2" t="s">
        <v>8255</v>
      </c>
      <c r="R1063" s="2" t="s">
        <v>2590</v>
      </c>
      <c r="S1063" s="2" t="s">
        <v>2591</v>
      </c>
      <c r="T1063" s="2" t="s">
        <v>8256</v>
      </c>
      <c r="U1063" s="2" t="s">
        <v>8249</v>
      </c>
      <c r="V1063" s="2" t="s">
        <v>42</v>
      </c>
      <c r="W1063" s="2"/>
    </row>
    <row r="1064">
      <c r="A1064" s="2" t="n">
        <v>764</v>
      </c>
      <c r="B1064" s="2" t="s">
        <v>14845</v>
      </c>
      <c r="C1064" s="2" t="s">
        <v>8257</v>
      </c>
      <c r="D1064" s="2" t="n">
        <v>723.483592834</v>
      </c>
      <c r="E1064" s="2" t="n">
        <v>4.10313537358674</v>
      </c>
      <c r="F1064" s="2" t="s">
        <v>8259</v>
      </c>
      <c r="G1064" s="2" t="n">
        <v>209017</v>
      </c>
      <c r="H1064" s="3" t="str">
        <f>HYPERLINK("http://funmeta.oebiotech.com/network/209017", "http://funmeta.oebiotech.com/network/209017")</f>
      </c>
      <c r="I1064" s="2" t="s">
        <v>8261</v>
      </c>
      <c r="J1064" s="2"/>
      <c r="K1064" s="2"/>
      <c r="L1064" s="2"/>
      <c r="M1064" s="2"/>
      <c r="N1064" s="2" t="s">
        <v>8262</v>
      </c>
      <c r="O1064" s="2"/>
      <c r="P1064" s="2" t="s">
        <v>8263</v>
      </c>
      <c r="Q1064" s="2" t="s">
        <v>8264</v>
      </c>
      <c r="R1064" s="2" t="s">
        <v>1490</v>
      </c>
      <c r="S1064" s="2" t="s">
        <v>4971</v>
      </c>
      <c r="T1064" s="2" t="s">
        <v>8265</v>
      </c>
      <c r="U1064" s="2" t="s">
        <v>8258</v>
      </c>
      <c r="V1064" s="2" t="s">
        <v>42</v>
      </c>
      <c r="W1064" s="2"/>
    </row>
    <row r="1065">
      <c r="A1065" s="2" t="n">
        <v>765</v>
      </c>
      <c r="B1065" s="2" t="s">
        <v>14846</v>
      </c>
      <c r="C1065" s="2" t="s">
        <v>8266</v>
      </c>
      <c r="D1065" s="2" t="n">
        <v>724.277672616</v>
      </c>
      <c r="E1065" s="2" t="n">
        <v>4.78176314318441</v>
      </c>
      <c r="F1065" s="2" t="s">
        <v>8268</v>
      </c>
      <c r="G1065" s="2" t="n">
        <v>210029</v>
      </c>
      <c r="H1065" s="3" t="str">
        <f>HYPERLINK("http://funmeta.oebiotech.com/network/210029", "http://funmeta.oebiotech.com/network/210029")</f>
      </c>
      <c r="I1065" s="2" t="s">
        <v>8270</v>
      </c>
      <c r="J1065" s="2"/>
      <c r="K1065" s="2"/>
      <c r="L1065" s="2"/>
      <c r="M1065" s="2"/>
      <c r="N1065" s="2" t="s">
        <v>8271</v>
      </c>
      <c r="O1065" s="2"/>
      <c r="P1065" s="2" t="s">
        <v>8272</v>
      </c>
      <c r="Q1065" s="2" t="s">
        <v>8273</v>
      </c>
      <c r="R1065" s="2" t="s">
        <v>355</v>
      </c>
      <c r="S1065" s="2" t="s">
        <v>3062</v>
      </c>
      <c r="T1065" s="2" t="s">
        <v>3063</v>
      </c>
      <c r="U1065" s="2" t="s">
        <v>8267</v>
      </c>
      <c r="V1065" s="2" t="s">
        <v>110</v>
      </c>
      <c r="W1065" s="2"/>
    </row>
    <row r="1066">
      <c r="A1066" s="2" t="n">
        <v>766</v>
      </c>
      <c r="B1066" s="2" t="s">
        <v>14847</v>
      </c>
      <c r="C1066" s="2" t="s">
        <v>8274</v>
      </c>
      <c r="D1066" s="2" t="n">
        <v>724.479392125</v>
      </c>
      <c r="E1066" s="2" t="n">
        <v>5.46379704880205</v>
      </c>
      <c r="F1066" s="2" t="s">
        <v>8276</v>
      </c>
      <c r="G1066" s="2" t="n">
        <v>55301</v>
      </c>
      <c r="H1066" s="3" t="str">
        <f>HYPERLINK("http://funmeta.oebiotech.com/network/55301", "http://funmeta.oebiotech.com/network/55301")</f>
      </c>
      <c r="I1066" s="2" t="s">
        <v>8278</v>
      </c>
      <c r="J1066" s="2" t="s">
        <v>8279</v>
      </c>
      <c r="K1066" s="2"/>
      <c r="L1066" s="2"/>
      <c r="M1066" s="2"/>
      <c r="N1066" s="2" t="s">
        <v>8280</v>
      </c>
      <c r="O1066" s="2" t="s">
        <v>8281</v>
      </c>
      <c r="P1066" s="2" t="s">
        <v>8282</v>
      </c>
      <c r="Q1066" s="2" t="s">
        <v>8283</v>
      </c>
      <c r="R1066" s="2" t="s">
        <v>1490</v>
      </c>
      <c r="S1066" s="2" t="s">
        <v>4971</v>
      </c>
      <c r="T1066" s="2" t="s">
        <v>8265</v>
      </c>
      <c r="U1066" s="2" t="s">
        <v>8275</v>
      </c>
      <c r="V1066" s="2" t="s">
        <v>110</v>
      </c>
      <c r="W1066" s="2"/>
    </row>
    <row r="1067">
      <c r="A1067" s="2" t="n">
        <v>767</v>
      </c>
      <c r="B1067" s="2" t="s">
        <v>14848</v>
      </c>
      <c r="C1067" s="2" t="s">
        <v>8284</v>
      </c>
      <c r="D1067" s="2" t="n">
        <v>726.437523003</v>
      </c>
      <c r="E1067" s="2" t="n">
        <v>6.91853676494942</v>
      </c>
      <c r="F1067" s="2" t="s">
        <v>8286</v>
      </c>
      <c r="G1067" s="2" t="n">
        <v>60164</v>
      </c>
      <c r="H1067" s="3" t="str">
        <f>HYPERLINK("http://funmeta.oebiotech.com/network/60164", "http://funmeta.oebiotech.com/network/60164")</f>
      </c>
      <c r="I1067" s="2" t="s">
        <v>8288</v>
      </c>
      <c r="J1067" s="2" t="s">
        <v>8289</v>
      </c>
      <c r="K1067" s="2"/>
      <c r="L1067" s="2"/>
      <c r="M1067" s="2" t="s">
        <v>8290</v>
      </c>
      <c r="N1067" s="2" t="s">
        <v>8291</v>
      </c>
      <c r="O1067" s="2" t="s">
        <v>8292</v>
      </c>
      <c r="P1067" s="2" t="s">
        <v>8293</v>
      </c>
      <c r="Q1067" s="2" t="s">
        <v>8294</v>
      </c>
      <c r="R1067" s="2" t="s">
        <v>502</v>
      </c>
      <c r="S1067" s="2" t="s">
        <v>503</v>
      </c>
      <c r="T1067" s="2" t="s">
        <v>2174</v>
      </c>
      <c r="U1067" s="2" t="s">
        <v>8285</v>
      </c>
      <c r="V1067" s="2" t="s">
        <v>24</v>
      </c>
      <c r="W1067" s="2"/>
    </row>
    <row r="1068">
      <c r="A1068" s="2" t="n">
        <v>768</v>
      </c>
      <c r="B1068" s="2" t="s">
        <v>14849</v>
      </c>
      <c r="C1068" s="2" t="s">
        <v>8295</v>
      </c>
      <c r="D1068" s="2" t="n">
        <v>727.455555115</v>
      </c>
      <c r="E1068" s="2" t="n">
        <v>1.44460513981855</v>
      </c>
      <c r="F1068" s="2" t="s">
        <v>8297</v>
      </c>
      <c r="G1068" s="2" t="n">
        <v>25051</v>
      </c>
      <c r="H1068" s="3" t="str">
        <f>HYPERLINK("http://funmeta.oebiotech.com/network/25051", "http://funmeta.oebiotech.com/network/25051")</f>
      </c>
      <c r="I1068" s="2" t="s">
        <v>8299</v>
      </c>
      <c r="J1068" s="2" t="s">
        <v>8300</v>
      </c>
      <c r="K1068" s="2" t="s">
        <v>8301</v>
      </c>
      <c r="L1068" s="2"/>
      <c r="M1068" s="2"/>
      <c r="N1068" s="2" t="s">
        <v>8302</v>
      </c>
      <c r="O1068" s="2"/>
      <c r="P1068" s="2" t="s">
        <v>8303</v>
      </c>
      <c r="Q1068" s="2" t="s">
        <v>8304</v>
      </c>
      <c r="R1068" s="2" t="s">
        <v>1490</v>
      </c>
      <c r="S1068" s="2" t="s">
        <v>4236</v>
      </c>
      <c r="T1068" s="2" t="s">
        <v>5175</v>
      </c>
      <c r="U1068" s="2" t="s">
        <v>8296</v>
      </c>
      <c r="V1068" s="2" t="s">
        <v>24</v>
      </c>
      <c r="W1068" s="2"/>
    </row>
    <row r="1069">
      <c r="A1069" s="2" t="n">
        <v>769</v>
      </c>
      <c r="B1069" s="2" t="s">
        <v>14850</v>
      </c>
      <c r="C1069" s="2" t="s">
        <v>8305</v>
      </c>
      <c r="D1069" s="2" t="n">
        <v>728.220192422</v>
      </c>
      <c r="E1069" s="2" t="n">
        <v>0.115963743589023</v>
      </c>
      <c r="F1069" s="2" t="s">
        <v>8307</v>
      </c>
      <c r="G1069" s="2" t="n">
        <v>208985</v>
      </c>
      <c r="H1069" s="3" t="str">
        <f>HYPERLINK("http://funmeta.oebiotech.com/network/208985", "http://funmeta.oebiotech.com/network/208985")</f>
      </c>
      <c r="I1069" s="2" t="s">
        <v>8309</v>
      </c>
      <c r="J1069" s="2"/>
      <c r="K1069" s="2"/>
      <c r="L1069" s="2"/>
      <c r="M1069" s="2"/>
      <c r="N1069" s="2"/>
      <c r="O1069" s="2"/>
      <c r="P1069" s="2" t="s">
        <v>8310</v>
      </c>
      <c r="Q1069" s="2" t="s">
        <v>8311</v>
      </c>
      <c r="R1069" s="2" t="s">
        <v>49</v>
      </c>
      <c r="S1069" s="2" t="s">
        <v>165</v>
      </c>
      <c r="T1069" s="2" t="s">
        <v>5751</v>
      </c>
      <c r="U1069" s="2" t="s">
        <v>8306</v>
      </c>
      <c r="V1069" s="2" t="s">
        <v>360</v>
      </c>
      <c r="W1069" s="2"/>
    </row>
    <row r="1070">
      <c r="A1070" s="2" t="n">
        <v>770</v>
      </c>
      <c r="B1070" s="2" t="s">
        <v>14851</v>
      </c>
      <c r="C1070" s="2" t="s">
        <v>8312</v>
      </c>
      <c r="D1070" s="2" t="n">
        <v>729.465968114</v>
      </c>
      <c r="E1070" s="2" t="n">
        <v>0.708211783828908</v>
      </c>
      <c r="F1070" s="2" t="s">
        <v>8314</v>
      </c>
      <c r="G1070" s="2" t="n">
        <v>206806</v>
      </c>
      <c r="H1070" s="3" t="str">
        <f>HYPERLINK("http://funmeta.oebiotech.com/network/206806", "http://funmeta.oebiotech.com/network/206806")</f>
      </c>
      <c r="I1070" s="2" t="s">
        <v>8316</v>
      </c>
      <c r="J1070" s="2"/>
      <c r="K1070" s="2"/>
      <c r="L1070" s="2"/>
      <c r="M1070" s="2"/>
      <c r="N1070" s="2" t="s">
        <v>8317</v>
      </c>
      <c r="O1070" s="2"/>
      <c r="P1070" s="2" t="s">
        <v>8318</v>
      </c>
      <c r="Q1070" s="2" t="s">
        <v>8319</v>
      </c>
      <c r="R1070" s="2" t="s">
        <v>355</v>
      </c>
      <c r="S1070" s="2" t="s">
        <v>8320</v>
      </c>
      <c r="T1070" s="2" t="s">
        <v>205</v>
      </c>
      <c r="U1070" s="2" t="s">
        <v>8313</v>
      </c>
      <c r="V1070" s="2" t="s">
        <v>1019</v>
      </c>
      <c r="W1070" s="2"/>
    </row>
    <row r="1071">
      <c r="A1071" s="2" t="n">
        <v>771</v>
      </c>
      <c r="B1071" s="2" t="s">
        <v>14852</v>
      </c>
      <c r="C1071" s="2" t="s">
        <v>8321</v>
      </c>
      <c r="D1071" s="2" t="n">
        <v>737.112401848</v>
      </c>
      <c r="E1071" s="2" t="n">
        <v>1.55178834940059</v>
      </c>
      <c r="F1071" s="2" t="s">
        <v>14853</v>
      </c>
      <c r="G1071" s="2" t="n">
        <v>48613</v>
      </c>
      <c r="H1071" s="3" t="str">
        <f>HYPERLINK("http://funmeta.oebiotech.com/network/48613", "http://funmeta.oebiotech.com/network/48613")</f>
      </c>
      <c r="I1071" s="2" t="s">
        <v>14854</v>
      </c>
      <c r="J1071" s="2"/>
      <c r="K1071" s="2"/>
      <c r="L1071" s="2"/>
      <c r="M1071" s="2"/>
      <c r="N1071" s="2" t="s">
        <v>14855</v>
      </c>
      <c r="O1071" s="2" t="s">
        <v>14856</v>
      </c>
      <c r="P1071" s="2" t="s">
        <v>14857</v>
      </c>
      <c r="Q1071" s="2" t="s">
        <v>14858</v>
      </c>
      <c r="R1071" s="2" t="s">
        <v>2509</v>
      </c>
      <c r="S1071" s="2" t="s">
        <v>5520</v>
      </c>
      <c r="T1071" s="2" t="s">
        <v>13396</v>
      </c>
      <c r="U1071" s="2" t="s">
        <v>8322</v>
      </c>
      <c r="V1071" s="2" t="s">
        <v>360</v>
      </c>
      <c r="W1071" s="2"/>
    </row>
    <row r="1072">
      <c r="A1072" s="2" t="n">
        <v>771</v>
      </c>
      <c r="B1072" s="2" t="s">
        <v>14859</v>
      </c>
      <c r="C1072" s="2" t="s">
        <v>8321</v>
      </c>
      <c r="D1072" s="2" t="n">
        <v>737.112401848</v>
      </c>
      <c r="E1072" s="2" t="n">
        <v>1.55178834940059</v>
      </c>
      <c r="F1072" s="2" t="s">
        <v>14860</v>
      </c>
      <c r="G1072" s="2" t="n">
        <v>54231</v>
      </c>
      <c r="H1072" s="3" t="str">
        <f>HYPERLINK("http://funmeta.oebiotech.com/network/54231", "http://funmeta.oebiotech.com/network/54231")</f>
      </c>
      <c r="I1072" s="2" t="s">
        <v>14861</v>
      </c>
      <c r="J1072" s="2" t="s">
        <v>14862</v>
      </c>
      <c r="K1072" s="2"/>
      <c r="L1072" s="2"/>
      <c r="M1072" s="2"/>
      <c r="N1072" s="2" t="s">
        <v>14863</v>
      </c>
      <c r="O1072" s="2"/>
      <c r="P1072" s="2" t="s">
        <v>14864</v>
      </c>
      <c r="Q1072" s="2" t="s">
        <v>14865</v>
      </c>
      <c r="R1072" s="2" t="s">
        <v>2509</v>
      </c>
      <c r="S1072" s="2" t="s">
        <v>5520</v>
      </c>
      <c r="T1072" s="2" t="s">
        <v>13396</v>
      </c>
      <c r="U1072" s="2" t="s">
        <v>8322</v>
      </c>
      <c r="V1072" s="2" t="s">
        <v>360</v>
      </c>
      <c r="W1072" s="2"/>
    </row>
    <row r="1073">
      <c r="A1073" s="2" t="n">
        <v>771</v>
      </c>
      <c r="B1073" s="2" t="s">
        <v>14866</v>
      </c>
      <c r="C1073" s="2" t="s">
        <v>8321</v>
      </c>
      <c r="D1073" s="2" t="n">
        <v>737.112401848</v>
      </c>
      <c r="E1073" s="2" t="n">
        <v>1.55178834940059</v>
      </c>
      <c r="F1073" s="2" t="s">
        <v>14867</v>
      </c>
      <c r="G1073" s="2" t="n">
        <v>57167</v>
      </c>
      <c r="H1073" s="3" t="str">
        <f>HYPERLINK("http://funmeta.oebiotech.com/network/57167", "http://funmeta.oebiotech.com/network/57167")</f>
      </c>
      <c r="I1073" s="2" t="s">
        <v>14868</v>
      </c>
      <c r="J1073" s="2" t="s">
        <v>14869</v>
      </c>
      <c r="K1073" s="2"/>
      <c r="L1073" s="2"/>
      <c r="M1073" s="2"/>
      <c r="N1073" s="2" t="s">
        <v>14870</v>
      </c>
      <c r="O1073" s="2"/>
      <c r="P1073" s="2" t="s">
        <v>14871</v>
      </c>
      <c r="Q1073" s="2" t="s">
        <v>14872</v>
      </c>
      <c r="R1073" s="2" t="s">
        <v>2509</v>
      </c>
      <c r="S1073" s="2" t="s">
        <v>5520</v>
      </c>
      <c r="T1073" s="2" t="s">
        <v>13396</v>
      </c>
      <c r="U1073" s="2" t="s">
        <v>8322</v>
      </c>
      <c r="V1073" s="2" t="s">
        <v>360</v>
      </c>
      <c r="W1073" s="2"/>
    </row>
    <row r="1074">
      <c r="A1074" s="2" t="n">
        <v>772</v>
      </c>
      <c r="B1074" s="2" t="s">
        <v>14873</v>
      </c>
      <c r="C1074" s="2" t="s">
        <v>8331</v>
      </c>
      <c r="D1074" s="2" t="n">
        <v>739.505008437</v>
      </c>
      <c r="E1074" s="2" t="n">
        <v>1.31933028976851</v>
      </c>
      <c r="F1074" s="2" t="s">
        <v>8333</v>
      </c>
      <c r="G1074" s="2" t="n">
        <v>25822</v>
      </c>
      <c r="H1074" s="3" t="str">
        <f>HYPERLINK("http://funmeta.oebiotech.com/network/25822", "http://funmeta.oebiotech.com/network/25822")</f>
      </c>
      <c r="I1074" s="2" t="s">
        <v>8335</v>
      </c>
      <c r="J1074" s="2" t="s">
        <v>8336</v>
      </c>
      <c r="K1074" s="2" t="s">
        <v>8337</v>
      </c>
      <c r="L1074" s="2"/>
      <c r="M1074" s="2"/>
      <c r="N1074" s="2" t="s">
        <v>8338</v>
      </c>
      <c r="O1074" s="2"/>
      <c r="P1074" s="2" t="s">
        <v>8339</v>
      </c>
      <c r="Q1074" s="2" t="s">
        <v>8340</v>
      </c>
      <c r="R1074" s="2" t="s">
        <v>1490</v>
      </c>
      <c r="S1074" s="2" t="s">
        <v>4236</v>
      </c>
      <c r="T1074" s="2" t="s">
        <v>5175</v>
      </c>
      <c r="U1074" s="2" t="s">
        <v>8332</v>
      </c>
      <c r="V1074" s="2" t="s">
        <v>522</v>
      </c>
      <c r="W1074" s="2"/>
    </row>
    <row r="1075">
      <c r="A1075" s="2" t="n">
        <v>773</v>
      </c>
      <c r="B1075" s="2" t="s">
        <v>14874</v>
      </c>
      <c r="C1075" s="2" t="s">
        <v>8341</v>
      </c>
      <c r="D1075" s="2" t="n">
        <v>741.44255311</v>
      </c>
      <c r="E1075" s="2" t="n">
        <v>9.72306557933978</v>
      </c>
      <c r="F1075" s="2" t="s">
        <v>8343</v>
      </c>
      <c r="G1075" s="2" t="n">
        <v>52983</v>
      </c>
      <c r="H1075" s="3" t="str">
        <f>HYPERLINK("http://funmeta.oebiotech.com/network/52983", "http://funmeta.oebiotech.com/network/52983")</f>
      </c>
      <c r="I1075" s="2" t="s">
        <v>8345</v>
      </c>
      <c r="J1075" s="2" t="s">
        <v>8346</v>
      </c>
      <c r="K1075" s="2"/>
      <c r="L1075" s="2" t="s">
        <v>8347</v>
      </c>
      <c r="M1075" s="2" t="s">
        <v>8348</v>
      </c>
      <c r="N1075" s="2" t="s">
        <v>8349</v>
      </c>
      <c r="O1075" s="2" t="s">
        <v>8350</v>
      </c>
      <c r="P1075" s="2" t="s">
        <v>8351</v>
      </c>
      <c r="Q1075" s="2" t="s">
        <v>8352</v>
      </c>
      <c r="R1075" s="2" t="s">
        <v>2509</v>
      </c>
      <c r="S1075" s="2" t="s">
        <v>4367</v>
      </c>
      <c r="T1075" s="2" t="s">
        <v>205</v>
      </c>
      <c r="U1075" s="2" t="s">
        <v>8342</v>
      </c>
      <c r="V1075" s="2" t="s">
        <v>1019</v>
      </c>
      <c r="W1075" s="2" t="s">
        <v>39</v>
      </c>
    </row>
    <row r="1076">
      <c r="A1076" s="2" t="n">
        <v>774</v>
      </c>
      <c r="B1076" s="2" t="s">
        <v>14875</v>
      </c>
      <c r="C1076" s="2" t="s">
        <v>8353</v>
      </c>
      <c r="D1076" s="2" t="n">
        <v>742.177543215</v>
      </c>
      <c r="E1076" s="2" t="n">
        <v>0.37256835614241</v>
      </c>
      <c r="F1076" s="2" t="s">
        <v>8355</v>
      </c>
      <c r="G1076" s="2" t="n">
        <v>208095</v>
      </c>
      <c r="H1076" s="3" t="str">
        <f>HYPERLINK("http://funmeta.oebiotech.com/network/208095", "http://funmeta.oebiotech.com/network/208095")</f>
      </c>
      <c r="I1076" s="2" t="s">
        <v>8357</v>
      </c>
      <c r="J1076" s="2"/>
      <c r="K1076" s="2"/>
      <c r="L1076" s="2"/>
      <c r="M1076" s="2" t="s">
        <v>8358</v>
      </c>
      <c r="N1076" s="2" t="s">
        <v>8359</v>
      </c>
      <c r="O1076" s="2"/>
      <c r="P1076" s="2" t="s">
        <v>8360</v>
      </c>
      <c r="Q1076" s="2" t="s">
        <v>8361</v>
      </c>
      <c r="R1076" s="2" t="s">
        <v>355</v>
      </c>
      <c r="S1076" s="2" t="s">
        <v>5131</v>
      </c>
      <c r="T1076" s="2" t="s">
        <v>5132</v>
      </c>
      <c r="U1076" s="2" t="s">
        <v>8354</v>
      </c>
      <c r="V1076" s="2" t="s">
        <v>360</v>
      </c>
      <c r="W1076" s="2"/>
    </row>
    <row r="1077">
      <c r="A1077" s="2" t="n">
        <v>775</v>
      </c>
      <c r="B1077" s="2" t="s">
        <v>14876</v>
      </c>
      <c r="C1077" s="2" t="s">
        <v>8362</v>
      </c>
      <c r="D1077" s="2" t="n">
        <v>743.19227123</v>
      </c>
      <c r="E1077" s="2" t="n">
        <v>6.62725923776444</v>
      </c>
      <c r="F1077" s="2" t="s">
        <v>8364</v>
      </c>
      <c r="G1077" s="2" t="n">
        <v>197040</v>
      </c>
      <c r="H1077" s="3" t="str">
        <f>HYPERLINK("http://funmeta.oebiotech.com/network/197040", "http://funmeta.oebiotech.com/network/197040")</f>
      </c>
      <c r="I1077" s="2" t="s">
        <v>8366</v>
      </c>
      <c r="J1077" s="2"/>
      <c r="K1077" s="2"/>
      <c r="L1077" s="2"/>
      <c r="M1077" s="2"/>
      <c r="N1077" s="2" t="s">
        <v>8367</v>
      </c>
      <c r="O1077" s="2"/>
      <c r="P1077" s="2" t="s">
        <v>8368</v>
      </c>
      <c r="Q1077" s="2" t="s">
        <v>8369</v>
      </c>
      <c r="R1077" s="2" t="s">
        <v>502</v>
      </c>
      <c r="S1077" s="2" t="s">
        <v>2413</v>
      </c>
      <c r="T1077" s="2" t="s">
        <v>7796</v>
      </c>
      <c r="U1077" s="2" t="s">
        <v>8363</v>
      </c>
      <c r="V1077" s="2" t="s">
        <v>1019</v>
      </c>
      <c r="W1077" s="2"/>
    </row>
    <row r="1078">
      <c r="A1078" s="2" t="n">
        <v>776</v>
      </c>
      <c r="B1078" s="2" t="s">
        <v>14877</v>
      </c>
      <c r="C1078" s="2" t="s">
        <v>8370</v>
      </c>
      <c r="D1078" s="2" t="n">
        <v>744.48210852</v>
      </c>
      <c r="E1078" s="2" t="n">
        <v>2.74262933205483</v>
      </c>
      <c r="F1078" s="2" t="s">
        <v>8372</v>
      </c>
      <c r="G1078" s="2" t="n">
        <v>22174</v>
      </c>
      <c r="H1078" s="3" t="str">
        <f>HYPERLINK("http://funmeta.oebiotech.com/network/22174", "http://funmeta.oebiotech.com/network/22174")</f>
      </c>
      <c r="I1078" s="2" t="s">
        <v>8374</v>
      </c>
      <c r="J1078" s="2" t="s">
        <v>8375</v>
      </c>
      <c r="K1078" s="2" t="s">
        <v>8376</v>
      </c>
      <c r="L1078" s="2"/>
      <c r="M1078" s="2"/>
      <c r="N1078" s="2" t="s">
        <v>8377</v>
      </c>
      <c r="O1078" s="2"/>
      <c r="P1078" s="2" t="s">
        <v>8378</v>
      </c>
      <c r="Q1078" s="2" t="s">
        <v>8379</v>
      </c>
      <c r="R1078" s="2" t="s">
        <v>1490</v>
      </c>
      <c r="S1078" s="2" t="s">
        <v>4236</v>
      </c>
      <c r="T1078" s="2" t="s">
        <v>8380</v>
      </c>
      <c r="U1078" s="2" t="s">
        <v>8371</v>
      </c>
      <c r="V1078" s="2" t="s">
        <v>110</v>
      </c>
      <c r="W1078" s="2"/>
    </row>
    <row r="1079">
      <c r="A1079" s="2" t="n">
        <v>777</v>
      </c>
      <c r="B1079" s="2" t="s">
        <v>14878</v>
      </c>
      <c r="C1079" s="2" t="s">
        <v>8381</v>
      </c>
      <c r="D1079" s="2" t="n">
        <v>745.502504824</v>
      </c>
      <c r="E1079" s="2" t="n">
        <v>2.28139196735014</v>
      </c>
      <c r="F1079" s="2" t="s">
        <v>8383</v>
      </c>
      <c r="G1079" s="2" t="n">
        <v>24935</v>
      </c>
      <c r="H1079" s="3" t="str">
        <f>HYPERLINK("http://funmeta.oebiotech.com/network/24935", "http://funmeta.oebiotech.com/network/24935")</f>
      </c>
      <c r="I1079" s="2" t="s">
        <v>8385</v>
      </c>
      <c r="J1079" s="2" t="s">
        <v>8386</v>
      </c>
      <c r="K1079" s="2" t="s">
        <v>8387</v>
      </c>
      <c r="L1079" s="2" t="s">
        <v>7813</v>
      </c>
      <c r="M1079" s="2" t="s">
        <v>8388</v>
      </c>
      <c r="N1079" s="2" t="s">
        <v>8389</v>
      </c>
      <c r="O1079" s="2"/>
      <c r="P1079" s="2" t="s">
        <v>8390</v>
      </c>
      <c r="Q1079" s="2" t="s">
        <v>8391</v>
      </c>
      <c r="R1079" s="2" t="s">
        <v>1490</v>
      </c>
      <c r="S1079" s="2" t="s">
        <v>4236</v>
      </c>
      <c r="T1079" s="2" t="s">
        <v>5175</v>
      </c>
      <c r="U1079" s="2" t="s">
        <v>8382</v>
      </c>
      <c r="V1079" s="2" t="s">
        <v>24</v>
      </c>
      <c r="W1079" s="2" t="s">
        <v>39</v>
      </c>
    </row>
    <row r="1080">
      <c r="A1080" s="2" t="n">
        <v>778</v>
      </c>
      <c r="B1080" s="2" t="s">
        <v>14879</v>
      </c>
      <c r="C1080" s="2" t="s">
        <v>8392</v>
      </c>
      <c r="D1080" s="2" t="n">
        <v>747.190866476</v>
      </c>
      <c r="E1080" s="2" t="n">
        <v>3.8026560520012</v>
      </c>
      <c r="F1080" s="2" t="s">
        <v>8394</v>
      </c>
      <c r="G1080" s="2" t="n">
        <v>64255</v>
      </c>
      <c r="H1080" s="3" t="str">
        <f>HYPERLINK("http://funmeta.oebiotech.com/network/64255", "http://funmeta.oebiotech.com/network/64255")</f>
      </c>
      <c r="I1080" s="2" t="s">
        <v>8396</v>
      </c>
      <c r="J1080" s="2" t="s">
        <v>8397</v>
      </c>
      <c r="K1080" s="2"/>
      <c r="L1080" s="2"/>
      <c r="M1080" s="2"/>
      <c r="N1080" s="2" t="s">
        <v>8398</v>
      </c>
      <c r="O1080" s="2" t="s">
        <v>8399</v>
      </c>
      <c r="P1080" s="2" t="s">
        <v>8400</v>
      </c>
      <c r="Q1080" s="2" t="s">
        <v>8401</v>
      </c>
      <c r="R1080" s="2" t="s">
        <v>2509</v>
      </c>
      <c r="S1080" s="2" t="s">
        <v>5520</v>
      </c>
      <c r="T1080" s="2" t="s">
        <v>5664</v>
      </c>
      <c r="U1080" s="2" t="s">
        <v>8393</v>
      </c>
      <c r="V1080" s="2" t="s">
        <v>522</v>
      </c>
      <c r="W1080" s="2"/>
    </row>
    <row r="1081">
      <c r="A1081" s="2" t="n">
        <v>779</v>
      </c>
      <c r="B1081" s="2" t="s">
        <v>14880</v>
      </c>
      <c r="C1081" s="2" t="s">
        <v>8402</v>
      </c>
      <c r="D1081" s="2" t="n">
        <v>747.518159196</v>
      </c>
      <c r="E1081" s="2" t="n">
        <v>6.56998810309597</v>
      </c>
      <c r="F1081" s="2" t="s">
        <v>14881</v>
      </c>
      <c r="G1081" s="2" t="n">
        <v>22505</v>
      </c>
      <c r="H1081" s="3" t="str">
        <f>HYPERLINK("http://funmeta.oebiotech.com/network/22505", "http://funmeta.oebiotech.com/network/22505")</f>
      </c>
      <c r="I1081" s="2" t="s">
        <v>14882</v>
      </c>
      <c r="J1081" s="2"/>
      <c r="K1081" s="2" t="s">
        <v>14883</v>
      </c>
      <c r="L1081" s="2"/>
      <c r="M1081" s="2" t="s">
        <v>14884</v>
      </c>
      <c r="N1081" s="2" t="s">
        <v>14885</v>
      </c>
      <c r="O1081" s="2" t="s">
        <v>14886</v>
      </c>
      <c r="P1081" s="2" t="s">
        <v>14887</v>
      </c>
      <c r="Q1081" s="2" t="s">
        <v>14888</v>
      </c>
      <c r="R1081" s="2" t="s">
        <v>1490</v>
      </c>
      <c r="S1081" s="2" t="s">
        <v>4236</v>
      </c>
      <c r="T1081" s="2" t="s">
        <v>8063</v>
      </c>
      <c r="U1081" s="2" t="s">
        <v>8403</v>
      </c>
      <c r="V1081" s="2" t="s">
        <v>110</v>
      </c>
      <c r="W1081" s="2"/>
    </row>
    <row r="1082">
      <c r="A1082" s="2" t="n">
        <v>779</v>
      </c>
      <c r="B1082" s="2" t="s">
        <v>14889</v>
      </c>
      <c r="C1082" s="2" t="s">
        <v>8402</v>
      </c>
      <c r="D1082" s="2" t="n">
        <v>747.518159677</v>
      </c>
      <c r="E1082" s="2" t="n">
        <v>6.56998810309597</v>
      </c>
      <c r="F1082" s="2" t="s">
        <v>14890</v>
      </c>
      <c r="G1082" s="2" t="n">
        <v>199529</v>
      </c>
      <c r="H1082" s="3" t="str">
        <f>HYPERLINK("http://funmeta.oebiotech.com/network/199529", "http://funmeta.oebiotech.com/network/199529")</f>
      </c>
      <c r="I1082" s="2" t="s">
        <v>14891</v>
      </c>
      <c r="J1082" s="2"/>
      <c r="K1082" s="2"/>
      <c r="L1082" s="2"/>
      <c r="M1082" s="2"/>
      <c r="N1082" s="2" t="s">
        <v>14892</v>
      </c>
      <c r="O1082" s="2"/>
      <c r="P1082" s="2" t="s">
        <v>14893</v>
      </c>
      <c r="Q1082" s="2" t="s">
        <v>14894</v>
      </c>
      <c r="R1082" s="2" t="s">
        <v>1490</v>
      </c>
      <c r="S1082" s="2" t="s">
        <v>4236</v>
      </c>
      <c r="T1082" s="2" t="s">
        <v>8063</v>
      </c>
      <c r="U1082" s="2" t="s">
        <v>8403</v>
      </c>
      <c r="V1082" s="2" t="s">
        <v>110</v>
      </c>
      <c r="W1082" s="2"/>
    </row>
    <row r="1083">
      <c r="A1083" s="2" t="n">
        <v>780</v>
      </c>
      <c r="B1083" s="2" t="s">
        <v>14895</v>
      </c>
      <c r="C1083" s="2" t="s">
        <v>8413</v>
      </c>
      <c r="D1083" s="2" t="n">
        <v>748.192282439</v>
      </c>
      <c r="E1083" s="2" t="n">
        <v>6.09426034387487</v>
      </c>
      <c r="F1083" s="2" t="s">
        <v>8415</v>
      </c>
      <c r="G1083" s="2" t="n">
        <v>57624</v>
      </c>
      <c r="H1083" s="3" t="str">
        <f>HYPERLINK("http://funmeta.oebiotech.com/network/57624", "http://funmeta.oebiotech.com/network/57624")</f>
      </c>
      <c r="I1083" s="2" t="s">
        <v>8417</v>
      </c>
      <c r="J1083" s="2" t="s">
        <v>8418</v>
      </c>
      <c r="K1083" s="2"/>
      <c r="L1083" s="2"/>
      <c r="M1083" s="2"/>
      <c r="N1083" s="2" t="s">
        <v>8419</v>
      </c>
      <c r="O1083" s="2" t="s">
        <v>8420</v>
      </c>
      <c r="P1083" s="2" t="s">
        <v>8421</v>
      </c>
      <c r="Q1083" s="2" t="s">
        <v>8422</v>
      </c>
      <c r="R1083" s="2" t="s">
        <v>502</v>
      </c>
      <c r="S1083" s="2" t="s">
        <v>503</v>
      </c>
      <c r="T1083" s="2" t="s">
        <v>8423</v>
      </c>
      <c r="U1083" s="2" t="s">
        <v>8414</v>
      </c>
      <c r="V1083" s="2" t="s">
        <v>250</v>
      </c>
      <c r="W1083" s="2"/>
    </row>
    <row r="1084">
      <c r="A1084" s="2" t="n">
        <v>781</v>
      </c>
      <c r="B1084" s="2" t="s">
        <v>14896</v>
      </c>
      <c r="C1084" s="2" t="s">
        <v>8424</v>
      </c>
      <c r="D1084" s="2" t="n">
        <v>748.513585003</v>
      </c>
      <c r="E1084" s="2" t="n">
        <v>2.90914342445168</v>
      </c>
      <c r="F1084" s="2" t="s">
        <v>8426</v>
      </c>
      <c r="G1084" s="2" t="n">
        <v>56958</v>
      </c>
      <c r="H1084" s="3" t="str">
        <f>HYPERLINK("http://funmeta.oebiotech.com/network/56958", "http://funmeta.oebiotech.com/network/56958")</f>
      </c>
      <c r="I1084" s="2" t="s">
        <v>8428</v>
      </c>
      <c r="J1084" s="2"/>
      <c r="K1084" s="2"/>
      <c r="L1084" s="2"/>
      <c r="M1084" s="2"/>
      <c r="N1084" s="2" t="s">
        <v>8429</v>
      </c>
      <c r="O1084" s="2" t="s">
        <v>8430</v>
      </c>
      <c r="P1084" s="2" t="s">
        <v>8431</v>
      </c>
      <c r="Q1084" s="2" t="s">
        <v>8432</v>
      </c>
      <c r="R1084" s="2" t="s">
        <v>1490</v>
      </c>
      <c r="S1084" s="2" t="s">
        <v>8433</v>
      </c>
      <c r="T1084" s="2" t="s">
        <v>8434</v>
      </c>
      <c r="U1084" s="2" t="s">
        <v>8425</v>
      </c>
      <c r="V1084" s="2" t="s">
        <v>522</v>
      </c>
      <c r="W1084" s="2"/>
    </row>
    <row r="1085">
      <c r="A1085" s="2" t="n">
        <v>782</v>
      </c>
      <c r="B1085" s="2" t="s">
        <v>14897</v>
      </c>
      <c r="C1085" s="2" t="s">
        <v>8435</v>
      </c>
      <c r="D1085" s="2" t="n">
        <v>755.110117302</v>
      </c>
      <c r="E1085" s="2" t="n">
        <v>4.74515600341563</v>
      </c>
      <c r="F1085" s="2" t="s">
        <v>8437</v>
      </c>
      <c r="G1085" s="2" t="n">
        <v>144409</v>
      </c>
      <c r="H1085" s="3" t="str">
        <f>HYPERLINK("http://funmeta.oebiotech.com/network/144409", "http://funmeta.oebiotech.com/network/144409")</f>
      </c>
      <c r="I1085" s="2" t="s">
        <v>8439</v>
      </c>
      <c r="J1085" s="2"/>
      <c r="K1085" s="2"/>
      <c r="L1085" s="2"/>
      <c r="M1085" s="2"/>
      <c r="N1085" s="2" t="s">
        <v>8440</v>
      </c>
      <c r="O1085" s="2"/>
      <c r="P1085" s="2" t="s">
        <v>8441</v>
      </c>
      <c r="Q1085" s="2" t="s">
        <v>8442</v>
      </c>
      <c r="R1085" s="2" t="s">
        <v>64</v>
      </c>
      <c r="S1085" s="2" t="s">
        <v>65</v>
      </c>
      <c r="T1085" s="2" t="s">
        <v>66</v>
      </c>
      <c r="U1085" s="2" t="s">
        <v>8436</v>
      </c>
      <c r="V1085" s="2" t="s">
        <v>1019</v>
      </c>
      <c r="W1085" s="2"/>
    </row>
    <row r="1086">
      <c r="A1086" s="2" t="n">
        <v>783</v>
      </c>
      <c r="B1086" s="2" t="s">
        <v>14898</v>
      </c>
      <c r="C1086" s="2" t="s">
        <v>8443</v>
      </c>
      <c r="D1086" s="2" t="n">
        <v>757.422211598</v>
      </c>
      <c r="E1086" s="2" t="n">
        <v>7.1357529478488</v>
      </c>
      <c r="F1086" s="2" t="s">
        <v>8445</v>
      </c>
      <c r="G1086" s="2" t="n">
        <v>48472</v>
      </c>
      <c r="H1086" s="3" t="str">
        <f>HYPERLINK("http://funmeta.oebiotech.com/network/48472", "http://funmeta.oebiotech.com/network/48472")</f>
      </c>
      <c r="I1086" s="2" t="s">
        <v>8447</v>
      </c>
      <c r="J1086" s="2" t="s">
        <v>8448</v>
      </c>
      <c r="K1086" s="2"/>
      <c r="L1086" s="2"/>
      <c r="M1086" s="2" t="s">
        <v>8449</v>
      </c>
      <c r="N1086" s="2" t="s">
        <v>8450</v>
      </c>
      <c r="O1086" s="2" t="s">
        <v>8451</v>
      </c>
      <c r="P1086" s="2" t="s">
        <v>8452</v>
      </c>
      <c r="Q1086" s="2" t="s">
        <v>8453</v>
      </c>
      <c r="R1086" s="2" t="s">
        <v>355</v>
      </c>
      <c r="S1086" s="2" t="s">
        <v>1580</v>
      </c>
      <c r="T1086" s="2" t="s">
        <v>4428</v>
      </c>
      <c r="U1086" s="2" t="s">
        <v>8444</v>
      </c>
      <c r="V1086" s="2" t="s">
        <v>1019</v>
      </c>
      <c r="W1086" s="2"/>
    </row>
    <row r="1087">
      <c r="A1087" s="2" t="n">
        <v>784</v>
      </c>
      <c r="B1087" s="2" t="s">
        <v>14899</v>
      </c>
      <c r="C1087" s="2" t="s">
        <v>8454</v>
      </c>
      <c r="D1087" s="2" t="n">
        <v>759.518155373</v>
      </c>
      <c r="E1087" s="2" t="n">
        <v>0.67071597056929</v>
      </c>
      <c r="F1087" s="2" t="s">
        <v>8456</v>
      </c>
      <c r="G1087" s="2" t="n">
        <v>25055</v>
      </c>
      <c r="H1087" s="3" t="str">
        <f>HYPERLINK("http://funmeta.oebiotech.com/network/25055", "http://funmeta.oebiotech.com/network/25055")</f>
      </c>
      <c r="I1087" s="2" t="s">
        <v>8458</v>
      </c>
      <c r="J1087" s="2" t="s">
        <v>8459</v>
      </c>
      <c r="K1087" s="2" t="s">
        <v>8460</v>
      </c>
      <c r="L1087" s="2"/>
      <c r="M1087" s="2"/>
      <c r="N1087" s="2" t="s">
        <v>8461</v>
      </c>
      <c r="O1087" s="2"/>
      <c r="P1087" s="2" t="s">
        <v>8462</v>
      </c>
      <c r="Q1087" s="2" t="s">
        <v>8463</v>
      </c>
      <c r="R1087" s="2" t="s">
        <v>1490</v>
      </c>
      <c r="S1087" s="2" t="s">
        <v>4236</v>
      </c>
      <c r="T1087" s="2" t="s">
        <v>5175</v>
      </c>
      <c r="U1087" s="2" t="s">
        <v>8455</v>
      </c>
      <c r="V1087" s="2" t="s">
        <v>24</v>
      </c>
      <c r="W1087" s="2"/>
    </row>
    <row r="1088">
      <c r="A1088" s="2" t="n">
        <v>785</v>
      </c>
      <c r="B1088" s="2" t="s">
        <v>14900</v>
      </c>
      <c r="C1088" s="2" t="s">
        <v>8464</v>
      </c>
      <c r="D1088" s="2" t="n">
        <v>761.20651654</v>
      </c>
      <c r="E1088" s="2" t="n">
        <v>5.05204044061428</v>
      </c>
      <c r="F1088" s="2" t="s">
        <v>8466</v>
      </c>
      <c r="G1088" s="2" t="n">
        <v>61508</v>
      </c>
      <c r="H1088" s="3" t="str">
        <f>HYPERLINK("http://funmeta.oebiotech.com/network/61508", "http://funmeta.oebiotech.com/network/61508")</f>
      </c>
      <c r="I1088" s="2" t="s">
        <v>8468</v>
      </c>
      <c r="J1088" s="2" t="s">
        <v>8469</v>
      </c>
      <c r="K1088" s="2"/>
      <c r="L1088" s="2"/>
      <c r="M1088" s="2" t="s">
        <v>8470</v>
      </c>
      <c r="N1088" s="2" t="s">
        <v>8471</v>
      </c>
      <c r="O1088" s="2"/>
      <c r="P1088" s="2" t="s">
        <v>8472</v>
      </c>
      <c r="Q1088" s="2" t="s">
        <v>8473</v>
      </c>
      <c r="R1088" s="2" t="s">
        <v>2509</v>
      </c>
      <c r="S1088" s="2" t="s">
        <v>5520</v>
      </c>
      <c r="T1088" s="2" t="s">
        <v>5664</v>
      </c>
      <c r="U1088" s="2" t="s">
        <v>8465</v>
      </c>
      <c r="V1088" s="2" t="s">
        <v>522</v>
      </c>
      <c r="W1088" s="2"/>
    </row>
    <row r="1089">
      <c r="A1089" s="2" t="n">
        <v>786</v>
      </c>
      <c r="B1089" s="2" t="s">
        <v>14901</v>
      </c>
      <c r="C1089" s="2" t="s">
        <v>8474</v>
      </c>
      <c r="D1089" s="2" t="n">
        <v>761.495770462</v>
      </c>
      <c r="E1089" s="2" t="n">
        <v>3.84214412749543</v>
      </c>
      <c r="F1089" s="2" t="s">
        <v>14902</v>
      </c>
      <c r="G1089" s="2" t="n">
        <v>197952</v>
      </c>
      <c r="H1089" s="3" t="str">
        <f>HYPERLINK("http://funmeta.oebiotech.com/network/197952", "http://funmeta.oebiotech.com/network/197952")</f>
      </c>
      <c r="I1089" s="2" t="s">
        <v>14903</v>
      </c>
      <c r="J1089" s="2"/>
      <c r="K1089" s="2"/>
      <c r="L1089" s="2"/>
      <c r="M1089" s="2"/>
      <c r="N1089" s="2"/>
      <c r="O1089" s="2"/>
      <c r="P1089" s="2" t="s">
        <v>14904</v>
      </c>
      <c r="Q1089" s="2" t="s">
        <v>14905</v>
      </c>
      <c r="R1089" s="2" t="s">
        <v>1490</v>
      </c>
      <c r="S1089" s="2" t="s">
        <v>1491</v>
      </c>
      <c r="T1089" s="2" t="s">
        <v>3884</v>
      </c>
      <c r="U1089" s="2" t="s">
        <v>8475</v>
      </c>
      <c r="V1089" s="2" t="s">
        <v>1019</v>
      </c>
      <c r="W1089" s="2"/>
    </row>
    <row r="1090">
      <c r="A1090" s="2" t="n">
        <v>786</v>
      </c>
      <c r="B1090" s="2" t="s">
        <v>14906</v>
      </c>
      <c r="C1090" s="2" t="s">
        <v>8474</v>
      </c>
      <c r="D1090" s="2" t="n">
        <v>761.495770462</v>
      </c>
      <c r="E1090" s="2" t="n">
        <v>3.84214412749543</v>
      </c>
      <c r="F1090" s="2" t="s">
        <v>14907</v>
      </c>
      <c r="G1090" s="2" t="n">
        <v>197953</v>
      </c>
      <c r="H1090" s="3" t="str">
        <f>HYPERLINK("http://funmeta.oebiotech.com/network/197953", "http://funmeta.oebiotech.com/network/197953")</f>
      </c>
      <c r="I1090" s="2" t="s">
        <v>14908</v>
      </c>
      <c r="J1090" s="2"/>
      <c r="K1090" s="2"/>
      <c r="L1090" s="2"/>
      <c r="M1090" s="2"/>
      <c r="N1090" s="2"/>
      <c r="O1090" s="2"/>
      <c r="P1090" s="2" t="s">
        <v>14909</v>
      </c>
      <c r="Q1090" s="2" t="s">
        <v>14910</v>
      </c>
      <c r="R1090" s="2" t="s">
        <v>1490</v>
      </c>
      <c r="S1090" s="2" t="s">
        <v>1491</v>
      </c>
      <c r="T1090" s="2" t="s">
        <v>3884</v>
      </c>
      <c r="U1090" s="2" t="s">
        <v>8475</v>
      </c>
      <c r="V1090" s="2" t="s">
        <v>1019</v>
      </c>
      <c r="W1090" s="2"/>
    </row>
    <row r="1091">
      <c r="A1091" s="2" t="n">
        <v>786</v>
      </c>
      <c r="B1091" s="2" t="s">
        <v>14911</v>
      </c>
      <c r="C1091" s="2" t="s">
        <v>8474</v>
      </c>
      <c r="D1091" s="2" t="n">
        <v>761.495770462</v>
      </c>
      <c r="E1091" s="2" t="n">
        <v>3.84214412749543</v>
      </c>
      <c r="F1091" s="2" t="s">
        <v>14912</v>
      </c>
      <c r="G1091" s="2" t="n">
        <v>197954</v>
      </c>
      <c r="H1091" s="3" t="str">
        <f>HYPERLINK("http://funmeta.oebiotech.com/network/197954", "http://funmeta.oebiotech.com/network/197954")</f>
      </c>
      <c r="I1091" s="2" t="s">
        <v>14913</v>
      </c>
      <c r="J1091" s="2"/>
      <c r="K1091" s="2"/>
      <c r="L1091" s="2"/>
      <c r="M1091" s="2"/>
      <c r="N1091" s="2"/>
      <c r="O1091" s="2"/>
      <c r="P1091" s="2" t="s">
        <v>14914</v>
      </c>
      <c r="Q1091" s="2" t="s">
        <v>14915</v>
      </c>
      <c r="R1091" s="2" t="s">
        <v>1490</v>
      </c>
      <c r="S1091" s="2" t="s">
        <v>1491</v>
      </c>
      <c r="T1091" s="2" t="s">
        <v>3884</v>
      </c>
      <c r="U1091" s="2" t="s">
        <v>8475</v>
      </c>
      <c r="V1091" s="2" t="s">
        <v>1019</v>
      </c>
      <c r="W1091" s="2"/>
    </row>
    <row r="1092">
      <c r="A1092" s="2" t="n">
        <v>787</v>
      </c>
      <c r="B1092" s="2" t="s">
        <v>14916</v>
      </c>
      <c r="C1092" s="2" t="s">
        <v>8481</v>
      </c>
      <c r="D1092" s="2" t="n">
        <v>762.484545303</v>
      </c>
      <c r="E1092" s="2" t="n">
        <v>9.08641479146653</v>
      </c>
      <c r="F1092" s="2" t="s">
        <v>8483</v>
      </c>
      <c r="G1092" s="2" t="n">
        <v>50049</v>
      </c>
      <c r="H1092" s="3" t="str">
        <f>HYPERLINK("http://funmeta.oebiotech.com/network/50049", "http://funmeta.oebiotech.com/network/50049")</f>
      </c>
      <c r="I1092" s="2" t="s">
        <v>8485</v>
      </c>
      <c r="J1092" s="2" t="s">
        <v>8486</v>
      </c>
      <c r="K1092" s="2"/>
      <c r="L1092" s="2" t="s">
        <v>7680</v>
      </c>
      <c r="M1092" s="2" t="s">
        <v>8487</v>
      </c>
      <c r="N1092" s="2" t="s">
        <v>8488</v>
      </c>
      <c r="O1092" s="2"/>
      <c r="P1092" s="2" t="s">
        <v>8489</v>
      </c>
      <c r="Q1092" s="2" t="s">
        <v>8490</v>
      </c>
      <c r="R1092" s="2" t="s">
        <v>1490</v>
      </c>
      <c r="S1092" s="2" t="s">
        <v>4236</v>
      </c>
      <c r="T1092" s="2" t="s">
        <v>5369</v>
      </c>
      <c r="U1092" s="2" t="s">
        <v>8482</v>
      </c>
      <c r="V1092" s="2" t="s">
        <v>250</v>
      </c>
      <c r="W1092" s="2" t="s">
        <v>39</v>
      </c>
    </row>
    <row r="1093">
      <c r="A1093" s="2" t="n">
        <v>788</v>
      </c>
      <c r="B1093" s="2" t="s">
        <v>14917</v>
      </c>
      <c r="C1093" s="2" t="s">
        <v>8491</v>
      </c>
      <c r="D1093" s="2" t="n">
        <v>765.187817342</v>
      </c>
      <c r="E1093" s="2" t="n">
        <v>2.24950334332717</v>
      </c>
      <c r="F1093" s="2" t="s">
        <v>8493</v>
      </c>
      <c r="G1093" s="2" t="n">
        <v>254786</v>
      </c>
      <c r="H1093" s="3" t="str">
        <f>HYPERLINK("http://funmeta.oebiotech.com/network/254786", "http://funmeta.oebiotech.com/network/254786")</f>
      </c>
      <c r="I1093" s="2" t="s">
        <v>8495</v>
      </c>
      <c r="J1093" s="2"/>
      <c r="K1093" s="2"/>
      <c r="L1093" s="2"/>
      <c r="M1093" s="2"/>
      <c r="N1093" s="2"/>
      <c r="O1093" s="2"/>
      <c r="P1093" s="2" t="s">
        <v>8496</v>
      </c>
      <c r="Q1093" s="2" t="s">
        <v>8497</v>
      </c>
      <c r="R1093" s="2" t="s">
        <v>2509</v>
      </c>
      <c r="S1093" s="2" t="s">
        <v>5520</v>
      </c>
      <c r="T1093" s="2" t="s">
        <v>5664</v>
      </c>
      <c r="U1093" s="2" t="s">
        <v>8492</v>
      </c>
      <c r="V1093" s="2" t="s">
        <v>42</v>
      </c>
      <c r="W1093" s="2"/>
    </row>
    <row r="1094">
      <c r="A1094" s="2" t="n">
        <v>789</v>
      </c>
      <c r="B1094" s="2" t="s">
        <v>14918</v>
      </c>
      <c r="C1094" s="2" t="s">
        <v>8498</v>
      </c>
      <c r="D1094" s="2" t="n">
        <v>767.173505408</v>
      </c>
      <c r="E1094" s="2" t="n">
        <v>3.8226766549423</v>
      </c>
      <c r="F1094" s="2" t="s">
        <v>8500</v>
      </c>
      <c r="G1094" s="2" t="n">
        <v>207217</v>
      </c>
      <c r="H1094" s="3" t="str">
        <f>HYPERLINK("http://funmeta.oebiotech.com/network/207217", "http://funmeta.oebiotech.com/network/207217")</f>
      </c>
      <c r="I1094" s="2" t="s">
        <v>8502</v>
      </c>
      <c r="J1094" s="2"/>
      <c r="K1094" s="2"/>
      <c r="L1094" s="2"/>
      <c r="M1094" s="2"/>
      <c r="N1094" s="2"/>
      <c r="O1094" s="2"/>
      <c r="P1094" s="2" t="s">
        <v>8503</v>
      </c>
      <c r="Q1094" s="2" t="s">
        <v>8504</v>
      </c>
      <c r="R1094" s="2" t="s">
        <v>64</v>
      </c>
      <c r="S1094" s="2" t="s">
        <v>65</v>
      </c>
      <c r="T1094" s="2" t="s">
        <v>66</v>
      </c>
      <c r="U1094" s="2" t="s">
        <v>8499</v>
      </c>
      <c r="V1094" s="2" t="s">
        <v>1019</v>
      </c>
      <c r="W1094" s="2"/>
    </row>
    <row r="1095">
      <c r="A1095" s="2" t="n">
        <v>790</v>
      </c>
      <c r="B1095" s="2" t="s">
        <v>14919</v>
      </c>
      <c r="C1095" s="2" t="s">
        <v>8505</v>
      </c>
      <c r="D1095" s="2" t="n">
        <v>767.525614036</v>
      </c>
      <c r="E1095" s="2" t="n">
        <v>5.06710270389752</v>
      </c>
      <c r="F1095" s="2" t="s">
        <v>14920</v>
      </c>
      <c r="G1095" s="2" t="n">
        <v>58878</v>
      </c>
      <c r="H1095" s="3" t="str">
        <f>HYPERLINK("http://funmeta.oebiotech.com/network/58878", "http://funmeta.oebiotech.com/network/58878")</f>
      </c>
      <c r="I1095" s="2" t="s">
        <v>14921</v>
      </c>
      <c r="J1095" s="2"/>
      <c r="K1095" s="2"/>
      <c r="L1095" s="2"/>
      <c r="M1095" s="2"/>
      <c r="N1095" s="2" t="s">
        <v>14922</v>
      </c>
      <c r="O1095" s="2" t="s">
        <v>14923</v>
      </c>
      <c r="P1095" s="2" t="s">
        <v>14924</v>
      </c>
      <c r="Q1095" s="2" t="s">
        <v>14925</v>
      </c>
      <c r="R1095" s="2" t="s">
        <v>1490</v>
      </c>
      <c r="S1095" s="2" t="s">
        <v>4971</v>
      </c>
      <c r="T1095" s="2" t="s">
        <v>6983</v>
      </c>
      <c r="U1095" s="2" t="s">
        <v>8506</v>
      </c>
      <c r="V1095" s="2" t="s">
        <v>1019</v>
      </c>
      <c r="W1095" s="2"/>
    </row>
    <row r="1096">
      <c r="A1096" s="2" t="n">
        <v>790</v>
      </c>
      <c r="B1096" s="2" t="s">
        <v>14926</v>
      </c>
      <c r="C1096" s="2" t="s">
        <v>8505</v>
      </c>
      <c r="D1096" s="2" t="n">
        <v>767.525614036</v>
      </c>
      <c r="E1096" s="2" t="n">
        <v>5.06710270389752</v>
      </c>
      <c r="F1096" s="2" t="s">
        <v>14927</v>
      </c>
      <c r="G1096" s="2" t="n">
        <v>60180</v>
      </c>
      <c r="H1096" s="3" t="str">
        <f>HYPERLINK("http://funmeta.oebiotech.com/network/60180", "http://funmeta.oebiotech.com/network/60180")</f>
      </c>
      <c r="I1096" s="2" t="s">
        <v>14928</v>
      </c>
      <c r="J1096" s="2"/>
      <c r="K1096" s="2"/>
      <c r="L1096" s="2"/>
      <c r="M1096" s="2"/>
      <c r="N1096" s="2" t="s">
        <v>14929</v>
      </c>
      <c r="O1096" s="2" t="s">
        <v>14930</v>
      </c>
      <c r="P1096" s="2" t="s">
        <v>14931</v>
      </c>
      <c r="Q1096" s="2" t="s">
        <v>14932</v>
      </c>
      <c r="R1096" s="2" t="s">
        <v>1490</v>
      </c>
      <c r="S1096" s="2" t="s">
        <v>4971</v>
      </c>
      <c r="T1096" s="2" t="s">
        <v>6983</v>
      </c>
      <c r="U1096" s="2" t="s">
        <v>8506</v>
      </c>
      <c r="V1096" s="2" t="s">
        <v>1019</v>
      </c>
      <c r="W1096" s="2"/>
    </row>
    <row r="1097">
      <c r="A1097" s="2" t="n">
        <v>790</v>
      </c>
      <c r="B1097" s="2" t="s">
        <v>14933</v>
      </c>
      <c r="C1097" s="2" t="s">
        <v>8505</v>
      </c>
      <c r="D1097" s="2" t="n">
        <v>767.525614038</v>
      </c>
      <c r="E1097" s="2" t="n">
        <v>5.06710270389752</v>
      </c>
      <c r="F1097" s="2" t="s">
        <v>14934</v>
      </c>
      <c r="G1097" s="2" t="n">
        <v>206500</v>
      </c>
      <c r="H1097" s="3" t="str">
        <f>HYPERLINK("http://funmeta.oebiotech.com/network/206500", "http://funmeta.oebiotech.com/network/206500")</f>
      </c>
      <c r="I1097" s="2" t="s">
        <v>14935</v>
      </c>
      <c r="J1097" s="2"/>
      <c r="K1097" s="2"/>
      <c r="L1097" s="2"/>
      <c r="M1097" s="2"/>
      <c r="N1097" s="2" t="s">
        <v>14936</v>
      </c>
      <c r="O1097" s="2"/>
      <c r="P1097" s="2" t="s">
        <v>14937</v>
      </c>
      <c r="Q1097" s="2" t="s">
        <v>14938</v>
      </c>
      <c r="R1097" s="2" t="s">
        <v>1490</v>
      </c>
      <c r="S1097" s="2" t="s">
        <v>3546</v>
      </c>
      <c r="T1097" s="2" t="s">
        <v>14544</v>
      </c>
      <c r="U1097" s="2" t="s">
        <v>8506</v>
      </c>
      <c r="V1097" s="2" t="s">
        <v>1019</v>
      </c>
      <c r="W1097" s="2"/>
    </row>
    <row r="1098">
      <c r="A1098" s="2" t="n">
        <v>791</v>
      </c>
      <c r="B1098" s="2" t="s">
        <v>14939</v>
      </c>
      <c r="C1098" s="2" t="s">
        <v>8516</v>
      </c>
      <c r="D1098" s="2" t="n">
        <v>768.245144</v>
      </c>
      <c r="E1098" s="2" t="n">
        <v>6.62199251360934</v>
      </c>
      <c r="F1098" s="2" t="s">
        <v>8518</v>
      </c>
      <c r="G1098" s="2" t="n">
        <v>203730</v>
      </c>
      <c r="H1098" s="3" t="str">
        <f>HYPERLINK("http://funmeta.oebiotech.com/network/203730", "http://funmeta.oebiotech.com/network/203730")</f>
      </c>
      <c r="I1098" s="2" t="s">
        <v>8520</v>
      </c>
      <c r="J1098" s="2"/>
      <c r="K1098" s="2"/>
      <c r="L1098" s="2"/>
      <c r="M1098" s="2"/>
      <c r="N1098" s="2" t="s">
        <v>8521</v>
      </c>
      <c r="O1098" s="2"/>
      <c r="P1098" s="2" t="s">
        <v>8522</v>
      </c>
      <c r="Q1098" s="2" t="s">
        <v>8523</v>
      </c>
      <c r="R1098" s="2" t="s">
        <v>49</v>
      </c>
      <c r="S1098" s="2" t="s">
        <v>165</v>
      </c>
      <c r="T1098" s="2" t="s">
        <v>166</v>
      </c>
      <c r="U1098" s="2" t="s">
        <v>8517</v>
      </c>
      <c r="V1098" s="2" t="s">
        <v>360</v>
      </c>
      <c r="W1098" s="2"/>
    </row>
    <row r="1099">
      <c r="A1099" s="2" t="n">
        <v>792</v>
      </c>
      <c r="B1099" s="2" t="s">
        <v>14940</v>
      </c>
      <c r="C1099" s="2" t="s">
        <v>8524</v>
      </c>
      <c r="D1099" s="2" t="n">
        <v>769.25605329</v>
      </c>
      <c r="E1099" s="2" t="n">
        <v>9.03991179687752</v>
      </c>
      <c r="F1099" s="2" t="s">
        <v>8526</v>
      </c>
      <c r="G1099" s="2" t="n">
        <v>63527</v>
      </c>
      <c r="H1099" s="3" t="str">
        <f>HYPERLINK("http://funmeta.oebiotech.com/network/63527", "http://funmeta.oebiotech.com/network/63527")</f>
      </c>
      <c r="I1099" s="2" t="s">
        <v>8528</v>
      </c>
      <c r="J1099" s="2"/>
      <c r="K1099" s="2"/>
      <c r="L1099" s="2"/>
      <c r="M1099" s="2"/>
      <c r="N1099" s="2" t="s">
        <v>8529</v>
      </c>
      <c r="O1099" s="2" t="s">
        <v>8530</v>
      </c>
      <c r="P1099" s="2" t="s">
        <v>8531</v>
      </c>
      <c r="Q1099" s="2" t="s">
        <v>8532</v>
      </c>
      <c r="R1099" s="2" t="s">
        <v>64</v>
      </c>
      <c r="S1099" s="2" t="s">
        <v>65</v>
      </c>
      <c r="T1099" s="2" t="s">
        <v>66</v>
      </c>
      <c r="U1099" s="2" t="s">
        <v>8525</v>
      </c>
      <c r="V1099" s="2" t="s">
        <v>110</v>
      </c>
      <c r="W1099" s="2"/>
    </row>
    <row r="1100">
      <c r="A1100" s="2" t="n">
        <v>793</v>
      </c>
      <c r="B1100" s="2" t="s">
        <v>14941</v>
      </c>
      <c r="C1100" s="2" t="s">
        <v>8533</v>
      </c>
      <c r="D1100" s="2" t="n">
        <v>769.516111982</v>
      </c>
      <c r="E1100" s="2" t="n">
        <v>1.69629292089068</v>
      </c>
      <c r="F1100" s="2" t="s">
        <v>14942</v>
      </c>
      <c r="G1100" s="2" t="n">
        <v>212247</v>
      </c>
      <c r="H1100" s="3" t="str">
        <f>HYPERLINK("http://funmeta.oebiotech.com/network/212247", "http://funmeta.oebiotech.com/network/212247")</f>
      </c>
      <c r="I1100" s="2" t="s">
        <v>14943</v>
      </c>
      <c r="J1100" s="2"/>
      <c r="K1100" s="2"/>
      <c r="L1100" s="2"/>
      <c r="M1100" s="2"/>
      <c r="N1100" s="2"/>
      <c r="O1100" s="2"/>
      <c r="P1100" s="2" t="s">
        <v>14944</v>
      </c>
      <c r="Q1100" s="2" t="s">
        <v>14945</v>
      </c>
      <c r="R1100" s="2" t="s">
        <v>502</v>
      </c>
      <c r="S1100" s="2" t="s">
        <v>503</v>
      </c>
      <c r="T1100" s="2" t="s">
        <v>205</v>
      </c>
      <c r="U1100" s="2" t="s">
        <v>8534</v>
      </c>
      <c r="V1100" s="2" t="s">
        <v>1019</v>
      </c>
      <c r="W1100" s="2"/>
    </row>
    <row r="1101">
      <c r="A1101" s="2" t="n">
        <v>793</v>
      </c>
      <c r="B1101" s="2" t="s">
        <v>14946</v>
      </c>
      <c r="C1101" s="2" t="s">
        <v>8533</v>
      </c>
      <c r="D1101" s="2" t="n">
        <v>769.516111982</v>
      </c>
      <c r="E1101" s="2" t="n">
        <v>1.69629292089068</v>
      </c>
      <c r="F1101" s="2" t="s">
        <v>14947</v>
      </c>
      <c r="G1101" s="2" t="n">
        <v>198520</v>
      </c>
      <c r="H1101" s="3" t="str">
        <f>HYPERLINK("http://funmeta.oebiotech.com/network/198520", "http://funmeta.oebiotech.com/network/198520")</f>
      </c>
      <c r="I1101" s="2" t="s">
        <v>14948</v>
      </c>
      <c r="J1101" s="2" t="s">
        <v>14949</v>
      </c>
      <c r="K1101" s="2"/>
      <c r="L1101" s="2"/>
      <c r="M1101" s="2"/>
      <c r="N1101" s="2" t="s">
        <v>14950</v>
      </c>
      <c r="O1101" s="2"/>
      <c r="P1101" s="2" t="s">
        <v>14951</v>
      </c>
      <c r="Q1101" s="2" t="s">
        <v>14952</v>
      </c>
      <c r="R1101" s="2" t="s">
        <v>49</v>
      </c>
      <c r="S1101" s="2" t="s">
        <v>165</v>
      </c>
      <c r="T1101" s="2" t="s">
        <v>166</v>
      </c>
      <c r="U1101" s="2" t="s">
        <v>8534</v>
      </c>
      <c r="V1101" s="2" t="s">
        <v>1019</v>
      </c>
      <c r="W1101" s="2"/>
    </row>
    <row r="1102">
      <c r="A1102" s="2" t="n">
        <v>794</v>
      </c>
      <c r="B1102" s="2" t="s">
        <v>14953</v>
      </c>
      <c r="C1102" s="2" t="s">
        <v>8542</v>
      </c>
      <c r="D1102" s="2" t="n">
        <v>770.495351649</v>
      </c>
      <c r="E1102" s="2" t="n">
        <v>4.66873948793058</v>
      </c>
      <c r="F1102" s="2" t="s">
        <v>8544</v>
      </c>
      <c r="G1102" s="2" t="n">
        <v>22175</v>
      </c>
      <c r="H1102" s="3" t="str">
        <f>HYPERLINK("http://funmeta.oebiotech.com/network/22175", "http://funmeta.oebiotech.com/network/22175")</f>
      </c>
      <c r="I1102" s="2" t="s">
        <v>8546</v>
      </c>
      <c r="J1102" s="2" t="s">
        <v>8547</v>
      </c>
      <c r="K1102" s="2" t="s">
        <v>8548</v>
      </c>
      <c r="L1102" s="2"/>
      <c r="M1102" s="2"/>
      <c r="N1102" s="2" t="s">
        <v>8549</v>
      </c>
      <c r="O1102" s="2"/>
      <c r="P1102" s="2" t="s">
        <v>8550</v>
      </c>
      <c r="Q1102" s="2" t="s">
        <v>8551</v>
      </c>
      <c r="R1102" s="2" t="s">
        <v>1490</v>
      </c>
      <c r="S1102" s="2" t="s">
        <v>4236</v>
      </c>
      <c r="T1102" s="2" t="s">
        <v>8380</v>
      </c>
      <c r="U1102" s="2" t="s">
        <v>8543</v>
      </c>
      <c r="V1102" s="2" t="s">
        <v>360</v>
      </c>
      <c r="W1102" s="2"/>
    </row>
    <row r="1103">
      <c r="A1103" s="2" t="n">
        <v>795</v>
      </c>
      <c r="B1103" s="2" t="s">
        <v>14954</v>
      </c>
      <c r="C1103" s="2" t="s">
        <v>8552</v>
      </c>
      <c r="D1103" s="2" t="n">
        <v>771.518155373</v>
      </c>
      <c r="E1103" s="2" t="n">
        <v>0.815331190282152</v>
      </c>
      <c r="F1103" s="2" t="s">
        <v>14955</v>
      </c>
      <c r="G1103" s="2" t="n">
        <v>25121</v>
      </c>
      <c r="H1103" s="3" t="str">
        <f>HYPERLINK("http://funmeta.oebiotech.com/network/25121", "http://funmeta.oebiotech.com/network/25121")</f>
      </c>
      <c r="I1103" s="2" t="s">
        <v>14956</v>
      </c>
      <c r="J1103" s="2" t="s">
        <v>14957</v>
      </c>
      <c r="K1103" s="2" t="s">
        <v>14958</v>
      </c>
      <c r="L1103" s="2"/>
      <c r="M1103" s="2"/>
      <c r="N1103" s="2" t="s">
        <v>14959</v>
      </c>
      <c r="O1103" s="2"/>
      <c r="P1103" s="2" t="s">
        <v>14960</v>
      </c>
      <c r="Q1103" s="2" t="s">
        <v>14961</v>
      </c>
      <c r="R1103" s="2" t="s">
        <v>1490</v>
      </c>
      <c r="S1103" s="2" t="s">
        <v>4236</v>
      </c>
      <c r="T1103" s="2" t="s">
        <v>5175</v>
      </c>
      <c r="U1103" s="2" t="s">
        <v>8553</v>
      </c>
      <c r="V1103" s="2" t="s">
        <v>24</v>
      </c>
      <c r="W1103" s="2"/>
    </row>
    <row r="1104">
      <c r="A1104" s="2" t="n">
        <v>795</v>
      </c>
      <c r="B1104" s="2" t="s">
        <v>14962</v>
      </c>
      <c r="C1104" s="2" t="s">
        <v>8552</v>
      </c>
      <c r="D1104" s="2" t="n">
        <v>771.518155373</v>
      </c>
      <c r="E1104" s="2" t="n">
        <v>0.815331190282152</v>
      </c>
      <c r="F1104" s="2" t="s">
        <v>14963</v>
      </c>
      <c r="G1104" s="2" t="n">
        <v>25784</v>
      </c>
      <c r="H1104" s="3" t="str">
        <f>HYPERLINK("http://funmeta.oebiotech.com/network/25784", "http://funmeta.oebiotech.com/network/25784")</f>
      </c>
      <c r="I1104" s="2" t="s">
        <v>14964</v>
      </c>
      <c r="J1104" s="2" t="s">
        <v>14965</v>
      </c>
      <c r="K1104" s="2" t="s">
        <v>14966</v>
      </c>
      <c r="L1104" s="2"/>
      <c r="M1104" s="2"/>
      <c r="N1104" s="2" t="s">
        <v>14967</v>
      </c>
      <c r="O1104" s="2"/>
      <c r="P1104" s="2" t="s">
        <v>14968</v>
      </c>
      <c r="Q1104" s="2" t="s">
        <v>14969</v>
      </c>
      <c r="R1104" s="2" t="s">
        <v>1490</v>
      </c>
      <c r="S1104" s="2" t="s">
        <v>4236</v>
      </c>
      <c r="T1104" s="2" t="s">
        <v>5175</v>
      </c>
      <c r="U1104" s="2" t="s">
        <v>8553</v>
      </c>
      <c r="V1104" s="2" t="s">
        <v>24</v>
      </c>
      <c r="W1104" s="2"/>
    </row>
    <row r="1105">
      <c r="A1105" s="2" t="n">
        <v>796</v>
      </c>
      <c r="B1105" s="2" t="s">
        <v>14970</v>
      </c>
      <c r="C1105" s="2" t="s">
        <v>8562</v>
      </c>
      <c r="D1105" s="2" t="n">
        <v>773.533805437</v>
      </c>
      <c r="E1105" s="2" t="n">
        <v>8.6608149484835</v>
      </c>
      <c r="F1105" s="2" t="s">
        <v>14971</v>
      </c>
      <c r="G1105" s="2" t="n">
        <v>134893</v>
      </c>
      <c r="H1105" s="3" t="str">
        <f>HYPERLINK("http://funmeta.oebiotech.com/network/134893", "http://funmeta.oebiotech.com/network/134893")</f>
      </c>
      <c r="I1105" s="2" t="s">
        <v>14972</v>
      </c>
      <c r="J1105" s="2"/>
      <c r="K1105" s="2"/>
      <c r="L1105" s="2"/>
      <c r="M1105" s="2"/>
      <c r="N1105" s="2" t="s">
        <v>14973</v>
      </c>
      <c r="O1105" s="2"/>
      <c r="P1105" s="2" t="s">
        <v>14974</v>
      </c>
      <c r="Q1105" s="2" t="s">
        <v>14975</v>
      </c>
      <c r="R1105" s="2" t="s">
        <v>1490</v>
      </c>
      <c r="S1105" s="2" t="s">
        <v>4236</v>
      </c>
      <c r="T1105" s="2" t="s">
        <v>5175</v>
      </c>
      <c r="U1105" s="2" t="s">
        <v>8563</v>
      </c>
      <c r="V1105" s="2" t="s">
        <v>24</v>
      </c>
      <c r="W1105" s="2"/>
    </row>
    <row r="1106">
      <c r="A1106" s="2" t="n">
        <v>796</v>
      </c>
      <c r="B1106" s="2" t="s">
        <v>14976</v>
      </c>
      <c r="C1106" s="2" t="s">
        <v>8562</v>
      </c>
      <c r="D1106" s="2" t="n">
        <v>773.533805437</v>
      </c>
      <c r="E1106" s="2" t="n">
        <v>8.6608149484835</v>
      </c>
      <c r="F1106" s="2" t="s">
        <v>14977</v>
      </c>
      <c r="G1106" s="2" t="n">
        <v>25864</v>
      </c>
      <c r="H1106" s="3" t="str">
        <f>HYPERLINK("http://funmeta.oebiotech.com/network/25864", "http://funmeta.oebiotech.com/network/25864")</f>
      </c>
      <c r="I1106" s="2" t="s">
        <v>14978</v>
      </c>
      <c r="J1106" s="2" t="s">
        <v>14979</v>
      </c>
      <c r="K1106" s="2" t="s">
        <v>14980</v>
      </c>
      <c r="L1106" s="2"/>
      <c r="M1106" s="2"/>
      <c r="N1106" s="2" t="s">
        <v>14981</v>
      </c>
      <c r="O1106" s="2"/>
      <c r="P1106" s="2" t="s">
        <v>14982</v>
      </c>
      <c r="Q1106" s="2" t="s">
        <v>14983</v>
      </c>
      <c r="R1106" s="2" t="s">
        <v>1490</v>
      </c>
      <c r="S1106" s="2" t="s">
        <v>4236</v>
      </c>
      <c r="T1106" s="2" t="s">
        <v>5175</v>
      </c>
      <c r="U1106" s="2" t="s">
        <v>8563</v>
      </c>
      <c r="V1106" s="2" t="s">
        <v>24</v>
      </c>
      <c r="W1106" s="2"/>
    </row>
    <row r="1107">
      <c r="A1107" s="2" t="n">
        <v>797</v>
      </c>
      <c r="B1107" s="2" t="s">
        <v>14984</v>
      </c>
      <c r="C1107" s="2" t="s">
        <v>8572</v>
      </c>
      <c r="D1107" s="2" t="n">
        <v>774.2234986</v>
      </c>
      <c r="E1107" s="2" t="n">
        <v>0.724581067407517</v>
      </c>
      <c r="F1107" s="2" t="s">
        <v>8574</v>
      </c>
      <c r="G1107" s="2" t="n">
        <v>208584</v>
      </c>
      <c r="H1107" s="3" t="str">
        <f>HYPERLINK("http://funmeta.oebiotech.com/network/208584", "http://funmeta.oebiotech.com/network/208584")</f>
      </c>
      <c r="I1107" s="2" t="s">
        <v>8576</v>
      </c>
      <c r="J1107" s="2"/>
      <c r="K1107" s="2"/>
      <c r="L1107" s="2"/>
      <c r="M1107" s="2"/>
      <c r="N1107" s="2" t="s">
        <v>8577</v>
      </c>
      <c r="O1107" s="2"/>
      <c r="P1107" s="2" t="s">
        <v>8578</v>
      </c>
      <c r="Q1107" s="2" t="s">
        <v>8579</v>
      </c>
      <c r="R1107" s="2" t="s">
        <v>2509</v>
      </c>
      <c r="S1107" s="2" t="s">
        <v>8580</v>
      </c>
      <c r="T1107" s="2" t="s">
        <v>205</v>
      </c>
      <c r="U1107" s="2" t="s">
        <v>8573</v>
      </c>
      <c r="V1107" s="2" t="s">
        <v>250</v>
      </c>
      <c r="W1107" s="2"/>
    </row>
    <row r="1108">
      <c r="A1108" s="2" t="n">
        <v>798</v>
      </c>
      <c r="B1108" s="2" t="s">
        <v>14985</v>
      </c>
      <c r="C1108" s="2" t="s">
        <v>8581</v>
      </c>
      <c r="D1108" s="2" t="n">
        <v>775.208227</v>
      </c>
      <c r="E1108" s="2" t="n">
        <v>1.50489678177813</v>
      </c>
      <c r="F1108" s="2" t="s">
        <v>8583</v>
      </c>
      <c r="G1108" s="2" t="n">
        <v>204883</v>
      </c>
      <c r="H1108" s="3" t="str">
        <f>HYPERLINK("http://funmeta.oebiotech.com/network/204883", "http://funmeta.oebiotech.com/network/204883")</f>
      </c>
      <c r="I1108" s="2" t="s">
        <v>8585</v>
      </c>
      <c r="J1108" s="2"/>
      <c r="K1108" s="2"/>
      <c r="L1108" s="2"/>
      <c r="M1108" s="2"/>
      <c r="N1108" s="2" t="s">
        <v>8586</v>
      </c>
      <c r="O1108" s="2"/>
      <c r="P1108" s="2" t="s">
        <v>8587</v>
      </c>
      <c r="Q1108" s="2" t="s">
        <v>8588</v>
      </c>
      <c r="R1108" s="2" t="s">
        <v>2509</v>
      </c>
      <c r="S1108" s="2" t="s">
        <v>2840</v>
      </c>
      <c r="T1108" s="2" t="s">
        <v>8589</v>
      </c>
      <c r="U1108" s="2" t="s">
        <v>8582</v>
      </c>
      <c r="V1108" s="2" t="s">
        <v>1019</v>
      </c>
      <c r="W1108" s="2"/>
    </row>
    <row r="1109">
      <c r="A1109" s="2" t="n">
        <v>799</v>
      </c>
      <c r="B1109" s="2" t="s">
        <v>14986</v>
      </c>
      <c r="C1109" s="2" t="s">
        <v>8590</v>
      </c>
      <c r="D1109" s="2" t="n">
        <v>775.442672268</v>
      </c>
      <c r="E1109" s="2" t="n">
        <v>1.35263981569655</v>
      </c>
      <c r="F1109" s="2" t="s">
        <v>8592</v>
      </c>
      <c r="G1109" s="2" t="n">
        <v>82610</v>
      </c>
      <c r="H1109" s="3" t="str">
        <f>HYPERLINK("http://funmeta.oebiotech.com/network/82610", "http://funmeta.oebiotech.com/network/82610")</f>
      </c>
      <c r="I1109" s="2" t="s">
        <v>8594</v>
      </c>
      <c r="J1109" s="2"/>
      <c r="K1109" s="2"/>
      <c r="L1109" s="2" t="s">
        <v>8595</v>
      </c>
      <c r="M1109" s="2" t="s">
        <v>8596</v>
      </c>
      <c r="N1109" s="2" t="s">
        <v>8597</v>
      </c>
      <c r="O1109" s="2"/>
      <c r="P1109" s="2" t="s">
        <v>8598</v>
      </c>
      <c r="Q1109" s="2" t="s">
        <v>8599</v>
      </c>
      <c r="R1109" s="2" t="s">
        <v>1490</v>
      </c>
      <c r="S1109" s="2" t="s">
        <v>3546</v>
      </c>
      <c r="T1109" s="2" t="s">
        <v>8600</v>
      </c>
      <c r="U1109" s="2" t="s">
        <v>8591</v>
      </c>
      <c r="V1109" s="2" t="s">
        <v>1019</v>
      </c>
      <c r="W1109" s="2" t="s">
        <v>39</v>
      </c>
    </row>
    <row r="1110">
      <c r="A1110" s="2" t="n">
        <v>800</v>
      </c>
      <c r="B1110" s="2" t="s">
        <v>14987</v>
      </c>
      <c r="C1110" s="2" t="s">
        <v>8601</v>
      </c>
      <c r="D1110" s="2" t="n">
        <v>776.523578925</v>
      </c>
      <c r="E1110" s="2" t="n">
        <v>4.53031130174705</v>
      </c>
      <c r="F1110" s="2" t="s">
        <v>8603</v>
      </c>
      <c r="G1110" s="2" t="n">
        <v>18221</v>
      </c>
      <c r="H1110" s="3" t="str">
        <f>HYPERLINK("http://funmeta.oebiotech.com/network/18221", "http://funmeta.oebiotech.com/network/18221")</f>
      </c>
      <c r="I1110" s="2" t="s">
        <v>8605</v>
      </c>
      <c r="J1110" s="2" t="s">
        <v>8606</v>
      </c>
      <c r="K1110" s="2" t="s">
        <v>8607</v>
      </c>
      <c r="L1110" s="2" t="s">
        <v>8608</v>
      </c>
      <c r="M1110" s="2" t="s">
        <v>8609</v>
      </c>
      <c r="N1110" s="2" t="s">
        <v>8610</v>
      </c>
      <c r="O1110" s="2"/>
      <c r="P1110" s="2" t="s">
        <v>8611</v>
      </c>
      <c r="Q1110" s="2" t="s">
        <v>8612</v>
      </c>
      <c r="R1110" s="2" t="s">
        <v>1490</v>
      </c>
      <c r="S1110" s="2" t="s">
        <v>4236</v>
      </c>
      <c r="T1110" s="2" t="s">
        <v>8613</v>
      </c>
      <c r="U1110" s="2" t="s">
        <v>8602</v>
      </c>
      <c r="V1110" s="2" t="s">
        <v>110</v>
      </c>
      <c r="W1110" s="2" t="s">
        <v>39</v>
      </c>
    </row>
    <row r="1111">
      <c r="A1111" s="2" t="n">
        <v>801</v>
      </c>
      <c r="B1111" s="2" t="s">
        <v>14988</v>
      </c>
      <c r="C1111" s="2" t="s">
        <v>8614</v>
      </c>
      <c r="D1111" s="2" t="n">
        <v>777.2180247</v>
      </c>
      <c r="E1111" s="2" t="n">
        <v>1.41337621807488</v>
      </c>
      <c r="F1111" s="2" t="s">
        <v>14989</v>
      </c>
      <c r="G1111" s="2" t="n">
        <v>47196</v>
      </c>
      <c r="H1111" s="3" t="str">
        <f>HYPERLINK("http://funmeta.oebiotech.com/network/47196", "http://funmeta.oebiotech.com/network/47196")</f>
      </c>
      <c r="I1111" s="2" t="s">
        <v>14990</v>
      </c>
      <c r="J1111" s="2" t="s">
        <v>14991</v>
      </c>
      <c r="K1111" s="2"/>
      <c r="L1111" s="2"/>
      <c r="M1111" s="2"/>
      <c r="N1111" s="2"/>
      <c r="O1111" s="2" t="s">
        <v>14992</v>
      </c>
      <c r="P1111" s="2" t="s">
        <v>14993</v>
      </c>
      <c r="Q1111" s="2" t="s">
        <v>14994</v>
      </c>
      <c r="R1111" s="2" t="s">
        <v>355</v>
      </c>
      <c r="S1111" s="2" t="s">
        <v>14592</v>
      </c>
      <c r="T1111" s="2" t="s">
        <v>14593</v>
      </c>
      <c r="U1111" s="2" t="s">
        <v>8615</v>
      </c>
      <c r="V1111" s="2" t="s">
        <v>522</v>
      </c>
      <c r="W1111" s="2"/>
    </row>
    <row r="1112">
      <c r="A1112" s="2" t="n">
        <v>801</v>
      </c>
      <c r="B1112" s="2" t="s">
        <v>14995</v>
      </c>
      <c r="C1112" s="2" t="s">
        <v>8614</v>
      </c>
      <c r="D1112" s="2" t="n">
        <v>777.2180247</v>
      </c>
      <c r="E1112" s="2" t="n">
        <v>1.41337621807488</v>
      </c>
      <c r="F1112" s="2" t="s">
        <v>14996</v>
      </c>
      <c r="G1112" s="2" t="n">
        <v>47217</v>
      </c>
      <c r="H1112" s="3" t="str">
        <f>HYPERLINK("http://funmeta.oebiotech.com/network/47217", "http://funmeta.oebiotech.com/network/47217")</f>
      </c>
      <c r="I1112" s="2" t="s">
        <v>14997</v>
      </c>
      <c r="J1112" s="2" t="s">
        <v>14998</v>
      </c>
      <c r="K1112" s="2"/>
      <c r="L1112" s="2"/>
      <c r="M1112" s="2"/>
      <c r="N1112" s="2"/>
      <c r="O1112" s="2" t="s">
        <v>14999</v>
      </c>
      <c r="P1112" s="2" t="s">
        <v>15000</v>
      </c>
      <c r="Q1112" s="2" t="s">
        <v>15001</v>
      </c>
      <c r="R1112" s="2" t="s">
        <v>355</v>
      </c>
      <c r="S1112" s="2" t="s">
        <v>14592</v>
      </c>
      <c r="T1112" s="2" t="s">
        <v>14593</v>
      </c>
      <c r="U1112" s="2" t="s">
        <v>8615</v>
      </c>
      <c r="V1112" s="2" t="s">
        <v>522</v>
      </c>
      <c r="W1112" s="2"/>
    </row>
    <row r="1113">
      <c r="A1113" s="2" t="n">
        <v>801</v>
      </c>
      <c r="B1113" s="2" t="s">
        <v>15002</v>
      </c>
      <c r="C1113" s="2" t="s">
        <v>8614</v>
      </c>
      <c r="D1113" s="2" t="n">
        <v>777.2180247</v>
      </c>
      <c r="E1113" s="2" t="n">
        <v>1.41337621807488</v>
      </c>
      <c r="F1113" s="2" t="s">
        <v>15003</v>
      </c>
      <c r="G1113" s="2" t="n">
        <v>47734</v>
      </c>
      <c r="H1113" s="3" t="str">
        <f>HYPERLINK("http://funmeta.oebiotech.com/network/47734", "http://funmeta.oebiotech.com/network/47734")</f>
      </c>
      <c r="I1113" s="2" t="s">
        <v>15004</v>
      </c>
      <c r="J1113" s="2" t="s">
        <v>15005</v>
      </c>
      <c r="K1113" s="2"/>
      <c r="L1113" s="2"/>
      <c r="M1113" s="2"/>
      <c r="N1113" s="2"/>
      <c r="O1113" s="2"/>
      <c r="P1113" s="2" t="s">
        <v>15006</v>
      </c>
      <c r="Q1113" s="2" t="s">
        <v>15007</v>
      </c>
      <c r="R1113" s="2" t="s">
        <v>355</v>
      </c>
      <c r="S1113" s="2" t="s">
        <v>14592</v>
      </c>
      <c r="T1113" s="2" t="s">
        <v>14593</v>
      </c>
      <c r="U1113" s="2" t="s">
        <v>8615</v>
      </c>
      <c r="V1113" s="2" t="s">
        <v>522</v>
      </c>
      <c r="W1113" s="2"/>
    </row>
    <row r="1114">
      <c r="A1114" s="2" t="n">
        <v>802</v>
      </c>
      <c r="B1114" s="2" t="s">
        <v>15008</v>
      </c>
      <c r="C1114" s="2" t="s">
        <v>8625</v>
      </c>
      <c r="D1114" s="2" t="n">
        <v>777.485915309</v>
      </c>
      <c r="E1114" s="2" t="n">
        <v>3.3394377116355</v>
      </c>
      <c r="F1114" s="2" t="s">
        <v>8627</v>
      </c>
      <c r="G1114" s="2" t="n">
        <v>24941</v>
      </c>
      <c r="H1114" s="3" t="str">
        <f>HYPERLINK("http://funmeta.oebiotech.com/network/24941", "http://funmeta.oebiotech.com/network/24941")</f>
      </c>
      <c r="I1114" s="2" t="s">
        <v>8629</v>
      </c>
      <c r="J1114" s="2" t="s">
        <v>8630</v>
      </c>
      <c r="K1114" s="2" t="s">
        <v>8631</v>
      </c>
      <c r="L1114" s="2"/>
      <c r="M1114" s="2"/>
      <c r="N1114" s="2" t="s">
        <v>8632</v>
      </c>
      <c r="O1114" s="2"/>
      <c r="P1114" s="2" t="s">
        <v>8633</v>
      </c>
      <c r="Q1114" s="2" t="s">
        <v>8634</v>
      </c>
      <c r="R1114" s="2" t="s">
        <v>1490</v>
      </c>
      <c r="S1114" s="2" t="s">
        <v>4236</v>
      </c>
      <c r="T1114" s="2" t="s">
        <v>5175</v>
      </c>
      <c r="U1114" s="2" t="s">
        <v>8626</v>
      </c>
      <c r="V1114" s="2" t="s">
        <v>42</v>
      </c>
      <c r="W1114" s="2"/>
    </row>
    <row r="1115">
      <c r="A1115" s="2" t="n">
        <v>803</v>
      </c>
      <c r="B1115" s="2" t="s">
        <v>15009</v>
      </c>
      <c r="C1115" s="2" t="s">
        <v>8635</v>
      </c>
      <c r="D1115" s="2" t="n">
        <v>778.127575141</v>
      </c>
      <c r="E1115" s="2" t="n">
        <v>8.96521540166363</v>
      </c>
      <c r="F1115" s="2" t="s">
        <v>8637</v>
      </c>
      <c r="G1115" s="2" t="n">
        <v>213282</v>
      </c>
      <c r="H1115" s="3" t="str">
        <f>HYPERLINK("http://funmeta.oebiotech.com/network/213282", "http://funmeta.oebiotech.com/network/213282")</f>
      </c>
      <c r="I1115" s="2" t="s">
        <v>8639</v>
      </c>
      <c r="J1115" s="2"/>
      <c r="K1115" s="2"/>
      <c r="L1115" s="2"/>
      <c r="M1115" s="2"/>
      <c r="N1115" s="2" t="s">
        <v>8640</v>
      </c>
      <c r="O1115" s="2"/>
      <c r="P1115" s="2" t="s">
        <v>8641</v>
      </c>
      <c r="Q1115" s="2" t="s">
        <v>8642</v>
      </c>
      <c r="R1115" s="2" t="s">
        <v>2509</v>
      </c>
      <c r="S1115" s="2" t="s">
        <v>4367</v>
      </c>
      <c r="T1115" s="2" t="s">
        <v>205</v>
      </c>
      <c r="U1115" s="2" t="s">
        <v>8636</v>
      </c>
      <c r="V1115" s="2" t="s">
        <v>250</v>
      </c>
      <c r="W1115" s="2"/>
    </row>
    <row r="1116">
      <c r="A1116" s="2" t="n">
        <v>804</v>
      </c>
      <c r="B1116" s="2" t="s">
        <v>15010</v>
      </c>
      <c r="C1116" s="2" t="s">
        <v>8643</v>
      </c>
      <c r="D1116" s="2" t="n">
        <v>778.502843965</v>
      </c>
      <c r="E1116" s="2" t="n">
        <v>3.75657833495334</v>
      </c>
      <c r="F1116" s="2" t="s">
        <v>8645</v>
      </c>
      <c r="G1116" s="2" t="n">
        <v>27876</v>
      </c>
      <c r="H1116" s="3" t="str">
        <f>HYPERLINK("http://funmeta.oebiotech.com/network/27876", "http://funmeta.oebiotech.com/network/27876")</f>
      </c>
      <c r="I1116" s="2" t="s">
        <v>8647</v>
      </c>
      <c r="J1116" s="2" t="s">
        <v>8648</v>
      </c>
      <c r="K1116" s="2" t="s">
        <v>8649</v>
      </c>
      <c r="L1116" s="2"/>
      <c r="M1116" s="2"/>
      <c r="N1116" s="2" t="s">
        <v>8650</v>
      </c>
      <c r="O1116" s="2"/>
      <c r="P1116" s="2" t="s">
        <v>8651</v>
      </c>
      <c r="Q1116" s="2" t="s">
        <v>8652</v>
      </c>
      <c r="R1116" s="2" t="s">
        <v>1490</v>
      </c>
      <c r="S1116" s="2" t="s">
        <v>4236</v>
      </c>
      <c r="T1116" s="2" t="s">
        <v>5369</v>
      </c>
      <c r="U1116" s="2" t="s">
        <v>8644</v>
      </c>
      <c r="V1116" s="2" t="s">
        <v>110</v>
      </c>
      <c r="W1116" s="2"/>
    </row>
    <row r="1117">
      <c r="A1117" s="2" t="n">
        <v>805</v>
      </c>
      <c r="B1117" s="2" t="s">
        <v>15011</v>
      </c>
      <c r="C1117" s="2" t="s">
        <v>8653</v>
      </c>
      <c r="D1117" s="2" t="n">
        <v>783.161996522</v>
      </c>
      <c r="E1117" s="2" t="n">
        <v>9.67828271119536</v>
      </c>
      <c r="F1117" s="2" t="s">
        <v>15012</v>
      </c>
      <c r="G1117" s="2" t="n">
        <v>62617</v>
      </c>
      <c r="H1117" s="3" t="str">
        <f>HYPERLINK("http://funmeta.oebiotech.com/network/62617", "http://funmeta.oebiotech.com/network/62617")</f>
      </c>
      <c r="I1117" s="2" t="s">
        <v>15013</v>
      </c>
      <c r="J1117" s="2" t="s">
        <v>15014</v>
      </c>
      <c r="K1117" s="2"/>
      <c r="L1117" s="2"/>
      <c r="M1117" s="2"/>
      <c r="N1117" s="2" t="s">
        <v>15015</v>
      </c>
      <c r="O1117" s="2" t="s">
        <v>15016</v>
      </c>
      <c r="P1117" s="2" t="s">
        <v>15017</v>
      </c>
      <c r="Q1117" s="2" t="s">
        <v>15018</v>
      </c>
      <c r="R1117" s="2" t="s">
        <v>2509</v>
      </c>
      <c r="S1117" s="2" t="s">
        <v>5520</v>
      </c>
      <c r="T1117" s="2" t="s">
        <v>5664</v>
      </c>
      <c r="U1117" s="2" t="s">
        <v>8654</v>
      </c>
      <c r="V1117" s="2" t="s">
        <v>42</v>
      </c>
      <c r="W1117" s="2"/>
    </row>
    <row r="1118">
      <c r="A1118" s="2" t="n">
        <v>805</v>
      </c>
      <c r="B1118" s="2" t="s">
        <v>15019</v>
      </c>
      <c r="C1118" s="2" t="s">
        <v>8653</v>
      </c>
      <c r="D1118" s="2" t="n">
        <v>783.161996522</v>
      </c>
      <c r="E1118" s="2" t="n">
        <v>9.67828271119536</v>
      </c>
      <c r="F1118" s="2" t="s">
        <v>15020</v>
      </c>
      <c r="G1118" s="2" t="n">
        <v>60742</v>
      </c>
      <c r="H1118" s="3" t="str">
        <f>HYPERLINK("http://funmeta.oebiotech.com/network/60742", "http://funmeta.oebiotech.com/network/60742")</f>
      </c>
      <c r="I1118" s="2" t="s">
        <v>15021</v>
      </c>
      <c r="J1118" s="2" t="s">
        <v>15022</v>
      </c>
      <c r="K1118" s="2"/>
      <c r="L1118" s="2"/>
      <c r="M1118" s="2" t="s">
        <v>15023</v>
      </c>
      <c r="N1118" s="2" t="s">
        <v>15024</v>
      </c>
      <c r="O1118" s="2"/>
      <c r="P1118" s="2" t="s">
        <v>15025</v>
      </c>
      <c r="Q1118" s="2" t="s">
        <v>15026</v>
      </c>
      <c r="R1118" s="2" t="s">
        <v>2509</v>
      </c>
      <c r="S1118" s="2" t="s">
        <v>5520</v>
      </c>
      <c r="T1118" s="2" t="s">
        <v>5664</v>
      </c>
      <c r="U1118" s="2" t="s">
        <v>8654</v>
      </c>
      <c r="V1118" s="2" t="s">
        <v>42</v>
      </c>
      <c r="W1118" s="2"/>
    </row>
    <row r="1119">
      <c r="A1119" s="2" t="n">
        <v>805</v>
      </c>
      <c r="B1119" s="2" t="s">
        <v>15027</v>
      </c>
      <c r="C1119" s="2" t="s">
        <v>8653</v>
      </c>
      <c r="D1119" s="2" t="n">
        <v>783.161996522</v>
      </c>
      <c r="E1119" s="2" t="n">
        <v>9.67828271119536</v>
      </c>
      <c r="F1119" s="2" t="s">
        <v>15028</v>
      </c>
      <c r="G1119" s="2" t="n">
        <v>256022</v>
      </c>
      <c r="H1119" s="3" t="str">
        <f>HYPERLINK("http://funmeta.oebiotech.com/network/256022", "http://funmeta.oebiotech.com/network/256022")</f>
      </c>
      <c r="I1119" s="2" t="s">
        <v>15029</v>
      </c>
      <c r="J1119" s="2"/>
      <c r="K1119" s="2"/>
      <c r="L1119" s="2"/>
      <c r="M1119" s="2"/>
      <c r="N1119" s="2"/>
      <c r="O1119" s="2"/>
      <c r="P1119" s="2" t="s">
        <v>15030</v>
      </c>
      <c r="Q1119" s="2" t="s">
        <v>15031</v>
      </c>
      <c r="R1119" s="2" t="s">
        <v>2509</v>
      </c>
      <c r="S1119" s="2" t="s">
        <v>5520</v>
      </c>
      <c r="T1119" s="2" t="s">
        <v>5664</v>
      </c>
      <c r="U1119" s="2" t="s">
        <v>8654</v>
      </c>
      <c r="V1119" s="2" t="s">
        <v>42</v>
      </c>
      <c r="W1119" s="2"/>
    </row>
    <row r="1120">
      <c r="A1120" s="2" t="n">
        <v>806</v>
      </c>
      <c r="B1120" s="2" t="s">
        <v>15032</v>
      </c>
      <c r="C1120" s="2" t="s">
        <v>8664</v>
      </c>
      <c r="D1120" s="2" t="n">
        <v>785.144722426</v>
      </c>
      <c r="E1120" s="2" t="n">
        <v>7.47560749399733</v>
      </c>
      <c r="F1120" s="2" t="s">
        <v>8666</v>
      </c>
      <c r="G1120" s="2" t="n">
        <v>206839</v>
      </c>
      <c r="H1120" s="3" t="str">
        <f>HYPERLINK("http://funmeta.oebiotech.com/network/206839", "http://funmeta.oebiotech.com/network/206839")</f>
      </c>
      <c r="I1120" s="2" t="s">
        <v>8668</v>
      </c>
      <c r="J1120" s="2"/>
      <c r="K1120" s="2"/>
      <c r="L1120" s="2"/>
      <c r="M1120" s="2" t="s">
        <v>8669</v>
      </c>
      <c r="N1120" s="2" t="s">
        <v>8670</v>
      </c>
      <c r="O1120" s="2"/>
      <c r="P1120" s="2" t="s">
        <v>8671</v>
      </c>
      <c r="Q1120" s="2" t="s">
        <v>8672</v>
      </c>
      <c r="R1120" s="2" t="s">
        <v>355</v>
      </c>
      <c r="S1120" s="2" t="s">
        <v>5537</v>
      </c>
      <c r="T1120" s="2" t="s">
        <v>5538</v>
      </c>
      <c r="U1120" s="2" t="s">
        <v>8665</v>
      </c>
      <c r="V1120" s="2" t="s">
        <v>24</v>
      </c>
      <c r="W1120" s="2"/>
    </row>
    <row r="1121">
      <c r="A1121" s="2" t="n">
        <v>807</v>
      </c>
      <c r="B1121" s="2" t="s">
        <v>15033</v>
      </c>
      <c r="C1121" s="2" t="s">
        <v>8673</v>
      </c>
      <c r="D1121" s="2" t="n">
        <v>786.565439431</v>
      </c>
      <c r="E1121" s="2" t="n">
        <v>6.34707605586655</v>
      </c>
      <c r="F1121" s="2" t="s">
        <v>8675</v>
      </c>
      <c r="G1121" s="2" t="n">
        <v>49599</v>
      </c>
      <c r="H1121" s="3" t="str">
        <f>HYPERLINK("http://funmeta.oebiotech.com/network/49599", "http://funmeta.oebiotech.com/network/49599")</f>
      </c>
      <c r="I1121" s="2" t="s">
        <v>8677</v>
      </c>
      <c r="J1121" s="2" t="s">
        <v>8678</v>
      </c>
      <c r="K1121" s="2"/>
      <c r="L1121" s="2" t="s">
        <v>8608</v>
      </c>
      <c r="M1121" s="2" t="s">
        <v>8679</v>
      </c>
      <c r="N1121" s="2" t="s">
        <v>8680</v>
      </c>
      <c r="O1121" s="2"/>
      <c r="P1121" s="2" t="s">
        <v>8681</v>
      </c>
      <c r="Q1121" s="2" t="s">
        <v>8682</v>
      </c>
      <c r="R1121" s="2" t="s">
        <v>1490</v>
      </c>
      <c r="S1121" s="2" t="s">
        <v>4236</v>
      </c>
      <c r="T1121" s="2" t="s">
        <v>8613</v>
      </c>
      <c r="U1121" s="2" t="s">
        <v>8674</v>
      </c>
      <c r="V1121" s="2" t="s">
        <v>24</v>
      </c>
      <c r="W1121" s="2" t="s">
        <v>39</v>
      </c>
    </row>
    <row r="1122">
      <c r="A1122" s="2" t="n">
        <v>808</v>
      </c>
      <c r="B1122" s="2" t="s">
        <v>15034</v>
      </c>
      <c r="C1122" s="2" t="s">
        <v>8683</v>
      </c>
      <c r="D1122" s="2" t="n">
        <v>789.18030179</v>
      </c>
      <c r="E1122" s="2" t="n">
        <v>2.69261735755446</v>
      </c>
      <c r="F1122" s="2" t="s">
        <v>8685</v>
      </c>
      <c r="G1122" s="2" t="n">
        <v>61016</v>
      </c>
      <c r="H1122" s="3" t="str">
        <f>HYPERLINK("http://funmeta.oebiotech.com/network/61016", "http://funmeta.oebiotech.com/network/61016")</f>
      </c>
      <c r="I1122" s="2" t="s">
        <v>8687</v>
      </c>
      <c r="J1122" s="2" t="s">
        <v>8688</v>
      </c>
      <c r="K1122" s="2"/>
      <c r="L1122" s="2"/>
      <c r="M1122" s="2"/>
      <c r="N1122" s="2" t="s">
        <v>8689</v>
      </c>
      <c r="O1122" s="2" t="s">
        <v>8690</v>
      </c>
      <c r="P1122" s="2" t="s">
        <v>8691</v>
      </c>
      <c r="Q1122" s="2" t="s">
        <v>8692</v>
      </c>
      <c r="R1122" s="2" t="s">
        <v>2509</v>
      </c>
      <c r="S1122" s="2" t="s">
        <v>5520</v>
      </c>
      <c r="T1122" s="2" t="s">
        <v>5664</v>
      </c>
      <c r="U1122" s="2" t="s">
        <v>8684</v>
      </c>
      <c r="V1122" s="2" t="s">
        <v>522</v>
      </c>
      <c r="W1122" s="2"/>
    </row>
    <row r="1123">
      <c r="A1123" s="2" t="n">
        <v>809</v>
      </c>
      <c r="B1123" s="2" t="s">
        <v>15035</v>
      </c>
      <c r="C1123" s="2" t="s">
        <v>8693</v>
      </c>
      <c r="D1123" s="2" t="n">
        <v>791.527460211</v>
      </c>
      <c r="E1123" s="2" t="n">
        <v>5.36562821322688</v>
      </c>
      <c r="F1123" s="2" t="s">
        <v>8695</v>
      </c>
      <c r="G1123" s="2" t="n">
        <v>204537</v>
      </c>
      <c r="H1123" s="3" t="str">
        <f>HYPERLINK("http://funmeta.oebiotech.com/network/204537", "http://funmeta.oebiotech.com/network/204537")</f>
      </c>
      <c r="I1123" s="2" t="s">
        <v>8697</v>
      </c>
      <c r="J1123" s="2"/>
      <c r="K1123" s="2"/>
      <c r="L1123" s="2"/>
      <c r="M1123" s="2"/>
      <c r="N1123" s="2" t="s">
        <v>8698</v>
      </c>
      <c r="O1123" s="2"/>
      <c r="P1123" s="2" t="s">
        <v>8699</v>
      </c>
      <c r="Q1123" s="2" t="s">
        <v>8700</v>
      </c>
      <c r="R1123" s="2" t="s">
        <v>64</v>
      </c>
      <c r="S1123" s="2" t="s">
        <v>65</v>
      </c>
      <c r="T1123" s="2" t="s">
        <v>66</v>
      </c>
      <c r="U1123" s="2" t="s">
        <v>8694</v>
      </c>
      <c r="V1123" s="2" t="s">
        <v>24</v>
      </c>
      <c r="W1123" s="2"/>
    </row>
    <row r="1124">
      <c r="A1124" s="2" t="n">
        <v>810</v>
      </c>
      <c r="B1124" s="2" t="s">
        <v>15036</v>
      </c>
      <c r="C1124" s="2" t="s">
        <v>8701</v>
      </c>
      <c r="D1124" s="2" t="n">
        <v>793.134317268</v>
      </c>
      <c r="E1124" s="2" t="n">
        <v>4.96150033061461</v>
      </c>
      <c r="F1124" s="2" t="s">
        <v>15037</v>
      </c>
      <c r="G1124" s="2" t="n">
        <v>52545</v>
      </c>
      <c r="H1124" s="3" t="str">
        <f>HYPERLINK("http://funmeta.oebiotech.com/network/52545", "http://funmeta.oebiotech.com/network/52545")</f>
      </c>
      <c r="I1124" s="2" t="s">
        <v>15038</v>
      </c>
      <c r="J1124" s="2" t="s">
        <v>15039</v>
      </c>
      <c r="K1124" s="2"/>
      <c r="L1124" s="2"/>
      <c r="M1124" s="2"/>
      <c r="N1124" s="2" t="s">
        <v>15040</v>
      </c>
      <c r="O1124" s="2" t="s">
        <v>15041</v>
      </c>
      <c r="P1124" s="2" t="s">
        <v>15042</v>
      </c>
      <c r="Q1124" s="2" t="s">
        <v>15043</v>
      </c>
      <c r="R1124" s="2" t="s">
        <v>355</v>
      </c>
      <c r="S1124" s="2" t="s">
        <v>356</v>
      </c>
      <c r="T1124" s="2" t="s">
        <v>5282</v>
      </c>
      <c r="U1124" s="2" t="s">
        <v>8702</v>
      </c>
      <c r="V1124" s="2" t="s">
        <v>1019</v>
      </c>
      <c r="W1124" s="2"/>
    </row>
    <row r="1125">
      <c r="A1125" s="2" t="n">
        <v>810</v>
      </c>
      <c r="B1125" s="2" t="s">
        <v>15044</v>
      </c>
      <c r="C1125" s="2" t="s">
        <v>8701</v>
      </c>
      <c r="D1125" s="2" t="n">
        <v>793.134317972</v>
      </c>
      <c r="E1125" s="2" t="n">
        <v>4.96150033061461</v>
      </c>
      <c r="F1125" s="2" t="s">
        <v>15045</v>
      </c>
      <c r="G1125" s="2" t="n">
        <v>209384</v>
      </c>
      <c r="H1125" s="3" t="str">
        <f>HYPERLINK("http://funmeta.oebiotech.com/network/209384", "http://funmeta.oebiotech.com/network/209384")</f>
      </c>
      <c r="I1125" s="2" t="s">
        <v>15046</v>
      </c>
      <c r="J1125" s="2"/>
      <c r="K1125" s="2"/>
      <c r="L1125" s="2"/>
      <c r="M1125" s="2"/>
      <c r="N1125" s="2" t="s">
        <v>15047</v>
      </c>
      <c r="O1125" s="2"/>
      <c r="P1125" s="2" t="s">
        <v>15048</v>
      </c>
      <c r="Q1125" s="2" t="s">
        <v>15049</v>
      </c>
      <c r="R1125" s="2" t="s">
        <v>355</v>
      </c>
      <c r="S1125" s="2" t="s">
        <v>356</v>
      </c>
      <c r="T1125" s="2" t="s">
        <v>5282</v>
      </c>
      <c r="U1125" s="2" t="s">
        <v>8702</v>
      </c>
      <c r="V1125" s="2" t="s">
        <v>1019</v>
      </c>
      <c r="W1125" s="2"/>
    </row>
    <row r="1126">
      <c r="A1126" s="2" t="n">
        <v>810</v>
      </c>
      <c r="B1126" s="2" t="s">
        <v>15050</v>
      </c>
      <c r="C1126" s="2" t="s">
        <v>8701</v>
      </c>
      <c r="D1126" s="2" t="n">
        <v>793.134317972</v>
      </c>
      <c r="E1126" s="2" t="n">
        <v>4.96150033061461</v>
      </c>
      <c r="F1126" s="2" t="s">
        <v>15051</v>
      </c>
      <c r="G1126" s="2" t="n">
        <v>205690</v>
      </c>
      <c r="H1126" s="3" t="str">
        <f>HYPERLINK("http://funmeta.oebiotech.com/network/205690", "http://funmeta.oebiotech.com/network/205690")</f>
      </c>
      <c r="I1126" s="2" t="s">
        <v>15052</v>
      </c>
      <c r="J1126" s="2" t="s">
        <v>15053</v>
      </c>
      <c r="K1126" s="2"/>
      <c r="L1126" s="2"/>
      <c r="M1126" s="2" t="s">
        <v>15054</v>
      </c>
      <c r="N1126" s="2" t="s">
        <v>15055</v>
      </c>
      <c r="O1126" s="2" t="s">
        <v>15056</v>
      </c>
      <c r="P1126" s="2" t="s">
        <v>15057</v>
      </c>
      <c r="Q1126" s="2" t="s">
        <v>15058</v>
      </c>
      <c r="R1126" s="2" t="s">
        <v>355</v>
      </c>
      <c r="S1126" s="2" t="s">
        <v>356</v>
      </c>
      <c r="T1126" s="2" t="s">
        <v>5282</v>
      </c>
      <c r="U1126" s="2" t="s">
        <v>8702</v>
      </c>
      <c r="V1126" s="2" t="s">
        <v>1019</v>
      </c>
      <c r="W1126" s="2"/>
    </row>
    <row r="1127">
      <c r="A1127" s="2" t="n">
        <v>811</v>
      </c>
      <c r="B1127" s="2" t="s">
        <v>15059</v>
      </c>
      <c r="C1127" s="2" t="s">
        <v>8714</v>
      </c>
      <c r="D1127" s="2" t="n">
        <v>793.506724778</v>
      </c>
      <c r="E1127" s="2" t="n">
        <v>1.71193252977611</v>
      </c>
      <c r="F1127" s="2" t="s">
        <v>8716</v>
      </c>
      <c r="G1127" s="2" t="n">
        <v>52607</v>
      </c>
      <c r="H1127" s="3" t="str">
        <f>HYPERLINK("http://funmeta.oebiotech.com/network/52607", "http://funmeta.oebiotech.com/network/52607")</f>
      </c>
      <c r="I1127" s="2" t="s">
        <v>8718</v>
      </c>
      <c r="J1127" s="2"/>
      <c r="K1127" s="2"/>
      <c r="L1127" s="2" t="s">
        <v>8719</v>
      </c>
      <c r="M1127" s="2" t="s">
        <v>8720</v>
      </c>
      <c r="N1127" s="2" t="s">
        <v>8721</v>
      </c>
      <c r="O1127" s="2" t="s">
        <v>8722</v>
      </c>
      <c r="P1127" s="2" t="s">
        <v>8723</v>
      </c>
      <c r="Q1127" s="2" t="s">
        <v>8724</v>
      </c>
      <c r="R1127" s="2" t="s">
        <v>64</v>
      </c>
      <c r="S1127" s="2" t="s">
        <v>65</v>
      </c>
      <c r="T1127" s="2" t="s">
        <v>66</v>
      </c>
      <c r="U1127" s="2" t="s">
        <v>8715</v>
      </c>
      <c r="V1127" s="2" t="s">
        <v>24</v>
      </c>
      <c r="W1127" s="2" t="s">
        <v>39</v>
      </c>
    </row>
    <row r="1128">
      <c r="A1128" s="2" t="n">
        <v>812</v>
      </c>
      <c r="B1128" s="2" t="s">
        <v>15060</v>
      </c>
      <c r="C1128" s="2" t="s">
        <v>8725</v>
      </c>
      <c r="D1128" s="2" t="n">
        <v>794.512463925</v>
      </c>
      <c r="E1128" s="2" t="n">
        <v>1.52923929514247</v>
      </c>
      <c r="F1128" s="2" t="s">
        <v>8727</v>
      </c>
      <c r="G1128" s="2" t="n">
        <v>50146</v>
      </c>
      <c r="H1128" s="3" t="str">
        <f>HYPERLINK("http://funmeta.oebiotech.com/network/50146", "http://funmeta.oebiotech.com/network/50146")</f>
      </c>
      <c r="I1128" s="2" t="s">
        <v>8729</v>
      </c>
      <c r="J1128" s="2" t="s">
        <v>8730</v>
      </c>
      <c r="K1128" s="2"/>
      <c r="L1128" s="2" t="s">
        <v>7680</v>
      </c>
      <c r="M1128" s="2"/>
      <c r="N1128" s="2" t="s">
        <v>8731</v>
      </c>
      <c r="O1128" s="2"/>
      <c r="P1128" s="2" t="s">
        <v>8732</v>
      </c>
      <c r="Q1128" s="2" t="s">
        <v>8733</v>
      </c>
      <c r="R1128" s="2" t="s">
        <v>1490</v>
      </c>
      <c r="S1128" s="2" t="s">
        <v>4236</v>
      </c>
      <c r="T1128" s="2" t="s">
        <v>5369</v>
      </c>
      <c r="U1128" s="2" t="s">
        <v>8726</v>
      </c>
      <c r="V1128" s="2" t="s">
        <v>42</v>
      </c>
      <c r="W1128" s="2" t="s">
        <v>39</v>
      </c>
    </row>
    <row r="1129">
      <c r="A1129" s="2" t="n">
        <v>813</v>
      </c>
      <c r="B1129" s="2" t="s">
        <v>15061</v>
      </c>
      <c r="C1129" s="2" t="s">
        <v>8734</v>
      </c>
      <c r="D1129" s="2" t="n">
        <v>795.141264</v>
      </c>
      <c r="E1129" s="2" t="n">
        <v>3.35133813198653</v>
      </c>
      <c r="F1129" s="2" t="s">
        <v>8736</v>
      </c>
      <c r="G1129" s="2" t="n">
        <v>212807</v>
      </c>
      <c r="H1129" s="3" t="str">
        <f>HYPERLINK("http://funmeta.oebiotech.com/network/212807", "http://funmeta.oebiotech.com/network/212807")</f>
      </c>
      <c r="I1129" s="2" t="s">
        <v>8738</v>
      </c>
      <c r="J1129" s="2"/>
      <c r="K1129" s="2"/>
      <c r="L1129" s="2"/>
      <c r="M1129" s="2"/>
      <c r="N1129" s="2"/>
      <c r="O1129" s="2"/>
      <c r="P1129" s="2" t="s">
        <v>8739</v>
      </c>
      <c r="Q1129" s="2" t="s">
        <v>8740</v>
      </c>
      <c r="R1129" s="2" t="s">
        <v>1490</v>
      </c>
      <c r="S1129" s="2" t="s">
        <v>3546</v>
      </c>
      <c r="T1129" s="2" t="s">
        <v>8741</v>
      </c>
      <c r="U1129" s="2" t="s">
        <v>8735</v>
      </c>
      <c r="V1129" s="2" t="s">
        <v>1019</v>
      </c>
      <c r="W1129" s="2"/>
    </row>
    <row r="1130">
      <c r="A1130" s="2" t="n">
        <v>814</v>
      </c>
      <c r="B1130" s="2" t="s">
        <v>15062</v>
      </c>
      <c r="C1130" s="2" t="s">
        <v>8742</v>
      </c>
      <c r="D1130" s="2" t="n">
        <v>795.518159196</v>
      </c>
      <c r="E1130" s="2" t="n">
        <v>6.54426707143629</v>
      </c>
      <c r="F1130" s="2" t="s">
        <v>8744</v>
      </c>
      <c r="G1130" s="2" t="n">
        <v>51088</v>
      </c>
      <c r="H1130" s="3" t="str">
        <f>HYPERLINK("http://funmeta.oebiotech.com/network/51088", "http://funmeta.oebiotech.com/network/51088")</f>
      </c>
      <c r="I1130" s="2" t="s">
        <v>8746</v>
      </c>
      <c r="J1130" s="2" t="s">
        <v>8747</v>
      </c>
      <c r="K1130" s="2"/>
      <c r="L1130" s="2"/>
      <c r="M1130" s="2" t="s">
        <v>8748</v>
      </c>
      <c r="N1130" s="2" t="s">
        <v>8749</v>
      </c>
      <c r="O1130" s="2"/>
      <c r="P1130" s="2" t="s">
        <v>8750</v>
      </c>
      <c r="Q1130" s="2" t="s">
        <v>8751</v>
      </c>
      <c r="R1130" s="2" t="s">
        <v>1490</v>
      </c>
      <c r="S1130" s="2" t="s">
        <v>4236</v>
      </c>
      <c r="T1130" s="2" t="s">
        <v>8063</v>
      </c>
      <c r="U1130" s="2" t="s">
        <v>8743</v>
      </c>
      <c r="V1130" s="2" t="s">
        <v>110</v>
      </c>
      <c r="W1130" s="2"/>
    </row>
    <row r="1131">
      <c r="A1131" s="2" t="n">
        <v>815</v>
      </c>
      <c r="B1131" s="2" t="s">
        <v>15063</v>
      </c>
      <c r="C1131" s="2" t="s">
        <v>8752</v>
      </c>
      <c r="D1131" s="2" t="n">
        <v>802.560358842</v>
      </c>
      <c r="E1131" s="2" t="n">
        <v>1.89284217651879</v>
      </c>
      <c r="F1131" s="2" t="s">
        <v>8754</v>
      </c>
      <c r="G1131" s="2" t="n">
        <v>132698</v>
      </c>
      <c r="H1131" s="3" t="str">
        <f>HYPERLINK("http://funmeta.oebiotech.com/network/132698", "http://funmeta.oebiotech.com/network/132698")</f>
      </c>
      <c r="I1131" s="2" t="s">
        <v>8756</v>
      </c>
      <c r="J1131" s="2"/>
      <c r="K1131" s="2"/>
      <c r="L1131" s="2"/>
      <c r="M1131" s="2"/>
      <c r="N1131" s="2" t="s">
        <v>8757</v>
      </c>
      <c r="O1131" s="2"/>
      <c r="P1131" s="2" t="s">
        <v>8758</v>
      </c>
      <c r="Q1131" s="2" t="s">
        <v>8759</v>
      </c>
      <c r="R1131" s="2" t="s">
        <v>1490</v>
      </c>
      <c r="S1131" s="2" t="s">
        <v>4236</v>
      </c>
      <c r="T1131" s="2" t="s">
        <v>8380</v>
      </c>
      <c r="U1131" s="2" t="s">
        <v>8753</v>
      </c>
      <c r="V1131" s="2" t="s">
        <v>110</v>
      </c>
      <c r="W1131" s="2"/>
    </row>
    <row r="1132">
      <c r="A1132" s="2" t="n">
        <v>816</v>
      </c>
      <c r="B1132" s="2" t="s">
        <v>15064</v>
      </c>
      <c r="C1132" s="2" t="s">
        <v>8760</v>
      </c>
      <c r="D1132" s="2" t="n">
        <v>803.140629604</v>
      </c>
      <c r="E1132" s="2" t="n">
        <v>3.43598443744515</v>
      </c>
      <c r="F1132" s="2" t="s">
        <v>8762</v>
      </c>
      <c r="G1132" s="2" t="n">
        <v>255575</v>
      </c>
      <c r="H1132" s="3" t="str">
        <f>HYPERLINK("http://funmeta.oebiotech.com/network/255575", "http://funmeta.oebiotech.com/network/255575")</f>
      </c>
      <c r="I1132" s="2" t="s">
        <v>8764</v>
      </c>
      <c r="J1132" s="2"/>
      <c r="K1132" s="2"/>
      <c r="L1132" s="2"/>
      <c r="M1132" s="2"/>
      <c r="N1132" s="2" t="s">
        <v>8765</v>
      </c>
      <c r="O1132" s="2"/>
      <c r="P1132" s="2" t="s">
        <v>8766</v>
      </c>
      <c r="Q1132" s="2" t="s">
        <v>8767</v>
      </c>
      <c r="R1132" s="2" t="s">
        <v>2509</v>
      </c>
      <c r="S1132" s="2" t="s">
        <v>2840</v>
      </c>
      <c r="T1132" s="2" t="s">
        <v>8768</v>
      </c>
      <c r="U1132" s="2" t="s">
        <v>8761</v>
      </c>
      <c r="V1132" s="2" t="s">
        <v>1019</v>
      </c>
      <c r="W1132" s="2"/>
    </row>
    <row r="1133">
      <c r="A1133" s="2" t="n">
        <v>817</v>
      </c>
      <c r="B1133" s="2" t="s">
        <v>15065</v>
      </c>
      <c r="C1133" s="2" t="s">
        <v>8769</v>
      </c>
      <c r="D1133" s="2" t="n">
        <v>803.559630566</v>
      </c>
      <c r="E1133" s="2" t="n">
        <v>0.146847103452337</v>
      </c>
      <c r="F1133" s="2" t="s">
        <v>8771</v>
      </c>
      <c r="G1133" s="2" t="n">
        <v>135070</v>
      </c>
      <c r="H1133" s="3" t="str">
        <f>HYPERLINK("http://funmeta.oebiotech.com/network/135070", "http://funmeta.oebiotech.com/network/135070")</f>
      </c>
      <c r="I1133" s="2" t="s">
        <v>8773</v>
      </c>
      <c r="J1133" s="2"/>
      <c r="K1133" s="2"/>
      <c r="L1133" s="2"/>
      <c r="M1133" s="2"/>
      <c r="N1133" s="2" t="s">
        <v>8774</v>
      </c>
      <c r="O1133" s="2"/>
      <c r="P1133" s="2" t="s">
        <v>8775</v>
      </c>
      <c r="Q1133" s="2" t="s">
        <v>8776</v>
      </c>
      <c r="R1133" s="2" t="s">
        <v>1490</v>
      </c>
      <c r="S1133" s="2" t="s">
        <v>4236</v>
      </c>
      <c r="T1133" s="2" t="s">
        <v>5175</v>
      </c>
      <c r="U1133" s="2" t="s">
        <v>8770</v>
      </c>
      <c r="V1133" s="2" t="s">
        <v>110</v>
      </c>
      <c r="W1133" s="2"/>
    </row>
    <row r="1134">
      <c r="A1134" s="2" t="n">
        <v>818</v>
      </c>
      <c r="B1134" s="2" t="s">
        <v>15066</v>
      </c>
      <c r="C1134" s="2" t="s">
        <v>8777</v>
      </c>
      <c r="D1134" s="2" t="n">
        <v>805.196345784</v>
      </c>
      <c r="E1134" s="2" t="n">
        <v>6.92525180863471</v>
      </c>
      <c r="F1134" s="2" t="s">
        <v>15067</v>
      </c>
      <c r="G1134" s="2" t="n">
        <v>61251</v>
      </c>
      <c r="H1134" s="3" t="str">
        <f>HYPERLINK("http://funmeta.oebiotech.com/network/61251", "http://funmeta.oebiotech.com/network/61251")</f>
      </c>
      <c r="I1134" s="2" t="s">
        <v>15068</v>
      </c>
      <c r="J1134" s="2" t="s">
        <v>15069</v>
      </c>
      <c r="K1134" s="2"/>
      <c r="L1134" s="2"/>
      <c r="M1134" s="2"/>
      <c r="N1134" s="2" t="s">
        <v>15070</v>
      </c>
      <c r="O1134" s="2" t="s">
        <v>15071</v>
      </c>
      <c r="P1134" s="2" t="s">
        <v>15072</v>
      </c>
      <c r="Q1134" s="2" t="s">
        <v>15073</v>
      </c>
      <c r="R1134" s="2" t="s">
        <v>2509</v>
      </c>
      <c r="S1134" s="2" t="s">
        <v>5520</v>
      </c>
      <c r="T1134" s="2" t="s">
        <v>5664</v>
      </c>
      <c r="U1134" s="2" t="s">
        <v>8778</v>
      </c>
      <c r="V1134" s="2" t="s">
        <v>522</v>
      </c>
      <c r="W1134" s="2"/>
    </row>
    <row r="1135">
      <c r="A1135" s="2" t="n">
        <v>818</v>
      </c>
      <c r="B1135" s="2" t="s">
        <v>15074</v>
      </c>
      <c r="C1135" s="2" t="s">
        <v>8777</v>
      </c>
      <c r="D1135" s="2" t="n">
        <v>805.196345784</v>
      </c>
      <c r="E1135" s="2" t="n">
        <v>6.92525180863471</v>
      </c>
      <c r="F1135" s="2" t="s">
        <v>15075</v>
      </c>
      <c r="G1135" s="2" t="n">
        <v>62807</v>
      </c>
      <c r="H1135" s="3" t="str">
        <f>HYPERLINK("http://funmeta.oebiotech.com/network/62807", "http://funmeta.oebiotech.com/network/62807")</f>
      </c>
      <c r="I1135" s="2" t="s">
        <v>15076</v>
      </c>
      <c r="J1135" s="2"/>
      <c r="K1135" s="2"/>
      <c r="L1135" s="2"/>
      <c r="M1135" s="2"/>
      <c r="N1135" s="2" t="s">
        <v>15077</v>
      </c>
      <c r="O1135" s="2" t="s">
        <v>15078</v>
      </c>
      <c r="P1135" s="2" t="s">
        <v>15079</v>
      </c>
      <c r="Q1135" s="2" t="s">
        <v>15080</v>
      </c>
      <c r="R1135" s="2" t="s">
        <v>2509</v>
      </c>
      <c r="S1135" s="2" t="s">
        <v>5520</v>
      </c>
      <c r="T1135" s="2" t="s">
        <v>5664</v>
      </c>
      <c r="U1135" s="2" t="s">
        <v>8778</v>
      </c>
      <c r="V1135" s="2" t="s">
        <v>522</v>
      </c>
      <c r="W1135" s="2"/>
    </row>
    <row r="1136">
      <c r="A1136" s="2" t="n">
        <v>818</v>
      </c>
      <c r="B1136" s="2" t="s">
        <v>15081</v>
      </c>
      <c r="C1136" s="2" t="s">
        <v>8777</v>
      </c>
      <c r="D1136" s="2" t="n">
        <v>805.196345784</v>
      </c>
      <c r="E1136" s="2" t="n">
        <v>6.92525180863471</v>
      </c>
      <c r="F1136" s="2" t="s">
        <v>15082</v>
      </c>
      <c r="G1136" s="2" t="n">
        <v>63091</v>
      </c>
      <c r="H1136" s="3" t="str">
        <f>HYPERLINK("http://funmeta.oebiotech.com/network/63091", "http://funmeta.oebiotech.com/network/63091")</f>
      </c>
      <c r="I1136" s="2" t="s">
        <v>15083</v>
      </c>
      <c r="J1136" s="2" t="s">
        <v>15084</v>
      </c>
      <c r="K1136" s="2"/>
      <c r="L1136" s="2"/>
      <c r="M1136" s="2"/>
      <c r="N1136" s="2" t="s">
        <v>15085</v>
      </c>
      <c r="O1136" s="2" t="s">
        <v>15086</v>
      </c>
      <c r="P1136" s="2" t="s">
        <v>15087</v>
      </c>
      <c r="Q1136" s="2" t="s">
        <v>15088</v>
      </c>
      <c r="R1136" s="2" t="s">
        <v>2509</v>
      </c>
      <c r="S1136" s="2" t="s">
        <v>5520</v>
      </c>
      <c r="T1136" s="2" t="s">
        <v>5664</v>
      </c>
      <c r="U1136" s="2" t="s">
        <v>8778</v>
      </c>
      <c r="V1136" s="2" t="s">
        <v>522</v>
      </c>
      <c r="W1136" s="2"/>
    </row>
    <row r="1137">
      <c r="A1137" s="2" t="n">
        <v>819</v>
      </c>
      <c r="B1137" s="2" t="s">
        <v>15089</v>
      </c>
      <c r="C1137" s="2" t="s">
        <v>8787</v>
      </c>
      <c r="D1137" s="2" t="n">
        <v>805.572873695</v>
      </c>
      <c r="E1137" s="2" t="n">
        <v>7.35502378068303</v>
      </c>
      <c r="F1137" s="2" t="s">
        <v>15090</v>
      </c>
      <c r="G1137" s="2" t="n">
        <v>134945</v>
      </c>
      <c r="H1137" s="3" t="str">
        <f>HYPERLINK("http://funmeta.oebiotech.com/network/134945", "http://funmeta.oebiotech.com/network/134945")</f>
      </c>
      <c r="I1137" s="2" t="s">
        <v>15091</v>
      </c>
      <c r="J1137" s="2"/>
      <c r="K1137" s="2"/>
      <c r="L1137" s="2"/>
      <c r="M1137" s="2"/>
      <c r="N1137" s="2" t="s">
        <v>15092</v>
      </c>
      <c r="O1137" s="2"/>
      <c r="P1137" s="2" t="s">
        <v>15093</v>
      </c>
      <c r="Q1137" s="2" t="s">
        <v>15094</v>
      </c>
      <c r="R1137" s="2" t="s">
        <v>1490</v>
      </c>
      <c r="S1137" s="2" t="s">
        <v>4236</v>
      </c>
      <c r="T1137" s="2" t="s">
        <v>5175</v>
      </c>
      <c r="U1137" s="2" t="s">
        <v>8788</v>
      </c>
      <c r="V1137" s="2" t="s">
        <v>360</v>
      </c>
      <c r="W1137" s="2"/>
    </row>
    <row r="1138">
      <c r="A1138" s="2" t="n">
        <v>819</v>
      </c>
      <c r="B1138" s="2" t="s">
        <v>15095</v>
      </c>
      <c r="C1138" s="2" t="s">
        <v>8787</v>
      </c>
      <c r="D1138" s="2" t="n">
        <v>805.572873695</v>
      </c>
      <c r="E1138" s="2" t="n">
        <v>7.35502378068303</v>
      </c>
      <c r="F1138" s="2" t="s">
        <v>15096</v>
      </c>
      <c r="G1138" s="2" t="n">
        <v>25481</v>
      </c>
      <c r="H1138" s="3" t="str">
        <f>HYPERLINK("http://funmeta.oebiotech.com/network/25481", "http://funmeta.oebiotech.com/network/25481")</f>
      </c>
      <c r="I1138" s="2" t="s">
        <v>15097</v>
      </c>
      <c r="J1138" s="2" t="s">
        <v>15098</v>
      </c>
      <c r="K1138" s="2" t="s">
        <v>15099</v>
      </c>
      <c r="L1138" s="2"/>
      <c r="M1138" s="2"/>
      <c r="N1138" s="2" t="s">
        <v>15100</v>
      </c>
      <c r="O1138" s="2"/>
      <c r="P1138" s="2" t="s">
        <v>15101</v>
      </c>
      <c r="Q1138" s="2" t="s">
        <v>15102</v>
      </c>
      <c r="R1138" s="2" t="s">
        <v>1490</v>
      </c>
      <c r="S1138" s="2" t="s">
        <v>4236</v>
      </c>
      <c r="T1138" s="2" t="s">
        <v>5175</v>
      </c>
      <c r="U1138" s="2" t="s">
        <v>8788</v>
      </c>
      <c r="V1138" s="2" t="s">
        <v>360</v>
      </c>
      <c r="W1138" s="2"/>
    </row>
    <row r="1139">
      <c r="A1139" s="2" t="n">
        <v>820</v>
      </c>
      <c r="B1139" s="2" t="s">
        <v>15103</v>
      </c>
      <c r="C1139" s="2" t="s">
        <v>8797</v>
      </c>
      <c r="D1139" s="2" t="n">
        <v>809.19163609</v>
      </c>
      <c r="E1139" s="2" t="n">
        <v>6.07134409025615</v>
      </c>
      <c r="F1139" s="2" t="s">
        <v>8799</v>
      </c>
      <c r="G1139" s="2" t="n">
        <v>52994</v>
      </c>
      <c r="H1139" s="3" t="str">
        <f>HYPERLINK("http://funmeta.oebiotech.com/network/52994", "http://funmeta.oebiotech.com/network/52994")</f>
      </c>
      <c r="I1139" s="2" t="s">
        <v>8801</v>
      </c>
      <c r="J1139" s="2" t="s">
        <v>8802</v>
      </c>
      <c r="K1139" s="2"/>
      <c r="L1139" s="2" t="s">
        <v>8803</v>
      </c>
      <c r="M1139" s="2" t="s">
        <v>8804</v>
      </c>
      <c r="N1139" s="2" t="s">
        <v>8805</v>
      </c>
      <c r="O1139" s="2" t="s">
        <v>8806</v>
      </c>
      <c r="P1139" s="2" t="s">
        <v>8807</v>
      </c>
      <c r="Q1139" s="2" t="s">
        <v>8808</v>
      </c>
      <c r="R1139" s="2" t="s">
        <v>355</v>
      </c>
      <c r="S1139" s="2" t="s">
        <v>4796</v>
      </c>
      <c r="T1139" s="2" t="s">
        <v>4797</v>
      </c>
      <c r="U1139" s="2" t="s">
        <v>8798</v>
      </c>
      <c r="V1139" s="2" t="s">
        <v>1019</v>
      </c>
      <c r="W1139" s="2" t="s">
        <v>39</v>
      </c>
    </row>
    <row r="1140">
      <c r="A1140" s="2" t="n">
        <v>821</v>
      </c>
      <c r="B1140" s="2" t="s">
        <v>15104</v>
      </c>
      <c r="C1140" s="2" t="s">
        <v>8809</v>
      </c>
      <c r="D1140" s="2" t="n">
        <v>809.489358373</v>
      </c>
      <c r="E1140" s="2" t="n">
        <v>0.589688166165985</v>
      </c>
      <c r="F1140" s="2" t="s">
        <v>15105</v>
      </c>
      <c r="G1140" s="2" t="n">
        <v>25454</v>
      </c>
      <c r="H1140" s="3" t="str">
        <f>HYPERLINK("http://funmeta.oebiotech.com/network/25454", "http://funmeta.oebiotech.com/network/25454")</f>
      </c>
      <c r="I1140" s="2" t="s">
        <v>15106</v>
      </c>
      <c r="J1140" s="2" t="s">
        <v>15107</v>
      </c>
      <c r="K1140" s="2" t="s">
        <v>15108</v>
      </c>
      <c r="L1140" s="2"/>
      <c r="M1140" s="2"/>
      <c r="N1140" s="2" t="s">
        <v>15109</v>
      </c>
      <c r="O1140" s="2"/>
      <c r="P1140" s="2" t="s">
        <v>15110</v>
      </c>
      <c r="Q1140" s="2" t="s">
        <v>15111</v>
      </c>
      <c r="R1140" s="2" t="s">
        <v>1490</v>
      </c>
      <c r="S1140" s="2" t="s">
        <v>4236</v>
      </c>
      <c r="T1140" s="2" t="s">
        <v>5175</v>
      </c>
      <c r="U1140" s="2" t="s">
        <v>8810</v>
      </c>
      <c r="V1140" s="2" t="s">
        <v>522</v>
      </c>
      <c r="W1140" s="2"/>
    </row>
    <row r="1141">
      <c r="A1141" s="2" t="n">
        <v>821</v>
      </c>
      <c r="B1141" s="2" t="s">
        <v>15112</v>
      </c>
      <c r="C1141" s="2" t="s">
        <v>8809</v>
      </c>
      <c r="D1141" s="2" t="n">
        <v>809.489358373</v>
      </c>
      <c r="E1141" s="2" t="n">
        <v>0.589688166165985</v>
      </c>
      <c r="F1141" s="2" t="s">
        <v>15113</v>
      </c>
      <c r="G1141" s="2" t="n">
        <v>135260</v>
      </c>
      <c r="H1141" s="3" t="str">
        <f>HYPERLINK("http://funmeta.oebiotech.com/network/135260", "http://funmeta.oebiotech.com/network/135260")</f>
      </c>
      <c r="I1141" s="2" t="s">
        <v>15114</v>
      </c>
      <c r="J1141" s="2"/>
      <c r="K1141" s="2"/>
      <c r="L1141" s="2"/>
      <c r="M1141" s="2"/>
      <c r="N1141" s="2" t="s">
        <v>15115</v>
      </c>
      <c r="O1141" s="2"/>
      <c r="P1141" s="2" t="s">
        <v>15116</v>
      </c>
      <c r="Q1141" s="2" t="s">
        <v>15117</v>
      </c>
      <c r="R1141" s="2" t="s">
        <v>1490</v>
      </c>
      <c r="S1141" s="2" t="s">
        <v>4236</v>
      </c>
      <c r="T1141" s="2" t="s">
        <v>5175</v>
      </c>
      <c r="U1141" s="2" t="s">
        <v>8810</v>
      </c>
      <c r="V1141" s="2" t="s">
        <v>522</v>
      </c>
      <c r="W1141" s="2"/>
    </row>
    <row r="1142">
      <c r="A1142" s="2" t="n">
        <v>822</v>
      </c>
      <c r="B1142" s="2" t="s">
        <v>15118</v>
      </c>
      <c r="C1142" s="2" t="s">
        <v>8819</v>
      </c>
      <c r="D1142" s="2" t="n">
        <v>811.195136932</v>
      </c>
      <c r="E1142" s="2" t="n">
        <v>8.18717446897488</v>
      </c>
      <c r="F1142" s="2" t="s">
        <v>8821</v>
      </c>
      <c r="G1142" s="2" t="n">
        <v>210570</v>
      </c>
      <c r="H1142" s="3" t="str">
        <f>HYPERLINK("http://funmeta.oebiotech.com/network/210570", "http://funmeta.oebiotech.com/network/210570")</f>
      </c>
      <c r="I1142" s="2" t="s">
        <v>8823</v>
      </c>
      <c r="J1142" s="2"/>
      <c r="K1142" s="2"/>
      <c r="L1142" s="2"/>
      <c r="M1142" s="2"/>
      <c r="N1142" s="2" t="s">
        <v>8824</v>
      </c>
      <c r="O1142" s="2"/>
      <c r="P1142" s="2" t="s">
        <v>8825</v>
      </c>
      <c r="Q1142" s="2" t="s">
        <v>8826</v>
      </c>
      <c r="R1142" s="2" t="s">
        <v>49</v>
      </c>
      <c r="S1142" s="2" t="s">
        <v>165</v>
      </c>
      <c r="T1142" s="2" t="s">
        <v>166</v>
      </c>
      <c r="U1142" s="2" t="s">
        <v>8820</v>
      </c>
      <c r="V1142" s="2" t="s">
        <v>250</v>
      </c>
      <c r="W1142" s="2"/>
    </row>
    <row r="1143">
      <c r="A1143" s="2" t="n">
        <v>823</v>
      </c>
      <c r="B1143" s="2" t="s">
        <v>15119</v>
      </c>
      <c r="C1143" s="2" t="s">
        <v>8827</v>
      </c>
      <c r="D1143" s="2" t="n">
        <v>813.1775956</v>
      </c>
      <c r="E1143" s="2" t="n">
        <v>2.13511500994522</v>
      </c>
      <c r="F1143" s="2" t="s">
        <v>8829</v>
      </c>
      <c r="G1143" s="2" t="n">
        <v>199252</v>
      </c>
      <c r="H1143" s="3" t="str">
        <f>HYPERLINK("http://funmeta.oebiotech.com/network/199252", "http://funmeta.oebiotech.com/network/199252")</f>
      </c>
      <c r="I1143" s="2" t="s">
        <v>8831</v>
      </c>
      <c r="J1143" s="2"/>
      <c r="K1143" s="2"/>
      <c r="L1143" s="2"/>
      <c r="M1143" s="2"/>
      <c r="N1143" s="2" t="s">
        <v>8832</v>
      </c>
      <c r="O1143" s="2"/>
      <c r="P1143" s="2" t="s">
        <v>8833</v>
      </c>
      <c r="Q1143" s="2" t="s">
        <v>8834</v>
      </c>
      <c r="R1143" s="2" t="s">
        <v>2509</v>
      </c>
      <c r="S1143" s="2" t="s">
        <v>8835</v>
      </c>
      <c r="T1143" s="2" t="s">
        <v>8836</v>
      </c>
      <c r="U1143" s="2" t="s">
        <v>8828</v>
      </c>
      <c r="V1143" s="2" t="s">
        <v>1019</v>
      </c>
      <c r="W1143" s="2"/>
    </row>
    <row r="1144">
      <c r="A1144" s="2" t="n">
        <v>824</v>
      </c>
      <c r="B1144" s="2" t="s">
        <v>15120</v>
      </c>
      <c r="C1144" s="2" t="s">
        <v>8837</v>
      </c>
      <c r="D1144" s="2" t="n">
        <v>815.507984132</v>
      </c>
      <c r="E1144" s="2" t="n">
        <v>0.654632668228772</v>
      </c>
      <c r="F1144" s="2" t="s">
        <v>8839</v>
      </c>
      <c r="G1144" s="2" t="n">
        <v>22515</v>
      </c>
      <c r="H1144" s="3" t="str">
        <f>HYPERLINK("http://funmeta.oebiotech.com/network/22515", "http://funmeta.oebiotech.com/network/22515")</f>
      </c>
      <c r="I1144" s="2" t="s">
        <v>8841</v>
      </c>
      <c r="J1144" s="2" t="s">
        <v>8842</v>
      </c>
      <c r="K1144" s="2" t="s">
        <v>8843</v>
      </c>
      <c r="L1144" s="2"/>
      <c r="M1144" s="2" t="s">
        <v>8844</v>
      </c>
      <c r="N1144" s="2" t="s">
        <v>8845</v>
      </c>
      <c r="O1144" s="2"/>
      <c r="P1144" s="2" t="s">
        <v>8846</v>
      </c>
      <c r="Q1144" s="2" t="s">
        <v>8847</v>
      </c>
      <c r="R1144" s="2" t="s">
        <v>1490</v>
      </c>
      <c r="S1144" s="2" t="s">
        <v>4236</v>
      </c>
      <c r="T1144" s="2" t="s">
        <v>8063</v>
      </c>
      <c r="U1144" s="2" t="s">
        <v>8838</v>
      </c>
      <c r="V1144" s="2" t="s">
        <v>24</v>
      </c>
      <c r="W1144" s="2"/>
    </row>
    <row r="1145">
      <c r="A1145" s="2" t="n">
        <v>825</v>
      </c>
      <c r="B1145" s="2" t="s">
        <v>15121</v>
      </c>
      <c r="C1145" s="2" t="s">
        <v>8848</v>
      </c>
      <c r="D1145" s="2" t="n">
        <v>815.583926974</v>
      </c>
      <c r="E1145" s="2" t="n">
        <v>3.07578602017492</v>
      </c>
      <c r="F1145" s="2" t="s">
        <v>8850</v>
      </c>
      <c r="G1145" s="2" t="n">
        <v>52283</v>
      </c>
      <c r="H1145" s="3" t="str">
        <f>HYPERLINK("http://funmeta.oebiotech.com/network/52283", "http://funmeta.oebiotech.com/network/52283")</f>
      </c>
      <c r="I1145" s="2" t="s">
        <v>8852</v>
      </c>
      <c r="J1145" s="2"/>
      <c r="K1145" s="2"/>
      <c r="L1145" s="2" t="s">
        <v>8853</v>
      </c>
      <c r="M1145" s="2" t="s">
        <v>8854</v>
      </c>
      <c r="N1145" s="2" t="s">
        <v>8855</v>
      </c>
      <c r="O1145" s="2"/>
      <c r="P1145" s="2" t="s">
        <v>8856</v>
      </c>
      <c r="Q1145" s="2" t="s">
        <v>8857</v>
      </c>
      <c r="R1145" s="2" t="s">
        <v>1490</v>
      </c>
      <c r="S1145" s="2" t="s">
        <v>8433</v>
      </c>
      <c r="T1145" s="2" t="s">
        <v>8858</v>
      </c>
      <c r="U1145" s="2" t="s">
        <v>8849</v>
      </c>
      <c r="V1145" s="2" t="s">
        <v>522</v>
      </c>
      <c r="W1145" s="2" t="s">
        <v>39</v>
      </c>
    </row>
    <row r="1146">
      <c r="A1146" s="2" t="n">
        <v>826</v>
      </c>
      <c r="B1146" s="2" t="s">
        <v>15122</v>
      </c>
      <c r="C1146" s="2" t="s">
        <v>8859</v>
      </c>
      <c r="D1146" s="2" t="n">
        <v>816.503233585</v>
      </c>
      <c r="E1146" s="2" t="n">
        <v>9.47982497896571</v>
      </c>
      <c r="F1146" s="2" t="s">
        <v>8861</v>
      </c>
      <c r="G1146" s="2" t="n">
        <v>132696</v>
      </c>
      <c r="H1146" s="3" t="str">
        <f>HYPERLINK("http://funmeta.oebiotech.com/network/132696", "http://funmeta.oebiotech.com/network/132696")</f>
      </c>
      <c r="I1146" s="2" t="s">
        <v>8863</v>
      </c>
      <c r="J1146" s="2"/>
      <c r="K1146" s="2"/>
      <c r="L1146" s="2"/>
      <c r="M1146" s="2"/>
      <c r="N1146" s="2" t="s">
        <v>8864</v>
      </c>
      <c r="O1146" s="2"/>
      <c r="P1146" s="2" t="s">
        <v>8865</v>
      </c>
      <c r="Q1146" s="2" t="s">
        <v>8866</v>
      </c>
      <c r="R1146" s="2" t="s">
        <v>1490</v>
      </c>
      <c r="S1146" s="2" t="s">
        <v>4236</v>
      </c>
      <c r="T1146" s="2" t="s">
        <v>8380</v>
      </c>
      <c r="U1146" s="2" t="s">
        <v>8860</v>
      </c>
      <c r="V1146" s="2" t="s">
        <v>24</v>
      </c>
      <c r="W1146" s="2"/>
    </row>
    <row r="1147">
      <c r="A1147" s="2" t="n">
        <v>827</v>
      </c>
      <c r="B1147" s="2" t="s">
        <v>15123</v>
      </c>
      <c r="C1147" s="2" t="s">
        <v>8867</v>
      </c>
      <c r="D1147" s="2" t="n">
        <v>817.523634196</v>
      </c>
      <c r="E1147" s="2" t="n">
        <v>0.761989815498518</v>
      </c>
      <c r="F1147" s="2" t="s">
        <v>8869</v>
      </c>
      <c r="G1147" s="2" t="n">
        <v>51087</v>
      </c>
      <c r="H1147" s="3" t="str">
        <f>HYPERLINK("http://funmeta.oebiotech.com/network/51087", "http://funmeta.oebiotech.com/network/51087")</f>
      </c>
      <c r="I1147" s="2" t="s">
        <v>8871</v>
      </c>
      <c r="J1147" s="2" t="s">
        <v>8872</v>
      </c>
      <c r="K1147" s="2"/>
      <c r="L1147" s="2"/>
      <c r="M1147" s="2" t="s">
        <v>8418</v>
      </c>
      <c r="N1147" s="2" t="s">
        <v>8873</v>
      </c>
      <c r="O1147" s="2"/>
      <c r="P1147" s="2" t="s">
        <v>8874</v>
      </c>
      <c r="Q1147" s="2" t="s">
        <v>8875</v>
      </c>
      <c r="R1147" s="2" t="s">
        <v>1490</v>
      </c>
      <c r="S1147" s="2" t="s">
        <v>4236</v>
      </c>
      <c r="T1147" s="2" t="s">
        <v>8063</v>
      </c>
      <c r="U1147" s="2" t="s">
        <v>8868</v>
      </c>
      <c r="V1147" s="2" t="s">
        <v>24</v>
      </c>
      <c r="W1147" s="2"/>
    </row>
    <row r="1148">
      <c r="A1148" s="2" t="n">
        <v>828</v>
      </c>
      <c r="B1148" s="2" t="s">
        <v>15124</v>
      </c>
      <c r="C1148" s="2" t="s">
        <v>8876</v>
      </c>
      <c r="D1148" s="2" t="n">
        <v>818.518883649</v>
      </c>
      <c r="E1148" s="2" t="n">
        <v>4.04060446102876</v>
      </c>
      <c r="F1148" s="2" t="s">
        <v>8878</v>
      </c>
      <c r="G1148" s="2" t="n">
        <v>21413</v>
      </c>
      <c r="H1148" s="3" t="str">
        <f>HYPERLINK("http://funmeta.oebiotech.com/network/21413", "http://funmeta.oebiotech.com/network/21413")</f>
      </c>
      <c r="I1148" s="2" t="s">
        <v>8880</v>
      </c>
      <c r="J1148" s="2" t="s">
        <v>8881</v>
      </c>
      <c r="K1148" s="2" t="s">
        <v>8882</v>
      </c>
      <c r="L1148" s="2"/>
      <c r="M1148" s="2"/>
      <c r="N1148" s="2" t="s">
        <v>8883</v>
      </c>
      <c r="O1148" s="2"/>
      <c r="P1148" s="2" t="s">
        <v>8884</v>
      </c>
      <c r="Q1148" s="2" t="s">
        <v>8885</v>
      </c>
      <c r="R1148" s="2" t="s">
        <v>1490</v>
      </c>
      <c r="S1148" s="2" t="s">
        <v>4236</v>
      </c>
      <c r="T1148" s="2" t="s">
        <v>8380</v>
      </c>
      <c r="U1148" s="2" t="s">
        <v>8877</v>
      </c>
      <c r="V1148" s="2" t="s">
        <v>24</v>
      </c>
      <c r="W1148" s="2"/>
    </row>
    <row r="1149">
      <c r="A1149" s="2" t="n">
        <v>829</v>
      </c>
      <c r="B1149" s="2" t="s">
        <v>15125</v>
      </c>
      <c r="C1149" s="2" t="s">
        <v>8886</v>
      </c>
      <c r="D1149" s="2" t="n">
        <v>819.139010528</v>
      </c>
      <c r="E1149" s="2" t="n">
        <v>9.7617817960961</v>
      </c>
      <c r="F1149" s="2" t="s">
        <v>8888</v>
      </c>
      <c r="G1149" s="2" t="n">
        <v>61702</v>
      </c>
      <c r="H1149" s="3" t="str">
        <f>HYPERLINK("http://funmeta.oebiotech.com/network/61702", "http://funmeta.oebiotech.com/network/61702")</f>
      </c>
      <c r="I1149" s="2" t="s">
        <v>8890</v>
      </c>
      <c r="J1149" s="2" t="s">
        <v>8891</v>
      </c>
      <c r="K1149" s="2"/>
      <c r="L1149" s="2"/>
      <c r="M1149" s="2"/>
      <c r="N1149" s="2" t="s">
        <v>8892</v>
      </c>
      <c r="O1149" s="2"/>
      <c r="P1149" s="2" t="s">
        <v>8893</v>
      </c>
      <c r="Q1149" s="2" t="s">
        <v>8894</v>
      </c>
      <c r="R1149" s="2" t="s">
        <v>2509</v>
      </c>
      <c r="S1149" s="2" t="s">
        <v>5520</v>
      </c>
      <c r="T1149" s="2" t="s">
        <v>5664</v>
      </c>
      <c r="U1149" s="2" t="s">
        <v>8887</v>
      </c>
      <c r="V1149" s="2" t="s">
        <v>360</v>
      </c>
      <c r="W1149" s="2"/>
    </row>
    <row r="1150">
      <c r="A1150" s="2" t="n">
        <v>830</v>
      </c>
      <c r="B1150" s="2" t="s">
        <v>15126</v>
      </c>
      <c r="C1150" s="2" t="s">
        <v>8895</v>
      </c>
      <c r="D1150" s="2" t="n">
        <v>819.531161631</v>
      </c>
      <c r="E1150" s="2" t="n">
        <v>3.83744108981533</v>
      </c>
      <c r="F1150" s="2" t="s">
        <v>15127</v>
      </c>
      <c r="G1150" s="2" t="n">
        <v>135259</v>
      </c>
      <c r="H1150" s="3" t="str">
        <f>HYPERLINK("http://funmeta.oebiotech.com/network/135259", "http://funmeta.oebiotech.com/network/135259")</f>
      </c>
      <c r="I1150" s="2" t="s">
        <v>15128</v>
      </c>
      <c r="J1150" s="2"/>
      <c r="K1150" s="2"/>
      <c r="L1150" s="2"/>
      <c r="M1150" s="2"/>
      <c r="N1150" s="2" t="s">
        <v>15129</v>
      </c>
      <c r="O1150" s="2"/>
      <c r="P1150" s="2" t="s">
        <v>15130</v>
      </c>
      <c r="Q1150" s="2" t="s">
        <v>15131</v>
      </c>
      <c r="R1150" s="2" t="s">
        <v>1490</v>
      </c>
      <c r="S1150" s="2" t="s">
        <v>4236</v>
      </c>
      <c r="T1150" s="2" t="s">
        <v>5175</v>
      </c>
      <c r="U1150" s="2" t="s">
        <v>8896</v>
      </c>
      <c r="V1150" s="2" t="s">
        <v>250</v>
      </c>
      <c r="W1150" s="2"/>
    </row>
    <row r="1151">
      <c r="A1151" s="2" t="n">
        <v>830</v>
      </c>
      <c r="B1151" s="2" t="s">
        <v>15132</v>
      </c>
      <c r="C1151" s="2" t="s">
        <v>8895</v>
      </c>
      <c r="D1151" s="2" t="n">
        <v>819.531161631</v>
      </c>
      <c r="E1151" s="2" t="n">
        <v>3.83744108981533</v>
      </c>
      <c r="F1151" s="2" t="s">
        <v>15133</v>
      </c>
      <c r="G1151" s="2" t="n">
        <v>134960</v>
      </c>
      <c r="H1151" s="3" t="str">
        <f>HYPERLINK("http://funmeta.oebiotech.com/network/134960", "http://funmeta.oebiotech.com/network/134960")</f>
      </c>
      <c r="I1151" s="2" t="s">
        <v>15134</v>
      </c>
      <c r="J1151" s="2"/>
      <c r="K1151" s="2"/>
      <c r="L1151" s="2"/>
      <c r="M1151" s="2"/>
      <c r="N1151" s="2" t="s">
        <v>15135</v>
      </c>
      <c r="O1151" s="2"/>
      <c r="P1151" s="2" t="s">
        <v>15136</v>
      </c>
      <c r="Q1151" s="2" t="s">
        <v>15137</v>
      </c>
      <c r="R1151" s="2" t="s">
        <v>1490</v>
      </c>
      <c r="S1151" s="2" t="s">
        <v>4236</v>
      </c>
      <c r="T1151" s="2" t="s">
        <v>5175</v>
      </c>
      <c r="U1151" s="2" t="s">
        <v>8896</v>
      </c>
      <c r="V1151" s="2" t="s">
        <v>250</v>
      </c>
      <c r="W1151" s="2"/>
    </row>
    <row r="1152">
      <c r="A1152" s="2" t="n">
        <v>831</v>
      </c>
      <c r="B1152" s="2" t="s">
        <v>15138</v>
      </c>
      <c r="C1152" s="2" t="s">
        <v>8903</v>
      </c>
      <c r="D1152" s="2" t="n">
        <v>820.528113989</v>
      </c>
      <c r="E1152" s="2" t="n">
        <v>5.69378948595886</v>
      </c>
      <c r="F1152" s="2" t="s">
        <v>8905</v>
      </c>
      <c r="G1152" s="2" t="n">
        <v>20961</v>
      </c>
      <c r="H1152" s="3" t="str">
        <f>HYPERLINK("http://funmeta.oebiotech.com/network/20961", "http://funmeta.oebiotech.com/network/20961")</f>
      </c>
      <c r="I1152" s="2" t="s">
        <v>8907</v>
      </c>
      <c r="J1152" s="2" t="s">
        <v>8908</v>
      </c>
      <c r="K1152" s="2" t="s">
        <v>8909</v>
      </c>
      <c r="L1152" s="2" t="s">
        <v>7680</v>
      </c>
      <c r="M1152" s="2"/>
      <c r="N1152" s="2" t="s">
        <v>8910</v>
      </c>
      <c r="O1152" s="2"/>
      <c r="P1152" s="2" t="s">
        <v>8911</v>
      </c>
      <c r="Q1152" s="2" t="s">
        <v>8912</v>
      </c>
      <c r="R1152" s="2" t="s">
        <v>1490</v>
      </c>
      <c r="S1152" s="2" t="s">
        <v>4236</v>
      </c>
      <c r="T1152" s="2" t="s">
        <v>5369</v>
      </c>
      <c r="U1152" s="2" t="s">
        <v>8904</v>
      </c>
      <c r="V1152" s="2" t="s">
        <v>42</v>
      </c>
      <c r="W1152" s="2" t="s">
        <v>39</v>
      </c>
    </row>
    <row r="1153">
      <c r="A1153" s="2" t="n">
        <v>832</v>
      </c>
      <c r="B1153" s="2" t="s">
        <v>15139</v>
      </c>
      <c r="C1153" s="2" t="s">
        <v>8913</v>
      </c>
      <c r="D1153" s="2" t="n">
        <v>821.54741211</v>
      </c>
      <c r="E1153" s="2" t="n">
        <v>0.938279859861241</v>
      </c>
      <c r="F1153" s="2" t="s">
        <v>8915</v>
      </c>
      <c r="G1153" s="2" t="n">
        <v>53676</v>
      </c>
      <c r="H1153" s="3" t="str">
        <f>HYPERLINK("http://funmeta.oebiotech.com/network/53676", "http://funmeta.oebiotech.com/network/53676")</f>
      </c>
      <c r="I1153" s="2" t="s">
        <v>8917</v>
      </c>
      <c r="J1153" s="2" t="s">
        <v>8918</v>
      </c>
      <c r="K1153" s="2"/>
      <c r="L1153" s="2"/>
      <c r="M1153" s="2" t="s">
        <v>8919</v>
      </c>
      <c r="N1153" s="2" t="s">
        <v>8920</v>
      </c>
      <c r="O1153" s="2" t="s">
        <v>8921</v>
      </c>
      <c r="P1153" s="2" t="s">
        <v>8922</v>
      </c>
      <c r="Q1153" s="2" t="s">
        <v>8923</v>
      </c>
      <c r="R1153" s="2" t="s">
        <v>502</v>
      </c>
      <c r="S1153" s="2" t="s">
        <v>503</v>
      </c>
      <c r="T1153" s="2" t="s">
        <v>5166</v>
      </c>
      <c r="U1153" s="2" t="s">
        <v>8914</v>
      </c>
      <c r="V1153" s="2" t="s">
        <v>1019</v>
      </c>
      <c r="W1153" s="2"/>
    </row>
    <row r="1154">
      <c r="A1154" s="2" t="n">
        <v>833</v>
      </c>
      <c r="B1154" s="2" t="s">
        <v>15140</v>
      </c>
      <c r="C1154" s="2" t="s">
        <v>8924</v>
      </c>
      <c r="D1154" s="2" t="n">
        <v>824.121389519</v>
      </c>
      <c r="E1154" s="2" t="n">
        <v>2.24623525750819</v>
      </c>
      <c r="F1154" s="2" t="s">
        <v>8926</v>
      </c>
      <c r="G1154" s="2" t="n">
        <v>47447</v>
      </c>
      <c r="H1154" s="3" t="str">
        <f>HYPERLINK("http://funmeta.oebiotech.com/network/47447", "http://funmeta.oebiotech.com/network/47447")</f>
      </c>
      <c r="I1154" s="2" t="s">
        <v>8928</v>
      </c>
      <c r="J1154" s="2" t="s">
        <v>8929</v>
      </c>
      <c r="K1154" s="2"/>
      <c r="L1154" s="2" t="s">
        <v>8930</v>
      </c>
      <c r="M1154" s="2" t="s">
        <v>8931</v>
      </c>
      <c r="N1154" s="2" t="s">
        <v>8932</v>
      </c>
      <c r="O1154" s="2" t="s">
        <v>8933</v>
      </c>
      <c r="P1154" s="2" t="s">
        <v>8934</v>
      </c>
      <c r="Q1154" s="2" t="s">
        <v>8935</v>
      </c>
      <c r="R1154" s="2" t="s">
        <v>2590</v>
      </c>
      <c r="S1154" s="2" t="s">
        <v>8936</v>
      </c>
      <c r="T1154" s="2" t="s">
        <v>205</v>
      </c>
      <c r="U1154" s="2" t="s">
        <v>8925</v>
      </c>
      <c r="V1154" s="2" t="s">
        <v>250</v>
      </c>
      <c r="W1154" s="2" t="s">
        <v>39</v>
      </c>
    </row>
    <row r="1155">
      <c r="A1155" s="2" t="n">
        <v>834</v>
      </c>
      <c r="B1155" s="2" t="s">
        <v>15141</v>
      </c>
      <c r="C1155" s="2" t="s">
        <v>8937</v>
      </c>
      <c r="D1155" s="2" t="n">
        <v>826.552292495</v>
      </c>
      <c r="E1155" s="2" t="n">
        <v>3.08681736162398</v>
      </c>
      <c r="F1155" s="2" t="s">
        <v>8939</v>
      </c>
      <c r="G1155" s="2" t="n">
        <v>49713</v>
      </c>
      <c r="H1155" s="3" t="str">
        <f>HYPERLINK("http://funmeta.oebiotech.com/network/49713", "http://funmeta.oebiotech.com/network/49713")</f>
      </c>
      <c r="I1155" s="2" t="s">
        <v>8941</v>
      </c>
      <c r="J1155" s="2" t="s">
        <v>8942</v>
      </c>
      <c r="K1155" s="2"/>
      <c r="L1155" s="2" t="s">
        <v>8608</v>
      </c>
      <c r="M1155" s="2" t="s">
        <v>8943</v>
      </c>
      <c r="N1155" s="2" t="s">
        <v>8944</v>
      </c>
      <c r="O1155" s="2"/>
      <c r="P1155" s="2" t="s">
        <v>8945</v>
      </c>
      <c r="Q1155" s="2" t="s">
        <v>8946</v>
      </c>
      <c r="R1155" s="2" t="s">
        <v>1490</v>
      </c>
      <c r="S1155" s="2" t="s">
        <v>4236</v>
      </c>
      <c r="T1155" s="2" t="s">
        <v>8613</v>
      </c>
      <c r="U1155" s="2" t="s">
        <v>8938</v>
      </c>
      <c r="V1155" s="2" t="s">
        <v>522</v>
      </c>
      <c r="W1155" s="2" t="s">
        <v>39</v>
      </c>
    </row>
    <row r="1156">
      <c r="A1156" s="2" t="n">
        <v>835</v>
      </c>
      <c r="B1156" s="2" t="s">
        <v>15142</v>
      </c>
      <c r="C1156" s="2" t="s">
        <v>8947</v>
      </c>
      <c r="D1156" s="2" t="n">
        <v>827.176581568</v>
      </c>
      <c r="E1156" s="2" t="n">
        <v>1.54088571588232</v>
      </c>
      <c r="F1156" s="2" t="s">
        <v>8949</v>
      </c>
      <c r="G1156" s="2" t="n">
        <v>203610</v>
      </c>
      <c r="H1156" s="3" t="str">
        <f>HYPERLINK("http://funmeta.oebiotech.com/network/203610", "http://funmeta.oebiotech.com/network/203610")</f>
      </c>
      <c r="I1156" s="2" t="s">
        <v>8951</v>
      </c>
      <c r="J1156" s="2"/>
      <c r="K1156" s="2"/>
      <c r="L1156" s="2"/>
      <c r="M1156" s="2"/>
      <c r="N1156" s="2" t="s">
        <v>8952</v>
      </c>
      <c r="O1156" s="2"/>
      <c r="P1156" s="2" t="s">
        <v>8953</v>
      </c>
      <c r="Q1156" s="2" t="s">
        <v>8954</v>
      </c>
      <c r="R1156" s="2" t="s">
        <v>502</v>
      </c>
      <c r="S1156" s="2" t="s">
        <v>503</v>
      </c>
      <c r="T1156" s="2" t="s">
        <v>1964</v>
      </c>
      <c r="U1156" s="2" t="s">
        <v>8948</v>
      </c>
      <c r="V1156" s="2" t="s">
        <v>1019</v>
      </c>
      <c r="W1156" s="2"/>
    </row>
    <row r="1157">
      <c r="A1157" s="2" t="n">
        <v>836</v>
      </c>
      <c r="B1157" s="2" t="s">
        <v>15143</v>
      </c>
      <c r="C1157" s="2" t="s">
        <v>8955</v>
      </c>
      <c r="D1157" s="2" t="n">
        <v>829.575280631</v>
      </c>
      <c r="E1157" s="2" t="n">
        <v>5.77711661883161</v>
      </c>
      <c r="F1157" s="2" t="s">
        <v>8957</v>
      </c>
      <c r="G1157" s="2" t="n">
        <v>135184</v>
      </c>
      <c r="H1157" s="3" t="str">
        <f>HYPERLINK("http://funmeta.oebiotech.com/network/135184", "http://funmeta.oebiotech.com/network/135184")</f>
      </c>
      <c r="I1157" s="2" t="s">
        <v>8959</v>
      </c>
      <c r="J1157" s="2"/>
      <c r="K1157" s="2"/>
      <c r="L1157" s="2"/>
      <c r="M1157" s="2"/>
      <c r="N1157" s="2" t="s">
        <v>8960</v>
      </c>
      <c r="O1157" s="2"/>
      <c r="P1157" s="2" t="s">
        <v>8961</v>
      </c>
      <c r="Q1157" s="2" t="s">
        <v>8962</v>
      </c>
      <c r="R1157" s="2" t="s">
        <v>1490</v>
      </c>
      <c r="S1157" s="2" t="s">
        <v>4236</v>
      </c>
      <c r="T1157" s="2" t="s">
        <v>5175</v>
      </c>
      <c r="U1157" s="2" t="s">
        <v>8956</v>
      </c>
      <c r="V1157" s="2" t="s">
        <v>110</v>
      </c>
      <c r="W1157" s="2"/>
    </row>
    <row r="1158">
      <c r="A1158" s="2" t="n">
        <v>837</v>
      </c>
      <c r="B1158" s="2" t="s">
        <v>15144</v>
      </c>
      <c r="C1158" s="2" t="s">
        <v>8963</v>
      </c>
      <c r="D1158" s="2" t="n">
        <v>830.583592623</v>
      </c>
      <c r="E1158" s="2" t="n">
        <v>1.67961816209146</v>
      </c>
      <c r="F1158" s="2" t="s">
        <v>8965</v>
      </c>
      <c r="G1158" s="2" t="n">
        <v>49673</v>
      </c>
      <c r="H1158" s="3" t="str">
        <f>HYPERLINK("http://funmeta.oebiotech.com/network/49673", "http://funmeta.oebiotech.com/network/49673")</f>
      </c>
      <c r="I1158" s="2" t="s">
        <v>8967</v>
      </c>
      <c r="J1158" s="2" t="s">
        <v>8968</v>
      </c>
      <c r="K1158" s="2"/>
      <c r="L1158" s="2" t="s">
        <v>8608</v>
      </c>
      <c r="M1158" s="2" t="s">
        <v>8969</v>
      </c>
      <c r="N1158" s="2" t="s">
        <v>8970</v>
      </c>
      <c r="O1158" s="2"/>
      <c r="P1158" s="2" t="s">
        <v>8971</v>
      </c>
      <c r="Q1158" s="2" t="s">
        <v>8972</v>
      </c>
      <c r="R1158" s="2" t="s">
        <v>1490</v>
      </c>
      <c r="S1158" s="2" t="s">
        <v>4236</v>
      </c>
      <c r="T1158" s="2" t="s">
        <v>8613</v>
      </c>
      <c r="U1158" s="2" t="s">
        <v>8964</v>
      </c>
      <c r="V1158" s="2" t="s">
        <v>522</v>
      </c>
      <c r="W1158" s="2" t="s">
        <v>39</v>
      </c>
    </row>
    <row r="1159">
      <c r="A1159" s="2" t="n">
        <v>838</v>
      </c>
      <c r="B1159" s="2" t="s">
        <v>15145</v>
      </c>
      <c r="C1159" s="2" t="s">
        <v>8973</v>
      </c>
      <c r="D1159" s="2" t="n">
        <v>831.500496126</v>
      </c>
      <c r="E1159" s="2" t="n">
        <v>0.319423614800843</v>
      </c>
      <c r="F1159" s="2" t="s">
        <v>8975</v>
      </c>
      <c r="G1159" s="2" t="n">
        <v>50428</v>
      </c>
      <c r="H1159" s="3" t="str">
        <f>HYPERLINK("http://funmeta.oebiotech.com/network/50428", "http://funmeta.oebiotech.com/network/50428")</f>
      </c>
      <c r="I1159" s="2" t="s">
        <v>8977</v>
      </c>
      <c r="J1159" s="2"/>
      <c r="K1159" s="2"/>
      <c r="L1159" s="2"/>
      <c r="M1159" s="2"/>
      <c r="N1159" s="2"/>
      <c r="O1159" s="2"/>
      <c r="P1159" s="2" t="s">
        <v>8978</v>
      </c>
      <c r="Q1159" s="2" t="s">
        <v>8979</v>
      </c>
      <c r="R1159" s="2" t="s">
        <v>1490</v>
      </c>
      <c r="S1159" s="2" t="s">
        <v>4236</v>
      </c>
      <c r="T1159" s="2" t="s">
        <v>4237</v>
      </c>
      <c r="U1159" s="2" t="s">
        <v>8974</v>
      </c>
      <c r="V1159" s="2" t="s">
        <v>360</v>
      </c>
      <c r="W1159" s="2"/>
    </row>
    <row r="1160">
      <c r="A1160" s="2" t="n">
        <v>839</v>
      </c>
      <c r="B1160" s="2" t="s">
        <v>15146</v>
      </c>
      <c r="C1160" s="2" t="s">
        <v>8980</v>
      </c>
      <c r="D1160" s="2" t="n">
        <v>832.511001233</v>
      </c>
      <c r="E1160" s="2" t="n">
        <v>9.6870018534878</v>
      </c>
      <c r="F1160" s="2" t="s">
        <v>8982</v>
      </c>
      <c r="G1160" s="2" t="n">
        <v>50800</v>
      </c>
      <c r="H1160" s="3" t="str">
        <f>HYPERLINK("http://funmeta.oebiotech.com/network/50800", "http://funmeta.oebiotech.com/network/50800")</f>
      </c>
      <c r="I1160" s="2" t="s">
        <v>8984</v>
      </c>
      <c r="J1160" s="2" t="s">
        <v>8985</v>
      </c>
      <c r="K1160" s="2"/>
      <c r="L1160" s="2" t="s">
        <v>8986</v>
      </c>
      <c r="M1160" s="2" t="s">
        <v>8987</v>
      </c>
      <c r="N1160" s="2" t="s">
        <v>8988</v>
      </c>
      <c r="O1160" s="2"/>
      <c r="P1160" s="2" t="s">
        <v>8989</v>
      </c>
      <c r="Q1160" s="2" t="s">
        <v>8990</v>
      </c>
      <c r="R1160" s="2" t="s">
        <v>1490</v>
      </c>
      <c r="S1160" s="2" t="s">
        <v>4236</v>
      </c>
      <c r="T1160" s="2" t="s">
        <v>8380</v>
      </c>
      <c r="U1160" s="2" t="s">
        <v>8981</v>
      </c>
      <c r="V1160" s="2" t="s">
        <v>360</v>
      </c>
      <c r="W1160" s="2" t="s">
        <v>39</v>
      </c>
    </row>
    <row r="1161">
      <c r="A1161" s="2" t="n">
        <v>840</v>
      </c>
      <c r="B1161" s="2" t="s">
        <v>15147</v>
      </c>
      <c r="C1161" s="2" t="s">
        <v>8991</v>
      </c>
      <c r="D1161" s="2" t="n">
        <v>833.51048726</v>
      </c>
      <c r="E1161" s="2" t="n">
        <v>5.57347621349587</v>
      </c>
      <c r="F1161" s="2" t="s">
        <v>8993</v>
      </c>
      <c r="G1161" s="2" t="n">
        <v>23446</v>
      </c>
      <c r="H1161" s="3" t="str">
        <f>HYPERLINK("http://funmeta.oebiotech.com/network/23446", "http://funmeta.oebiotech.com/network/23446")</f>
      </c>
      <c r="I1161" s="2" t="s">
        <v>8995</v>
      </c>
      <c r="J1161" s="2" t="s">
        <v>8996</v>
      </c>
      <c r="K1161" s="2" t="s">
        <v>8997</v>
      </c>
      <c r="L1161" s="2"/>
      <c r="M1161" s="2" t="s">
        <v>8998</v>
      </c>
      <c r="N1161" s="2" t="s">
        <v>8999</v>
      </c>
      <c r="O1161" s="2"/>
      <c r="P1161" s="2" t="s">
        <v>9000</v>
      </c>
      <c r="Q1161" s="2" t="s">
        <v>9001</v>
      </c>
      <c r="R1161" s="2" t="s">
        <v>1490</v>
      </c>
      <c r="S1161" s="2" t="s">
        <v>4236</v>
      </c>
      <c r="T1161" s="2" t="s">
        <v>8063</v>
      </c>
      <c r="U1161" s="2" t="s">
        <v>8992</v>
      </c>
      <c r="V1161" s="2" t="s">
        <v>522</v>
      </c>
      <c r="W1161" s="2"/>
    </row>
    <row r="1162">
      <c r="A1162" s="2" t="n">
        <v>841</v>
      </c>
      <c r="B1162" s="2" t="s">
        <v>15148</v>
      </c>
      <c r="C1162" s="2" t="s">
        <v>9002</v>
      </c>
      <c r="D1162" s="2" t="n">
        <v>835.143404</v>
      </c>
      <c r="E1162" s="2" t="n">
        <v>5.84771372125453</v>
      </c>
      <c r="F1162" s="2" t="s">
        <v>9004</v>
      </c>
      <c r="G1162" s="2" t="n">
        <v>206413</v>
      </c>
      <c r="H1162" s="3" t="str">
        <f>HYPERLINK("http://funmeta.oebiotech.com/network/206413", "http://funmeta.oebiotech.com/network/206413")</f>
      </c>
      <c r="I1162" s="2" t="s">
        <v>9006</v>
      </c>
      <c r="J1162" s="2"/>
      <c r="K1162" s="2"/>
      <c r="L1162" s="2"/>
      <c r="M1162" s="2"/>
      <c r="N1162" s="2" t="s">
        <v>9007</v>
      </c>
      <c r="O1162" s="2"/>
      <c r="P1162" s="2" t="s">
        <v>9008</v>
      </c>
      <c r="Q1162" s="2" t="s">
        <v>9009</v>
      </c>
      <c r="R1162" s="2" t="s">
        <v>502</v>
      </c>
      <c r="S1162" s="2" t="s">
        <v>503</v>
      </c>
      <c r="T1162" s="2" t="s">
        <v>9010</v>
      </c>
      <c r="U1162" s="2" t="s">
        <v>9003</v>
      </c>
      <c r="V1162" s="2" t="s">
        <v>1019</v>
      </c>
      <c r="W1162" s="2"/>
    </row>
    <row r="1163">
      <c r="A1163" s="2" t="n">
        <v>842</v>
      </c>
      <c r="B1163" s="2" t="s">
        <v>15149</v>
      </c>
      <c r="C1163" s="2" t="s">
        <v>9011</v>
      </c>
      <c r="D1163" s="2" t="n">
        <v>836.523578925</v>
      </c>
      <c r="E1163" s="2" t="n">
        <v>4.67875082690803</v>
      </c>
      <c r="F1163" s="2" t="s">
        <v>9013</v>
      </c>
      <c r="G1163" s="2" t="n">
        <v>50313</v>
      </c>
      <c r="H1163" s="3" t="str">
        <f>HYPERLINK("http://funmeta.oebiotech.com/network/50313", "http://funmeta.oebiotech.com/network/50313")</f>
      </c>
      <c r="I1163" s="2" t="s">
        <v>9015</v>
      </c>
      <c r="J1163" s="2" t="s">
        <v>9016</v>
      </c>
      <c r="K1163" s="2"/>
      <c r="L1163" s="2" t="s">
        <v>7680</v>
      </c>
      <c r="M1163" s="2"/>
      <c r="N1163" s="2" t="s">
        <v>9017</v>
      </c>
      <c r="O1163" s="2"/>
      <c r="P1163" s="2" t="s">
        <v>9018</v>
      </c>
      <c r="Q1163" s="2" t="s">
        <v>9019</v>
      </c>
      <c r="R1163" s="2" t="s">
        <v>1490</v>
      </c>
      <c r="S1163" s="2" t="s">
        <v>4236</v>
      </c>
      <c r="T1163" s="2" t="s">
        <v>5369</v>
      </c>
      <c r="U1163" s="2" t="s">
        <v>9012</v>
      </c>
      <c r="V1163" s="2" t="s">
        <v>110</v>
      </c>
      <c r="W1163" s="2" t="s">
        <v>39</v>
      </c>
    </row>
    <row r="1164">
      <c r="A1164" s="2" t="n">
        <v>843</v>
      </c>
      <c r="B1164" s="2" t="s">
        <v>15150</v>
      </c>
      <c r="C1164" s="2" t="s">
        <v>9020</v>
      </c>
      <c r="D1164" s="2" t="n">
        <v>839.498473061</v>
      </c>
      <c r="E1164" s="2" t="n">
        <v>3.74553077093926</v>
      </c>
      <c r="F1164" s="2" t="s">
        <v>9022</v>
      </c>
      <c r="G1164" s="2" t="n">
        <v>212087</v>
      </c>
      <c r="H1164" s="3" t="str">
        <f>HYPERLINK("http://funmeta.oebiotech.com/network/212087", "http://funmeta.oebiotech.com/network/212087")</f>
      </c>
      <c r="I1164" s="2" t="s">
        <v>9024</v>
      </c>
      <c r="J1164" s="2"/>
      <c r="K1164" s="2"/>
      <c r="L1164" s="2"/>
      <c r="M1164" s="2"/>
      <c r="N1164" s="2"/>
      <c r="O1164" s="2"/>
      <c r="P1164" s="2" t="s">
        <v>9025</v>
      </c>
      <c r="Q1164" s="2" t="s">
        <v>9026</v>
      </c>
      <c r="R1164" s="2" t="s">
        <v>1490</v>
      </c>
      <c r="S1164" s="2" t="s">
        <v>6728</v>
      </c>
      <c r="T1164" s="2" t="s">
        <v>9027</v>
      </c>
      <c r="U1164" s="2" t="s">
        <v>9021</v>
      </c>
      <c r="V1164" s="2" t="s">
        <v>110</v>
      </c>
      <c r="W1164" s="2"/>
    </row>
    <row r="1165">
      <c r="A1165" s="2" t="n">
        <v>844</v>
      </c>
      <c r="B1165" s="2" t="s">
        <v>15151</v>
      </c>
      <c r="C1165" s="2" t="s">
        <v>9028</v>
      </c>
      <c r="D1165" s="2" t="n">
        <v>840.503233105</v>
      </c>
      <c r="E1165" s="2" t="n">
        <v>0.871077333752907</v>
      </c>
      <c r="F1165" s="2" t="s">
        <v>15152</v>
      </c>
      <c r="G1165" s="2" t="n">
        <v>83084</v>
      </c>
      <c r="H1165" s="3" t="str">
        <f>HYPERLINK("http://funmeta.oebiotech.com/network/83084", "http://funmeta.oebiotech.com/network/83084")</f>
      </c>
      <c r="I1165" s="2" t="s">
        <v>15153</v>
      </c>
      <c r="J1165" s="2"/>
      <c r="K1165" s="2"/>
      <c r="L1165" s="2"/>
      <c r="M1165" s="2"/>
      <c r="N1165" s="2"/>
      <c r="O1165" s="2"/>
      <c r="P1165" s="2" t="s">
        <v>15154</v>
      </c>
      <c r="Q1165" s="2" t="s">
        <v>15155</v>
      </c>
      <c r="R1165" s="2" t="s">
        <v>1490</v>
      </c>
      <c r="S1165" s="2" t="s">
        <v>4236</v>
      </c>
      <c r="T1165" s="2" t="s">
        <v>5369</v>
      </c>
      <c r="U1165" s="2" t="s">
        <v>9029</v>
      </c>
      <c r="V1165" s="2" t="s">
        <v>24</v>
      </c>
      <c r="W1165" s="2"/>
    </row>
    <row r="1166">
      <c r="A1166" s="2" t="n">
        <v>844</v>
      </c>
      <c r="B1166" s="2" t="s">
        <v>15156</v>
      </c>
      <c r="C1166" s="2" t="s">
        <v>9028</v>
      </c>
      <c r="D1166" s="2" t="n">
        <v>840.503233105</v>
      </c>
      <c r="E1166" s="2" t="n">
        <v>0.871077333752907</v>
      </c>
      <c r="F1166" s="2" t="s">
        <v>15157</v>
      </c>
      <c r="G1166" s="2" t="n">
        <v>83108</v>
      </c>
      <c r="H1166" s="3" t="str">
        <f>HYPERLINK("http://funmeta.oebiotech.com/network/83108", "http://funmeta.oebiotech.com/network/83108")</f>
      </c>
      <c r="I1166" s="2" t="s">
        <v>15158</v>
      </c>
      <c r="J1166" s="2"/>
      <c r="K1166" s="2"/>
      <c r="L1166" s="2"/>
      <c r="M1166" s="2"/>
      <c r="N1166" s="2"/>
      <c r="O1166" s="2"/>
      <c r="P1166" s="2" t="s">
        <v>15159</v>
      </c>
      <c r="Q1166" s="2" t="s">
        <v>15160</v>
      </c>
      <c r="R1166" s="2" t="s">
        <v>1490</v>
      </c>
      <c r="S1166" s="2" t="s">
        <v>4236</v>
      </c>
      <c r="T1166" s="2" t="s">
        <v>5369</v>
      </c>
      <c r="U1166" s="2" t="s">
        <v>9029</v>
      </c>
      <c r="V1166" s="2" t="s">
        <v>24</v>
      </c>
      <c r="W1166" s="2"/>
    </row>
    <row r="1167">
      <c r="A1167" s="2" t="n">
        <v>844</v>
      </c>
      <c r="B1167" s="2" t="s">
        <v>15161</v>
      </c>
      <c r="C1167" s="2" t="s">
        <v>9028</v>
      </c>
      <c r="D1167" s="2" t="n">
        <v>840.503233105</v>
      </c>
      <c r="E1167" s="2" t="n">
        <v>0.871077333752907</v>
      </c>
      <c r="F1167" s="2" t="s">
        <v>15162</v>
      </c>
      <c r="G1167" s="2" t="n">
        <v>83112</v>
      </c>
      <c r="H1167" s="3" t="str">
        <f>HYPERLINK("http://funmeta.oebiotech.com/network/83112", "http://funmeta.oebiotech.com/network/83112")</f>
      </c>
      <c r="I1167" s="2" t="s">
        <v>15163</v>
      </c>
      <c r="J1167" s="2"/>
      <c r="K1167" s="2"/>
      <c r="L1167" s="2"/>
      <c r="M1167" s="2"/>
      <c r="N1167" s="2"/>
      <c r="O1167" s="2"/>
      <c r="P1167" s="2" t="s">
        <v>15164</v>
      </c>
      <c r="Q1167" s="2" t="s">
        <v>15165</v>
      </c>
      <c r="R1167" s="2" t="s">
        <v>1490</v>
      </c>
      <c r="S1167" s="2" t="s">
        <v>4236</v>
      </c>
      <c r="T1167" s="2" t="s">
        <v>5369</v>
      </c>
      <c r="U1167" s="2" t="s">
        <v>9029</v>
      </c>
      <c r="V1167" s="2" t="s">
        <v>24</v>
      </c>
      <c r="W1167" s="2"/>
    </row>
    <row r="1168">
      <c r="A1168" s="2" t="n">
        <v>845</v>
      </c>
      <c r="B1168" s="2" t="s">
        <v>15166</v>
      </c>
      <c r="C1168" s="2" t="s">
        <v>9035</v>
      </c>
      <c r="D1168" s="2" t="n">
        <v>840.576004117</v>
      </c>
      <c r="E1168" s="2" t="n">
        <v>2.85045690771995</v>
      </c>
      <c r="F1168" s="2" t="s">
        <v>15167</v>
      </c>
      <c r="G1168" s="2" t="n">
        <v>20889</v>
      </c>
      <c r="H1168" s="3" t="str">
        <f>HYPERLINK("http://funmeta.oebiotech.com/network/20889", "http://funmeta.oebiotech.com/network/20889")</f>
      </c>
      <c r="I1168" s="2" t="s">
        <v>15168</v>
      </c>
      <c r="J1168" s="2" t="s">
        <v>15169</v>
      </c>
      <c r="K1168" s="2" t="s">
        <v>15170</v>
      </c>
      <c r="L1168" s="2" t="s">
        <v>7680</v>
      </c>
      <c r="M1168" s="2" t="s">
        <v>15171</v>
      </c>
      <c r="N1168" s="2" t="s">
        <v>15172</v>
      </c>
      <c r="O1168" s="2"/>
      <c r="P1168" s="2" t="s">
        <v>15173</v>
      </c>
      <c r="Q1168" s="2" t="s">
        <v>15174</v>
      </c>
      <c r="R1168" s="2" t="s">
        <v>1490</v>
      </c>
      <c r="S1168" s="2" t="s">
        <v>4236</v>
      </c>
      <c r="T1168" s="2" t="s">
        <v>5369</v>
      </c>
      <c r="U1168" s="2" t="s">
        <v>9036</v>
      </c>
      <c r="V1168" s="2" t="s">
        <v>24</v>
      </c>
      <c r="W1168" s="2" t="s">
        <v>39</v>
      </c>
    </row>
    <row r="1169">
      <c r="A1169" s="2" t="n">
        <v>845</v>
      </c>
      <c r="B1169" s="2" t="s">
        <v>15175</v>
      </c>
      <c r="C1169" s="2" t="s">
        <v>9035</v>
      </c>
      <c r="D1169" s="2" t="n">
        <v>840.576004117</v>
      </c>
      <c r="E1169" s="2" t="n">
        <v>2.85045690771995</v>
      </c>
      <c r="F1169" s="2" t="s">
        <v>15176</v>
      </c>
      <c r="G1169" s="2" t="n">
        <v>18688</v>
      </c>
      <c r="H1169" s="3" t="str">
        <f>HYPERLINK("http://funmeta.oebiotech.com/network/18688", "http://funmeta.oebiotech.com/network/18688")</f>
      </c>
      <c r="I1169" s="2" t="s">
        <v>15177</v>
      </c>
      <c r="J1169" s="2" t="s">
        <v>15178</v>
      </c>
      <c r="K1169" s="2" t="s">
        <v>15179</v>
      </c>
      <c r="L1169" s="2" t="s">
        <v>8608</v>
      </c>
      <c r="M1169" s="2"/>
      <c r="N1169" s="2" t="s">
        <v>15180</v>
      </c>
      <c r="O1169" s="2"/>
      <c r="P1169" s="2" t="s">
        <v>15181</v>
      </c>
      <c r="Q1169" s="2" t="s">
        <v>15182</v>
      </c>
      <c r="R1169" s="2" t="s">
        <v>1490</v>
      </c>
      <c r="S1169" s="2" t="s">
        <v>4236</v>
      </c>
      <c r="T1169" s="2" t="s">
        <v>8613</v>
      </c>
      <c r="U1169" s="2" t="s">
        <v>9036</v>
      </c>
      <c r="V1169" s="2" t="s">
        <v>24</v>
      </c>
      <c r="W1169" s="2" t="s">
        <v>39</v>
      </c>
    </row>
    <row r="1170">
      <c r="A1170" s="2" t="n">
        <v>846</v>
      </c>
      <c r="B1170" s="2" t="s">
        <v>15183</v>
      </c>
      <c r="C1170" s="2" t="s">
        <v>9046</v>
      </c>
      <c r="D1170" s="2" t="n">
        <v>841.511234006</v>
      </c>
      <c r="E1170" s="2" t="n">
        <v>0.0557640597647426</v>
      </c>
      <c r="F1170" s="2" t="s">
        <v>9048</v>
      </c>
      <c r="G1170" s="2" t="n">
        <v>213475</v>
      </c>
      <c r="H1170" s="3" t="str">
        <f>HYPERLINK("http://funmeta.oebiotech.com/network/213475", "http://funmeta.oebiotech.com/network/213475")</f>
      </c>
      <c r="I1170" s="2" t="s">
        <v>9050</v>
      </c>
      <c r="J1170" s="2"/>
      <c r="K1170" s="2"/>
      <c r="L1170" s="2"/>
      <c r="M1170" s="2"/>
      <c r="N1170" s="2"/>
      <c r="O1170" s="2"/>
      <c r="P1170" s="2" t="s">
        <v>9051</v>
      </c>
      <c r="Q1170" s="2" t="s">
        <v>9052</v>
      </c>
      <c r="R1170" s="2" t="s">
        <v>355</v>
      </c>
      <c r="S1170" s="2" t="s">
        <v>1316</v>
      </c>
      <c r="T1170" s="2" t="s">
        <v>205</v>
      </c>
      <c r="U1170" s="2" t="s">
        <v>9047</v>
      </c>
      <c r="V1170" s="2" t="s">
        <v>522</v>
      </c>
      <c r="W1170" s="2"/>
    </row>
    <row r="1171">
      <c r="A1171" s="2" t="n">
        <v>847</v>
      </c>
      <c r="B1171" s="2" t="s">
        <v>15184</v>
      </c>
      <c r="C1171" s="2" t="s">
        <v>9053</v>
      </c>
      <c r="D1171" s="2" t="n">
        <v>842.522435129</v>
      </c>
      <c r="E1171" s="2" t="n">
        <v>0.0812621396557009</v>
      </c>
      <c r="F1171" s="2" t="s">
        <v>9055</v>
      </c>
      <c r="G1171" s="2" t="n">
        <v>51990</v>
      </c>
      <c r="H1171" s="3" t="str">
        <f>HYPERLINK("http://funmeta.oebiotech.com/network/51990", "http://funmeta.oebiotech.com/network/51990")</f>
      </c>
      <c r="I1171" s="2" t="s">
        <v>9057</v>
      </c>
      <c r="J1171" s="2" t="s">
        <v>9058</v>
      </c>
      <c r="K1171" s="2"/>
      <c r="L1171" s="2" t="s">
        <v>9059</v>
      </c>
      <c r="M1171" s="2"/>
      <c r="N1171" s="2" t="s">
        <v>9060</v>
      </c>
      <c r="O1171" s="2" t="s">
        <v>9061</v>
      </c>
      <c r="P1171" s="2" t="s">
        <v>9062</v>
      </c>
      <c r="Q1171" s="2" t="s">
        <v>9063</v>
      </c>
      <c r="R1171" s="2" t="s">
        <v>1490</v>
      </c>
      <c r="S1171" s="2" t="s">
        <v>8433</v>
      </c>
      <c r="T1171" s="2" t="s">
        <v>8434</v>
      </c>
      <c r="U1171" s="2" t="s">
        <v>9054</v>
      </c>
      <c r="V1171" s="2" t="s">
        <v>522</v>
      </c>
      <c r="W1171" s="2" t="s">
        <v>39</v>
      </c>
    </row>
    <row r="1172">
      <c r="A1172" s="2" t="n">
        <v>848</v>
      </c>
      <c r="B1172" s="2" t="s">
        <v>15185</v>
      </c>
      <c r="C1172" s="2" t="s">
        <v>9064</v>
      </c>
      <c r="D1172" s="2" t="n">
        <v>843.177252656</v>
      </c>
      <c r="E1172" s="2" t="n">
        <v>5.92126691184772</v>
      </c>
      <c r="F1172" s="2" t="s">
        <v>15186</v>
      </c>
      <c r="G1172" s="2" t="n">
        <v>34969</v>
      </c>
      <c r="H1172" s="3" t="str">
        <f>HYPERLINK("http://funmeta.oebiotech.com/network/34969", "http://funmeta.oebiotech.com/network/34969")</f>
      </c>
      <c r="I1172" s="2" t="s">
        <v>15187</v>
      </c>
      <c r="J1172" s="2" t="s">
        <v>15188</v>
      </c>
      <c r="K1172" s="2" t="s">
        <v>15189</v>
      </c>
      <c r="L1172" s="2" t="s">
        <v>15190</v>
      </c>
      <c r="M1172" s="2" t="s">
        <v>15191</v>
      </c>
      <c r="N1172" s="2" t="s">
        <v>15192</v>
      </c>
      <c r="O1172" s="2" t="s">
        <v>15193</v>
      </c>
      <c r="P1172" s="2" t="s">
        <v>15194</v>
      </c>
      <c r="Q1172" s="2" t="s">
        <v>15195</v>
      </c>
      <c r="R1172" s="2" t="s">
        <v>502</v>
      </c>
      <c r="S1172" s="2" t="s">
        <v>3913</v>
      </c>
      <c r="T1172" s="2" t="s">
        <v>15196</v>
      </c>
      <c r="U1172" s="2" t="s">
        <v>9065</v>
      </c>
      <c r="V1172" s="2" t="s">
        <v>42</v>
      </c>
      <c r="W1172" s="2" t="s">
        <v>39</v>
      </c>
    </row>
    <row r="1173">
      <c r="A1173" s="2" t="n">
        <v>848</v>
      </c>
      <c r="B1173" s="2" t="s">
        <v>15197</v>
      </c>
      <c r="C1173" s="2" t="s">
        <v>9064</v>
      </c>
      <c r="D1173" s="2" t="n">
        <v>843.177252656</v>
      </c>
      <c r="E1173" s="2" t="n">
        <v>5.92126691184772</v>
      </c>
      <c r="F1173" s="2" t="s">
        <v>15198</v>
      </c>
      <c r="G1173" s="2" t="n">
        <v>34970</v>
      </c>
      <c r="H1173" s="3" t="str">
        <f>HYPERLINK("http://funmeta.oebiotech.com/network/34970", "http://funmeta.oebiotech.com/network/34970")</f>
      </c>
      <c r="I1173" s="2" t="s">
        <v>15199</v>
      </c>
      <c r="J1173" s="2" t="s">
        <v>15200</v>
      </c>
      <c r="K1173" s="2" t="s">
        <v>15201</v>
      </c>
      <c r="L1173" s="2" t="s">
        <v>15202</v>
      </c>
      <c r="M1173" s="2" t="s">
        <v>15203</v>
      </c>
      <c r="N1173" s="2" t="s">
        <v>15204</v>
      </c>
      <c r="O1173" s="2" t="s">
        <v>15205</v>
      </c>
      <c r="P1173" s="2" t="s">
        <v>15206</v>
      </c>
      <c r="Q1173" s="2" t="s">
        <v>15207</v>
      </c>
      <c r="R1173" s="2" t="s">
        <v>502</v>
      </c>
      <c r="S1173" s="2" t="s">
        <v>3913</v>
      </c>
      <c r="T1173" s="2" t="s">
        <v>15196</v>
      </c>
      <c r="U1173" s="2" t="s">
        <v>9065</v>
      </c>
      <c r="V1173" s="2" t="s">
        <v>42</v>
      </c>
      <c r="W1173" s="2" t="s">
        <v>39</v>
      </c>
    </row>
    <row r="1174">
      <c r="A1174" s="2" t="n">
        <v>849</v>
      </c>
      <c r="B1174" s="2" t="s">
        <v>15208</v>
      </c>
      <c r="C1174" s="2" t="s">
        <v>9079</v>
      </c>
      <c r="D1174" s="2" t="n">
        <v>843.529076702</v>
      </c>
      <c r="E1174" s="2" t="n">
        <v>5.70824406196081</v>
      </c>
      <c r="F1174" s="2" t="s">
        <v>9081</v>
      </c>
      <c r="G1174" s="2" t="n">
        <v>213113</v>
      </c>
      <c r="H1174" s="3" t="str">
        <f>HYPERLINK("http://funmeta.oebiotech.com/network/213113", "http://funmeta.oebiotech.com/network/213113")</f>
      </c>
      <c r="I1174" s="2" t="s">
        <v>9083</v>
      </c>
      <c r="J1174" s="2"/>
      <c r="K1174" s="2"/>
      <c r="L1174" s="2"/>
      <c r="M1174" s="2"/>
      <c r="N1174" s="2"/>
      <c r="O1174" s="2"/>
      <c r="P1174" s="2" t="s">
        <v>9084</v>
      </c>
      <c r="Q1174" s="2" t="s">
        <v>9085</v>
      </c>
      <c r="R1174" s="2" t="s">
        <v>355</v>
      </c>
      <c r="S1174" s="2" t="s">
        <v>5131</v>
      </c>
      <c r="T1174" s="2" t="s">
        <v>5132</v>
      </c>
      <c r="U1174" s="2" t="s">
        <v>9080</v>
      </c>
      <c r="V1174" s="2" t="s">
        <v>1019</v>
      </c>
      <c r="W1174" s="2"/>
    </row>
    <row r="1175">
      <c r="A1175" s="2" t="n">
        <v>850</v>
      </c>
      <c r="B1175" s="2" t="s">
        <v>15209</v>
      </c>
      <c r="C1175" s="2" t="s">
        <v>9086</v>
      </c>
      <c r="D1175" s="2" t="n">
        <v>844.562857181</v>
      </c>
      <c r="E1175" s="2" t="n">
        <v>1.16090823616277</v>
      </c>
      <c r="F1175" s="2" t="s">
        <v>9088</v>
      </c>
      <c r="G1175" s="2" t="n">
        <v>18275</v>
      </c>
      <c r="H1175" s="3" t="str">
        <f>HYPERLINK("http://funmeta.oebiotech.com/network/18275", "http://funmeta.oebiotech.com/network/18275")</f>
      </c>
      <c r="I1175" s="2" t="s">
        <v>9090</v>
      </c>
      <c r="J1175" s="2" t="s">
        <v>9091</v>
      </c>
      <c r="K1175" s="2" t="s">
        <v>9092</v>
      </c>
      <c r="L1175" s="2" t="s">
        <v>8608</v>
      </c>
      <c r="M1175" s="2" t="s">
        <v>9093</v>
      </c>
      <c r="N1175" s="2" t="s">
        <v>9094</v>
      </c>
      <c r="O1175" s="2"/>
      <c r="P1175" s="2" t="s">
        <v>9095</v>
      </c>
      <c r="Q1175" s="2" t="s">
        <v>9096</v>
      </c>
      <c r="R1175" s="2" t="s">
        <v>1490</v>
      </c>
      <c r="S1175" s="2" t="s">
        <v>4236</v>
      </c>
      <c r="T1175" s="2" t="s">
        <v>8613</v>
      </c>
      <c r="U1175" s="2" t="s">
        <v>9087</v>
      </c>
      <c r="V1175" s="2" t="s">
        <v>522</v>
      </c>
      <c r="W1175" s="2" t="s">
        <v>39</v>
      </c>
    </row>
    <row r="1176">
      <c r="A1176" s="2" t="n">
        <v>851</v>
      </c>
      <c r="B1176" s="2" t="s">
        <v>15210</v>
      </c>
      <c r="C1176" s="2" t="s">
        <v>9097</v>
      </c>
      <c r="D1176" s="2" t="n">
        <v>846.133598708</v>
      </c>
      <c r="E1176" s="2" t="n">
        <v>0.480059668123506</v>
      </c>
      <c r="F1176" s="2" t="s">
        <v>9099</v>
      </c>
      <c r="G1176" s="2" t="n">
        <v>47421</v>
      </c>
      <c r="H1176" s="3" t="str">
        <f>HYPERLINK("http://funmeta.oebiotech.com/network/47421", "http://funmeta.oebiotech.com/network/47421")</f>
      </c>
      <c r="I1176" s="2" t="s">
        <v>9101</v>
      </c>
      <c r="J1176" s="2"/>
      <c r="K1176" s="2"/>
      <c r="L1176" s="2" t="s">
        <v>9102</v>
      </c>
      <c r="M1176" s="2" t="s">
        <v>9103</v>
      </c>
      <c r="N1176" s="2"/>
      <c r="O1176" s="2" t="s">
        <v>9104</v>
      </c>
      <c r="P1176" s="2" t="s">
        <v>9105</v>
      </c>
      <c r="Q1176" s="2" t="s">
        <v>9106</v>
      </c>
      <c r="R1176" s="2" t="s">
        <v>1490</v>
      </c>
      <c r="S1176" s="2" t="s">
        <v>1491</v>
      </c>
      <c r="T1176" s="2" t="s">
        <v>9107</v>
      </c>
      <c r="U1176" s="2" t="s">
        <v>9098</v>
      </c>
      <c r="V1176" s="2" t="s">
        <v>42</v>
      </c>
      <c r="W1176" s="2" t="s">
        <v>39</v>
      </c>
    </row>
    <row r="1177">
      <c r="A1177" s="2" t="n">
        <v>852</v>
      </c>
      <c r="B1177" s="2" t="s">
        <v>15211</v>
      </c>
      <c r="C1177" s="2" t="s">
        <v>9108</v>
      </c>
      <c r="D1177" s="2" t="n">
        <v>846.578507245</v>
      </c>
      <c r="E1177" s="2" t="n">
        <v>2.38352170830021</v>
      </c>
      <c r="F1177" s="2" t="s">
        <v>9110</v>
      </c>
      <c r="G1177" s="2" t="n">
        <v>18755</v>
      </c>
      <c r="H1177" s="3" t="str">
        <f>HYPERLINK("http://funmeta.oebiotech.com/network/18755", "http://funmeta.oebiotech.com/network/18755")</f>
      </c>
      <c r="I1177" s="2" t="s">
        <v>9112</v>
      </c>
      <c r="J1177" s="2" t="s">
        <v>9113</v>
      </c>
      <c r="K1177" s="2" t="s">
        <v>9114</v>
      </c>
      <c r="L1177" s="2" t="s">
        <v>8608</v>
      </c>
      <c r="M1177" s="2" t="s">
        <v>9115</v>
      </c>
      <c r="N1177" s="2" t="s">
        <v>9116</v>
      </c>
      <c r="O1177" s="2"/>
      <c r="P1177" s="2" t="s">
        <v>9117</v>
      </c>
      <c r="Q1177" s="2" t="s">
        <v>9118</v>
      </c>
      <c r="R1177" s="2" t="s">
        <v>1490</v>
      </c>
      <c r="S1177" s="2" t="s">
        <v>4236</v>
      </c>
      <c r="T1177" s="2" t="s">
        <v>8613</v>
      </c>
      <c r="U1177" s="2" t="s">
        <v>9109</v>
      </c>
      <c r="V1177" s="2" t="s">
        <v>522</v>
      </c>
      <c r="W1177" s="2" t="s">
        <v>39</v>
      </c>
    </row>
    <row r="1178">
      <c r="A1178" s="2" t="n">
        <v>853</v>
      </c>
      <c r="B1178" s="2" t="s">
        <v>15212</v>
      </c>
      <c r="C1178" s="2" t="s">
        <v>9119</v>
      </c>
      <c r="D1178" s="2" t="n">
        <v>847.491394613</v>
      </c>
      <c r="E1178" s="2" t="n">
        <v>2.87207206660148</v>
      </c>
      <c r="F1178" s="2" t="s">
        <v>9121</v>
      </c>
      <c r="G1178" s="2" t="n">
        <v>23455</v>
      </c>
      <c r="H1178" s="3" t="str">
        <f>HYPERLINK("http://funmeta.oebiotech.com/network/23455", "http://funmeta.oebiotech.com/network/23455")</f>
      </c>
      <c r="I1178" s="2" t="s">
        <v>9123</v>
      </c>
      <c r="J1178" s="2" t="s">
        <v>9124</v>
      </c>
      <c r="K1178" s="2" t="s">
        <v>9125</v>
      </c>
      <c r="L1178" s="2"/>
      <c r="M1178" s="2"/>
      <c r="N1178" s="2" t="s">
        <v>9126</v>
      </c>
      <c r="O1178" s="2"/>
      <c r="P1178" s="2" t="s">
        <v>9127</v>
      </c>
      <c r="Q1178" s="2" t="s">
        <v>9128</v>
      </c>
      <c r="R1178" s="2" t="s">
        <v>1490</v>
      </c>
      <c r="S1178" s="2" t="s">
        <v>4236</v>
      </c>
      <c r="T1178" s="2" t="s">
        <v>8063</v>
      </c>
      <c r="U1178" s="2" t="s">
        <v>9120</v>
      </c>
      <c r="V1178" s="2" t="s">
        <v>42</v>
      </c>
      <c r="W1178" s="2"/>
    </row>
    <row r="1179">
      <c r="A1179" s="2" t="n">
        <v>854</v>
      </c>
      <c r="B1179" s="2" t="s">
        <v>15213</v>
      </c>
      <c r="C1179" s="2" t="s">
        <v>9129</v>
      </c>
      <c r="D1179" s="2" t="n">
        <v>849.149575214</v>
      </c>
      <c r="E1179" s="2" t="n">
        <v>0.310269664733092</v>
      </c>
      <c r="F1179" s="2" t="s">
        <v>15214</v>
      </c>
      <c r="G1179" s="2" t="n">
        <v>63168</v>
      </c>
      <c r="H1179" s="3" t="str">
        <f>HYPERLINK("http://funmeta.oebiotech.com/network/63168", "http://funmeta.oebiotech.com/network/63168")</f>
      </c>
      <c r="I1179" s="2" t="s">
        <v>15215</v>
      </c>
      <c r="J1179" s="2" t="s">
        <v>15216</v>
      </c>
      <c r="K1179" s="2"/>
      <c r="L1179" s="2"/>
      <c r="M1179" s="2"/>
      <c r="N1179" s="2" t="s">
        <v>15217</v>
      </c>
      <c r="O1179" s="2" t="s">
        <v>15218</v>
      </c>
      <c r="P1179" s="2" t="s">
        <v>15219</v>
      </c>
      <c r="Q1179" s="2" t="s">
        <v>15220</v>
      </c>
      <c r="R1179" s="2" t="s">
        <v>2509</v>
      </c>
      <c r="S1179" s="2" t="s">
        <v>5520</v>
      </c>
      <c r="T1179" s="2" t="s">
        <v>5664</v>
      </c>
      <c r="U1179" s="2" t="s">
        <v>9130</v>
      </c>
      <c r="V1179" s="2" t="s">
        <v>360</v>
      </c>
      <c r="W1179" s="2"/>
    </row>
    <row r="1180">
      <c r="A1180" s="2" t="n">
        <v>854</v>
      </c>
      <c r="B1180" s="2" t="s">
        <v>15221</v>
      </c>
      <c r="C1180" s="2" t="s">
        <v>9129</v>
      </c>
      <c r="D1180" s="2" t="n">
        <v>849.149575214</v>
      </c>
      <c r="E1180" s="2" t="n">
        <v>0.310269664733092</v>
      </c>
      <c r="F1180" s="2" t="s">
        <v>15222</v>
      </c>
      <c r="G1180" s="2" t="n">
        <v>63141</v>
      </c>
      <c r="H1180" s="3" t="str">
        <f>HYPERLINK("http://funmeta.oebiotech.com/network/63141", "http://funmeta.oebiotech.com/network/63141")</f>
      </c>
      <c r="I1180" s="2" t="s">
        <v>15223</v>
      </c>
      <c r="J1180" s="2" t="s">
        <v>15224</v>
      </c>
      <c r="K1180" s="2"/>
      <c r="L1180" s="2"/>
      <c r="M1180" s="2"/>
      <c r="N1180" s="2" t="s">
        <v>15225</v>
      </c>
      <c r="O1180" s="2"/>
      <c r="P1180" s="2" t="s">
        <v>15226</v>
      </c>
      <c r="Q1180" s="2" t="s">
        <v>15227</v>
      </c>
      <c r="R1180" s="2" t="s">
        <v>2509</v>
      </c>
      <c r="S1180" s="2" t="s">
        <v>5520</v>
      </c>
      <c r="T1180" s="2" t="s">
        <v>5664</v>
      </c>
      <c r="U1180" s="2" t="s">
        <v>9130</v>
      </c>
      <c r="V1180" s="2" t="s">
        <v>360</v>
      </c>
      <c r="W1180" s="2"/>
    </row>
    <row r="1181">
      <c r="A1181" s="2" t="n">
        <v>855</v>
      </c>
      <c r="B1181" s="2" t="s">
        <v>15228</v>
      </c>
      <c r="C1181" s="2" t="s">
        <v>9140</v>
      </c>
      <c r="D1181" s="2" t="n">
        <v>850.52566744</v>
      </c>
      <c r="E1181" s="2" t="n">
        <v>5.51544120409809</v>
      </c>
      <c r="F1181" s="2" t="s">
        <v>15229</v>
      </c>
      <c r="G1181" s="2" t="n">
        <v>200792</v>
      </c>
      <c r="H1181" s="3" t="str">
        <f>HYPERLINK("http://funmeta.oebiotech.com/network/200792", "http://funmeta.oebiotech.com/network/200792")</f>
      </c>
      <c r="I1181" s="2" t="s">
        <v>15230</v>
      </c>
      <c r="J1181" s="2"/>
      <c r="K1181" s="2"/>
      <c r="L1181" s="2"/>
      <c r="M1181" s="2"/>
      <c r="N1181" s="2" t="s">
        <v>15231</v>
      </c>
      <c r="O1181" s="2"/>
      <c r="P1181" s="2" t="s">
        <v>15232</v>
      </c>
      <c r="Q1181" s="2" t="s">
        <v>15233</v>
      </c>
      <c r="R1181" s="2" t="s">
        <v>502</v>
      </c>
      <c r="S1181" s="2" t="s">
        <v>503</v>
      </c>
      <c r="T1181" s="2" t="s">
        <v>3450</v>
      </c>
      <c r="U1181" s="2" t="s">
        <v>9141</v>
      </c>
      <c r="V1181" s="2" t="s">
        <v>1019</v>
      </c>
      <c r="W1181" s="2"/>
    </row>
    <row r="1182">
      <c r="A1182" s="2" t="n">
        <v>855</v>
      </c>
      <c r="B1182" s="2" t="s">
        <v>15234</v>
      </c>
      <c r="C1182" s="2" t="s">
        <v>9140</v>
      </c>
      <c r="D1182" s="2" t="n">
        <v>850.52566744</v>
      </c>
      <c r="E1182" s="2" t="n">
        <v>5.51544120409809</v>
      </c>
      <c r="F1182" s="2" t="s">
        <v>15235</v>
      </c>
      <c r="G1182" s="2" t="n">
        <v>201996</v>
      </c>
      <c r="H1182" s="3" t="str">
        <f>HYPERLINK("http://funmeta.oebiotech.com/network/201996", "http://funmeta.oebiotech.com/network/201996")</f>
      </c>
      <c r="I1182" s="2" t="s">
        <v>15236</v>
      </c>
      <c r="J1182" s="2"/>
      <c r="K1182" s="2"/>
      <c r="L1182" s="2"/>
      <c r="M1182" s="2"/>
      <c r="N1182" s="2" t="s">
        <v>15237</v>
      </c>
      <c r="O1182" s="2"/>
      <c r="P1182" s="2" t="s">
        <v>15238</v>
      </c>
      <c r="Q1182" s="2" t="s">
        <v>15239</v>
      </c>
      <c r="R1182" s="2" t="s">
        <v>502</v>
      </c>
      <c r="S1182" s="2" t="s">
        <v>503</v>
      </c>
      <c r="T1182" s="2" t="s">
        <v>3450</v>
      </c>
      <c r="U1182" s="2" t="s">
        <v>9141</v>
      </c>
      <c r="V1182" s="2" t="s">
        <v>1019</v>
      </c>
      <c r="W1182" s="2"/>
    </row>
    <row r="1183">
      <c r="A1183" s="2" t="n">
        <v>855</v>
      </c>
      <c r="B1183" s="2" t="s">
        <v>15240</v>
      </c>
      <c r="C1183" s="2" t="s">
        <v>9140</v>
      </c>
      <c r="D1183" s="2" t="n">
        <v>850.52566744</v>
      </c>
      <c r="E1183" s="2" t="n">
        <v>5.51544120409809</v>
      </c>
      <c r="F1183" s="2" t="s">
        <v>15241</v>
      </c>
      <c r="G1183" s="2" t="n">
        <v>200791</v>
      </c>
      <c r="H1183" s="3" t="str">
        <f>HYPERLINK("http://funmeta.oebiotech.com/network/200791", "http://funmeta.oebiotech.com/network/200791")</f>
      </c>
      <c r="I1183" s="2" t="s">
        <v>15242</v>
      </c>
      <c r="J1183" s="2"/>
      <c r="K1183" s="2"/>
      <c r="L1183" s="2"/>
      <c r="M1183" s="2"/>
      <c r="N1183" s="2" t="s">
        <v>15243</v>
      </c>
      <c r="O1183" s="2"/>
      <c r="P1183" s="2" t="s">
        <v>15244</v>
      </c>
      <c r="Q1183" s="2" t="s">
        <v>15245</v>
      </c>
      <c r="R1183" s="2" t="s">
        <v>502</v>
      </c>
      <c r="S1183" s="2" t="s">
        <v>503</v>
      </c>
      <c r="T1183" s="2" t="s">
        <v>3450</v>
      </c>
      <c r="U1183" s="2" t="s">
        <v>9141</v>
      </c>
      <c r="V1183" s="2" t="s">
        <v>1019</v>
      </c>
      <c r="W1183" s="2"/>
    </row>
    <row r="1184">
      <c r="A1184" s="2" t="n">
        <v>856</v>
      </c>
      <c r="B1184" s="2" t="s">
        <v>15246</v>
      </c>
      <c r="C1184" s="2" t="s">
        <v>9149</v>
      </c>
      <c r="D1184" s="2" t="n">
        <v>851.522694742</v>
      </c>
      <c r="E1184" s="2" t="n">
        <v>4.97916446664418</v>
      </c>
      <c r="F1184" s="2" t="s">
        <v>9151</v>
      </c>
      <c r="G1184" s="2" t="n">
        <v>136277</v>
      </c>
      <c r="H1184" s="3" t="str">
        <f>HYPERLINK("http://funmeta.oebiotech.com/network/136277", "http://funmeta.oebiotech.com/network/136277")</f>
      </c>
      <c r="I1184" s="2" t="s">
        <v>9153</v>
      </c>
      <c r="J1184" s="2"/>
      <c r="K1184" s="2"/>
      <c r="L1184" s="2"/>
      <c r="M1184" s="2"/>
      <c r="N1184" s="2" t="s">
        <v>9154</v>
      </c>
      <c r="O1184" s="2"/>
      <c r="P1184" s="2" t="s">
        <v>9155</v>
      </c>
      <c r="Q1184" s="2" t="s">
        <v>9156</v>
      </c>
      <c r="R1184" s="2" t="s">
        <v>1490</v>
      </c>
      <c r="S1184" s="2" t="s">
        <v>4236</v>
      </c>
      <c r="T1184" s="2" t="s">
        <v>8063</v>
      </c>
      <c r="U1184" s="2" t="s">
        <v>9150</v>
      </c>
      <c r="V1184" s="2" t="s">
        <v>42</v>
      </c>
      <c r="W1184" s="2"/>
    </row>
    <row r="1185">
      <c r="A1185" s="2" t="n">
        <v>857</v>
      </c>
      <c r="B1185" s="2" t="s">
        <v>15247</v>
      </c>
      <c r="C1185" s="2" t="s">
        <v>9157</v>
      </c>
      <c r="D1185" s="2" t="n">
        <v>852.144711801</v>
      </c>
      <c r="E1185" s="2" t="n">
        <v>2.93927904968085</v>
      </c>
      <c r="F1185" s="2" t="s">
        <v>15248</v>
      </c>
      <c r="G1185" s="2" t="n">
        <v>7984</v>
      </c>
      <c r="H1185" s="3" t="str">
        <f>HYPERLINK("http://funmeta.oebiotech.com/network/7984", "http://funmeta.oebiotech.com/network/7984")</f>
      </c>
      <c r="I1185" s="2" t="s">
        <v>15249</v>
      </c>
      <c r="J1185" s="2"/>
      <c r="K1185" s="2" t="s">
        <v>15250</v>
      </c>
      <c r="L1185" s="2" t="s">
        <v>15251</v>
      </c>
      <c r="M1185" s="2" t="s">
        <v>15252</v>
      </c>
      <c r="N1185" s="2" t="s">
        <v>15253</v>
      </c>
      <c r="O1185" s="2"/>
      <c r="P1185" s="2" t="s">
        <v>15254</v>
      </c>
      <c r="Q1185" s="2" t="s">
        <v>15255</v>
      </c>
      <c r="R1185" s="2" t="s">
        <v>1490</v>
      </c>
      <c r="S1185" s="2" t="s">
        <v>1491</v>
      </c>
      <c r="T1185" s="2" t="s">
        <v>9107</v>
      </c>
      <c r="U1185" s="2" t="s">
        <v>9158</v>
      </c>
      <c r="V1185" s="2" t="s">
        <v>110</v>
      </c>
      <c r="W1185" s="2" t="s">
        <v>39</v>
      </c>
    </row>
    <row r="1186">
      <c r="A1186" s="2" t="n">
        <v>857</v>
      </c>
      <c r="B1186" s="2" t="s">
        <v>15256</v>
      </c>
      <c r="C1186" s="2" t="s">
        <v>9157</v>
      </c>
      <c r="D1186" s="2" t="n">
        <v>852.144711801</v>
      </c>
      <c r="E1186" s="2" t="n">
        <v>2.93927904968085</v>
      </c>
      <c r="F1186" s="2" t="s">
        <v>15257</v>
      </c>
      <c r="G1186" s="2" t="n">
        <v>47366</v>
      </c>
      <c r="H1186" s="3" t="str">
        <f>HYPERLINK("http://funmeta.oebiotech.com/network/47366", "http://funmeta.oebiotech.com/network/47366")</f>
      </c>
      <c r="I1186" s="2" t="s">
        <v>15258</v>
      </c>
      <c r="J1186" s="2" t="s">
        <v>15259</v>
      </c>
      <c r="K1186" s="2"/>
      <c r="L1186" s="2" t="s">
        <v>15260</v>
      </c>
      <c r="M1186" s="2" t="s">
        <v>15261</v>
      </c>
      <c r="N1186" s="2" t="s">
        <v>15262</v>
      </c>
      <c r="O1186" s="2" t="s">
        <v>15263</v>
      </c>
      <c r="P1186" s="2" t="s">
        <v>15264</v>
      </c>
      <c r="Q1186" s="2" t="s">
        <v>15265</v>
      </c>
      <c r="R1186" s="2" t="s">
        <v>1490</v>
      </c>
      <c r="S1186" s="2" t="s">
        <v>1491</v>
      </c>
      <c r="T1186" s="2" t="s">
        <v>9107</v>
      </c>
      <c r="U1186" s="2" t="s">
        <v>9158</v>
      </c>
      <c r="V1186" s="2" t="s">
        <v>110</v>
      </c>
      <c r="W1186" s="2" t="s">
        <v>39</v>
      </c>
    </row>
    <row r="1187">
      <c r="A1187" s="2" t="n">
        <v>857</v>
      </c>
      <c r="B1187" s="2" t="s">
        <v>15266</v>
      </c>
      <c r="C1187" s="2" t="s">
        <v>9157</v>
      </c>
      <c r="D1187" s="2" t="n">
        <v>852.144713708</v>
      </c>
      <c r="E1187" s="2" t="n">
        <v>2.93927904968085</v>
      </c>
      <c r="F1187" s="2" t="s">
        <v>15267</v>
      </c>
      <c r="G1187" s="2" t="n">
        <v>7979</v>
      </c>
      <c r="H1187" s="3" t="str">
        <f>HYPERLINK("http://funmeta.oebiotech.com/network/7979", "http://funmeta.oebiotech.com/network/7979")</f>
      </c>
      <c r="I1187" s="2" t="s">
        <v>15268</v>
      </c>
      <c r="J1187" s="2" t="s">
        <v>15269</v>
      </c>
      <c r="K1187" s="2" t="s">
        <v>15270</v>
      </c>
      <c r="L1187" s="2" t="s">
        <v>15271</v>
      </c>
      <c r="M1187" s="2" t="s">
        <v>15272</v>
      </c>
      <c r="N1187" s="2" t="s">
        <v>15273</v>
      </c>
      <c r="O1187" s="2" t="s">
        <v>15274</v>
      </c>
      <c r="P1187" s="2" t="s">
        <v>15275</v>
      </c>
      <c r="Q1187" s="2" t="s">
        <v>15276</v>
      </c>
      <c r="R1187" s="2" t="s">
        <v>1490</v>
      </c>
      <c r="S1187" s="2" t="s">
        <v>1491</v>
      </c>
      <c r="T1187" s="2" t="s">
        <v>9107</v>
      </c>
      <c r="U1187" s="2" t="s">
        <v>9158</v>
      </c>
      <c r="V1187" s="2" t="s">
        <v>110</v>
      </c>
      <c r="W1187" s="2" t="s">
        <v>39</v>
      </c>
    </row>
    <row r="1188">
      <c r="A1188" s="2" t="n">
        <v>858</v>
      </c>
      <c r="B1188" s="2" t="s">
        <v>15277</v>
      </c>
      <c r="C1188" s="2" t="s">
        <v>9171</v>
      </c>
      <c r="D1188" s="2" t="n">
        <v>854.531889907</v>
      </c>
      <c r="E1188" s="2" t="n">
        <v>0.0126039842622848</v>
      </c>
      <c r="F1188" s="2" t="s">
        <v>9173</v>
      </c>
      <c r="G1188" s="2" t="n">
        <v>132689</v>
      </c>
      <c r="H1188" s="3" t="str">
        <f>HYPERLINK("http://funmeta.oebiotech.com/network/132689", "http://funmeta.oebiotech.com/network/132689")</f>
      </c>
      <c r="I1188" s="2" t="s">
        <v>9175</v>
      </c>
      <c r="J1188" s="2"/>
      <c r="K1188" s="2"/>
      <c r="L1188" s="2"/>
      <c r="M1188" s="2"/>
      <c r="N1188" s="2" t="s">
        <v>9176</v>
      </c>
      <c r="O1188" s="2"/>
      <c r="P1188" s="2" t="s">
        <v>9177</v>
      </c>
      <c r="Q1188" s="2" t="s">
        <v>9178</v>
      </c>
      <c r="R1188" s="2" t="s">
        <v>1490</v>
      </c>
      <c r="S1188" s="2" t="s">
        <v>4236</v>
      </c>
      <c r="T1188" s="2" t="s">
        <v>8380</v>
      </c>
      <c r="U1188" s="2" t="s">
        <v>9172</v>
      </c>
      <c r="V1188" s="2" t="s">
        <v>250</v>
      </c>
      <c r="W1188" s="2"/>
    </row>
    <row r="1189">
      <c r="A1189" s="2" t="n">
        <v>859</v>
      </c>
      <c r="B1189" s="2" t="s">
        <v>15278</v>
      </c>
      <c r="C1189" s="2" t="s">
        <v>9179</v>
      </c>
      <c r="D1189" s="2" t="n">
        <v>855.515789734</v>
      </c>
      <c r="E1189" s="2" t="n">
        <v>8.6523466986976</v>
      </c>
      <c r="F1189" s="2" t="s">
        <v>9181</v>
      </c>
      <c r="G1189" s="2" t="n">
        <v>52317</v>
      </c>
      <c r="H1189" s="3" t="str">
        <f>HYPERLINK("http://funmeta.oebiotech.com/network/52317", "http://funmeta.oebiotech.com/network/52317")</f>
      </c>
      <c r="I1189" s="2" t="s">
        <v>9183</v>
      </c>
      <c r="J1189" s="2"/>
      <c r="K1189" s="2"/>
      <c r="L1189" s="2"/>
      <c r="M1189" s="2"/>
      <c r="N1189" s="2" t="s">
        <v>9184</v>
      </c>
      <c r="O1189" s="2"/>
      <c r="P1189" s="2" t="s">
        <v>9185</v>
      </c>
      <c r="Q1189" s="2" t="s">
        <v>9186</v>
      </c>
      <c r="R1189" s="2" t="s">
        <v>1490</v>
      </c>
      <c r="S1189" s="2" t="s">
        <v>4236</v>
      </c>
      <c r="T1189" s="2" t="s">
        <v>9187</v>
      </c>
      <c r="U1189" s="2" t="s">
        <v>9180</v>
      </c>
      <c r="V1189" s="2" t="s">
        <v>110</v>
      </c>
      <c r="W1189" s="2"/>
    </row>
    <row r="1190">
      <c r="A1190" s="2" t="n">
        <v>860</v>
      </c>
      <c r="B1190" s="2" t="s">
        <v>15279</v>
      </c>
      <c r="C1190" s="2" t="s">
        <v>9188</v>
      </c>
      <c r="D1190" s="2" t="n">
        <v>856.511001233</v>
      </c>
      <c r="E1190" s="2" t="n">
        <v>7.45354888432737</v>
      </c>
      <c r="F1190" s="2" t="s">
        <v>9190</v>
      </c>
      <c r="G1190" s="2" t="n">
        <v>21301</v>
      </c>
      <c r="H1190" s="3" t="str">
        <f>HYPERLINK("http://funmeta.oebiotech.com/network/21301", "http://funmeta.oebiotech.com/network/21301")</f>
      </c>
      <c r="I1190" s="2" t="s">
        <v>9192</v>
      </c>
      <c r="J1190" s="2" t="s">
        <v>9193</v>
      </c>
      <c r="K1190" s="2" t="s">
        <v>9194</v>
      </c>
      <c r="L1190" s="2" t="s">
        <v>8986</v>
      </c>
      <c r="M1190" s="2" t="s">
        <v>9195</v>
      </c>
      <c r="N1190" s="2" t="s">
        <v>9196</v>
      </c>
      <c r="O1190" s="2"/>
      <c r="P1190" s="2" t="s">
        <v>9197</v>
      </c>
      <c r="Q1190" s="2" t="s">
        <v>9198</v>
      </c>
      <c r="R1190" s="2" t="s">
        <v>1490</v>
      </c>
      <c r="S1190" s="2" t="s">
        <v>4236</v>
      </c>
      <c r="T1190" s="2" t="s">
        <v>8380</v>
      </c>
      <c r="U1190" s="2" t="s">
        <v>9189</v>
      </c>
      <c r="V1190" s="2" t="s">
        <v>360</v>
      </c>
      <c r="W1190" s="2" t="s">
        <v>39</v>
      </c>
    </row>
    <row r="1191">
      <c r="A1191" s="2" t="n">
        <v>861</v>
      </c>
      <c r="B1191" s="2" t="s">
        <v>15280</v>
      </c>
      <c r="C1191" s="2" t="s">
        <v>9199</v>
      </c>
      <c r="D1191" s="2" t="n">
        <v>857.1781969</v>
      </c>
      <c r="E1191" s="2" t="n">
        <v>6.83550577778639</v>
      </c>
      <c r="F1191" s="2" t="s">
        <v>9201</v>
      </c>
      <c r="G1191" s="2" t="n">
        <v>63142</v>
      </c>
      <c r="H1191" s="3" t="str">
        <f>HYPERLINK("http://funmeta.oebiotech.com/network/63142", "http://funmeta.oebiotech.com/network/63142")</f>
      </c>
      <c r="I1191" s="2" t="s">
        <v>9203</v>
      </c>
      <c r="J1191" s="2" t="s">
        <v>9204</v>
      </c>
      <c r="K1191" s="2"/>
      <c r="L1191" s="2"/>
      <c r="M1191" s="2"/>
      <c r="N1191" s="2" t="s">
        <v>9205</v>
      </c>
      <c r="O1191" s="2"/>
      <c r="P1191" s="2" t="s">
        <v>9206</v>
      </c>
      <c r="Q1191" s="2" t="s">
        <v>9207</v>
      </c>
      <c r="R1191" s="2" t="s">
        <v>2509</v>
      </c>
      <c r="S1191" s="2" t="s">
        <v>5520</v>
      </c>
      <c r="T1191" s="2" t="s">
        <v>5664</v>
      </c>
      <c r="U1191" s="2" t="s">
        <v>9200</v>
      </c>
      <c r="V1191" s="2" t="s">
        <v>110</v>
      </c>
      <c r="W1191" s="2"/>
    </row>
    <row r="1192">
      <c r="A1192" s="2" t="n">
        <v>862</v>
      </c>
      <c r="B1192" s="2" t="s">
        <v>15281</v>
      </c>
      <c r="C1192" s="2" t="s">
        <v>9208</v>
      </c>
      <c r="D1192" s="2" t="n">
        <v>857.518553602</v>
      </c>
      <c r="E1192" s="2" t="n">
        <v>0.279203030164213</v>
      </c>
      <c r="F1192" s="2" t="s">
        <v>15282</v>
      </c>
      <c r="G1192" s="2" t="n">
        <v>24673</v>
      </c>
      <c r="H1192" s="3" t="str">
        <f>HYPERLINK("http://funmeta.oebiotech.com/network/24673", "http://funmeta.oebiotech.com/network/24673")</f>
      </c>
      <c r="I1192" s="2" t="s">
        <v>15283</v>
      </c>
      <c r="J1192" s="2"/>
      <c r="K1192" s="2" t="s">
        <v>15284</v>
      </c>
      <c r="L1192" s="2"/>
      <c r="M1192" s="2" t="s">
        <v>15285</v>
      </c>
      <c r="N1192" s="2" t="s">
        <v>15286</v>
      </c>
      <c r="O1192" s="2" t="s">
        <v>15287</v>
      </c>
      <c r="P1192" s="2" t="s">
        <v>15288</v>
      </c>
      <c r="Q1192" s="2" t="s">
        <v>15289</v>
      </c>
      <c r="R1192" s="2" t="s">
        <v>1490</v>
      </c>
      <c r="S1192" s="2" t="s">
        <v>4236</v>
      </c>
      <c r="T1192" s="2" t="s">
        <v>4237</v>
      </c>
      <c r="U1192" s="2" t="s">
        <v>9209</v>
      </c>
      <c r="V1192" s="2" t="s">
        <v>110</v>
      </c>
      <c r="W1192" s="2"/>
    </row>
    <row r="1193">
      <c r="A1193" s="2" t="n">
        <v>862</v>
      </c>
      <c r="B1193" s="2" t="s">
        <v>15290</v>
      </c>
      <c r="C1193" s="2" t="s">
        <v>9208</v>
      </c>
      <c r="D1193" s="2" t="n">
        <v>857.518553602</v>
      </c>
      <c r="E1193" s="2" t="n">
        <v>0.279203030164213</v>
      </c>
      <c r="F1193" s="2" t="s">
        <v>15291</v>
      </c>
      <c r="G1193" s="2" t="n">
        <v>210319</v>
      </c>
      <c r="H1193" s="3" t="str">
        <f>HYPERLINK("http://funmeta.oebiotech.com/network/210319", "http://funmeta.oebiotech.com/network/210319")</f>
      </c>
      <c r="I1193" s="2" t="s">
        <v>15292</v>
      </c>
      <c r="J1193" s="2"/>
      <c r="K1193" s="2"/>
      <c r="L1193" s="2"/>
      <c r="M1193" s="2"/>
      <c r="N1193" s="2" t="s">
        <v>15293</v>
      </c>
      <c r="O1193" s="2"/>
      <c r="P1193" s="2" t="s">
        <v>15294</v>
      </c>
      <c r="Q1193" s="2" t="s">
        <v>15295</v>
      </c>
      <c r="R1193" s="2" t="s">
        <v>205</v>
      </c>
      <c r="S1193" s="2" t="s">
        <v>205</v>
      </c>
      <c r="T1193" s="2" t="s">
        <v>205</v>
      </c>
      <c r="U1193" s="2" t="s">
        <v>9209</v>
      </c>
      <c r="V1193" s="2" t="s">
        <v>110</v>
      </c>
      <c r="W1193" s="2"/>
    </row>
    <row r="1194">
      <c r="A1194" s="2" t="n">
        <v>863</v>
      </c>
      <c r="B1194" s="2" t="s">
        <v>15296</v>
      </c>
      <c r="C1194" s="2" t="s">
        <v>9222</v>
      </c>
      <c r="D1194" s="2" t="n">
        <v>858.622954309</v>
      </c>
      <c r="E1194" s="2" t="n">
        <v>3.43671079772361</v>
      </c>
      <c r="F1194" s="2" t="s">
        <v>9224</v>
      </c>
      <c r="G1194" s="2" t="n">
        <v>49573</v>
      </c>
      <c r="H1194" s="3" t="str">
        <f>HYPERLINK("http://funmeta.oebiotech.com/network/49573", "http://funmeta.oebiotech.com/network/49573")</f>
      </c>
      <c r="I1194" s="2" t="s">
        <v>9226</v>
      </c>
      <c r="J1194" s="2" t="s">
        <v>9227</v>
      </c>
      <c r="K1194" s="2"/>
      <c r="L1194" s="2" t="s">
        <v>8608</v>
      </c>
      <c r="M1194" s="2"/>
      <c r="N1194" s="2" t="s">
        <v>9228</v>
      </c>
      <c r="O1194" s="2"/>
      <c r="P1194" s="2" t="s">
        <v>9229</v>
      </c>
      <c r="Q1194" s="2" t="s">
        <v>9230</v>
      </c>
      <c r="R1194" s="2" t="s">
        <v>1490</v>
      </c>
      <c r="S1194" s="2" t="s">
        <v>4236</v>
      </c>
      <c r="T1194" s="2" t="s">
        <v>8613</v>
      </c>
      <c r="U1194" s="2" t="s">
        <v>9223</v>
      </c>
      <c r="V1194" s="2" t="s">
        <v>24</v>
      </c>
      <c r="W1194" s="2" t="s">
        <v>39</v>
      </c>
    </row>
    <row r="1195">
      <c r="A1195" s="2" t="n">
        <v>864</v>
      </c>
      <c r="B1195" s="2" t="s">
        <v>15297</v>
      </c>
      <c r="C1195" s="2" t="s">
        <v>9231</v>
      </c>
      <c r="D1195" s="2" t="n">
        <v>859.53420319</v>
      </c>
      <c r="E1195" s="2" t="n">
        <v>1.44014698334592</v>
      </c>
      <c r="F1195" s="2" t="s">
        <v>9233</v>
      </c>
      <c r="G1195" s="2" t="n">
        <v>50435</v>
      </c>
      <c r="H1195" s="3" t="str">
        <f>HYPERLINK("http://funmeta.oebiotech.com/network/50435", "http://funmeta.oebiotech.com/network/50435")</f>
      </c>
      <c r="I1195" s="2" t="s">
        <v>9235</v>
      </c>
      <c r="J1195" s="2"/>
      <c r="K1195" s="2"/>
      <c r="L1195" s="2"/>
      <c r="M1195" s="2" t="s">
        <v>9236</v>
      </c>
      <c r="N1195" s="2"/>
      <c r="O1195" s="2"/>
      <c r="P1195" s="2" t="s">
        <v>9237</v>
      </c>
      <c r="Q1195" s="2" t="s">
        <v>9238</v>
      </c>
      <c r="R1195" s="2" t="s">
        <v>1490</v>
      </c>
      <c r="S1195" s="2" t="s">
        <v>4236</v>
      </c>
      <c r="T1195" s="2" t="s">
        <v>4237</v>
      </c>
      <c r="U1195" s="2" t="s">
        <v>9232</v>
      </c>
      <c r="V1195" s="2" t="s">
        <v>110</v>
      </c>
      <c r="W1195" s="2"/>
    </row>
    <row r="1196">
      <c r="A1196" s="2" t="n">
        <v>865</v>
      </c>
      <c r="B1196" s="2" t="s">
        <v>15298</v>
      </c>
      <c r="C1196" s="2" t="s">
        <v>9239</v>
      </c>
      <c r="D1196" s="2" t="n">
        <v>860.544708778</v>
      </c>
      <c r="E1196" s="2" t="n">
        <v>7.46528583302323</v>
      </c>
      <c r="F1196" s="2" t="s">
        <v>9241</v>
      </c>
      <c r="G1196" s="2" t="n">
        <v>21818</v>
      </c>
      <c r="H1196" s="3" t="str">
        <f>HYPERLINK("http://funmeta.oebiotech.com/network/21818", "http://funmeta.oebiotech.com/network/21818")</f>
      </c>
      <c r="I1196" s="2" t="s">
        <v>9243</v>
      </c>
      <c r="J1196" s="2" t="s">
        <v>9244</v>
      </c>
      <c r="K1196" s="2" t="s">
        <v>9245</v>
      </c>
      <c r="L1196" s="2"/>
      <c r="M1196" s="2"/>
      <c r="N1196" s="2" t="s">
        <v>9246</v>
      </c>
      <c r="O1196" s="2"/>
      <c r="P1196" s="2" t="s">
        <v>9247</v>
      </c>
      <c r="Q1196" s="2" t="s">
        <v>9248</v>
      </c>
      <c r="R1196" s="2" t="s">
        <v>1490</v>
      </c>
      <c r="S1196" s="2" t="s">
        <v>4236</v>
      </c>
      <c r="T1196" s="2" t="s">
        <v>8380</v>
      </c>
      <c r="U1196" s="2" t="s">
        <v>9240</v>
      </c>
      <c r="V1196" s="2" t="s">
        <v>110</v>
      </c>
      <c r="W1196" s="2"/>
    </row>
    <row r="1197">
      <c r="A1197" s="2" t="n">
        <v>866</v>
      </c>
      <c r="B1197" s="2" t="s">
        <v>15299</v>
      </c>
      <c r="C1197" s="2" t="s">
        <v>9249</v>
      </c>
      <c r="D1197" s="2" t="n">
        <v>865.122278132</v>
      </c>
      <c r="E1197" s="2" t="n">
        <v>9.06011412501261</v>
      </c>
      <c r="F1197" s="2" t="s">
        <v>9251</v>
      </c>
      <c r="G1197" s="2" t="n">
        <v>204123</v>
      </c>
      <c r="H1197" s="3" t="str">
        <f>HYPERLINK("http://funmeta.oebiotech.com/network/204123", "http://funmeta.oebiotech.com/network/204123")</f>
      </c>
      <c r="I1197" s="2" t="s">
        <v>9253</v>
      </c>
      <c r="J1197" s="2" t="s">
        <v>9254</v>
      </c>
      <c r="K1197" s="2"/>
      <c r="L1197" s="2" t="s">
        <v>9255</v>
      </c>
      <c r="M1197" s="2" t="s">
        <v>9256</v>
      </c>
      <c r="N1197" s="2" t="s">
        <v>9257</v>
      </c>
      <c r="O1197" s="2" t="s">
        <v>9258</v>
      </c>
      <c r="P1197" s="2" t="s">
        <v>9259</v>
      </c>
      <c r="Q1197" s="2" t="s">
        <v>9260</v>
      </c>
      <c r="R1197" s="2" t="s">
        <v>1490</v>
      </c>
      <c r="S1197" s="2" t="s">
        <v>1491</v>
      </c>
      <c r="T1197" s="2" t="s">
        <v>3884</v>
      </c>
      <c r="U1197" s="2" t="s">
        <v>9250</v>
      </c>
      <c r="V1197" s="2" t="s">
        <v>1019</v>
      </c>
      <c r="W1197" s="2" t="s">
        <v>39</v>
      </c>
    </row>
    <row r="1198">
      <c r="A1198" s="2" t="n">
        <v>867</v>
      </c>
      <c r="B1198" s="2" t="s">
        <v>15300</v>
      </c>
      <c r="C1198" s="2" t="s">
        <v>9261</v>
      </c>
      <c r="D1198" s="2" t="n">
        <v>865.500102677</v>
      </c>
      <c r="E1198" s="2" t="n">
        <v>7.57842013956128</v>
      </c>
      <c r="F1198" s="2" t="s">
        <v>9263</v>
      </c>
      <c r="G1198" s="2" t="n">
        <v>136268</v>
      </c>
      <c r="H1198" s="3" t="str">
        <f>HYPERLINK("http://funmeta.oebiotech.com/network/136268", "http://funmeta.oebiotech.com/network/136268")</f>
      </c>
      <c r="I1198" s="2" t="s">
        <v>9265</v>
      </c>
      <c r="J1198" s="2"/>
      <c r="K1198" s="2"/>
      <c r="L1198" s="2"/>
      <c r="M1198" s="2"/>
      <c r="N1198" s="2" t="s">
        <v>9266</v>
      </c>
      <c r="O1198" s="2"/>
      <c r="P1198" s="2" t="s">
        <v>9267</v>
      </c>
      <c r="Q1198" s="2" t="s">
        <v>9268</v>
      </c>
      <c r="R1198" s="2" t="s">
        <v>1490</v>
      </c>
      <c r="S1198" s="2" t="s">
        <v>4236</v>
      </c>
      <c r="T1198" s="2" t="s">
        <v>8063</v>
      </c>
      <c r="U1198" s="2" t="s">
        <v>9262</v>
      </c>
      <c r="V1198" s="2" t="s">
        <v>360</v>
      </c>
      <c r="W1198" s="2"/>
    </row>
    <row r="1199">
      <c r="A1199" s="2" t="n">
        <v>868</v>
      </c>
      <c r="B1199" s="2" t="s">
        <v>15301</v>
      </c>
      <c r="C1199" s="2" t="s">
        <v>9269</v>
      </c>
      <c r="D1199" s="2" t="n">
        <v>866.138682179</v>
      </c>
      <c r="E1199" s="2" t="n">
        <v>6.89514867764186</v>
      </c>
      <c r="F1199" s="2" t="s">
        <v>9271</v>
      </c>
      <c r="G1199" s="2" t="n">
        <v>48748</v>
      </c>
      <c r="H1199" s="3" t="str">
        <f>HYPERLINK("http://funmeta.oebiotech.com/network/48748", "http://funmeta.oebiotech.com/network/48748")</f>
      </c>
      <c r="I1199" s="2" t="s">
        <v>9273</v>
      </c>
      <c r="J1199" s="2" t="s">
        <v>9274</v>
      </c>
      <c r="K1199" s="2"/>
      <c r="L1199" s="2" t="s">
        <v>9275</v>
      </c>
      <c r="M1199" s="2" t="s">
        <v>9276</v>
      </c>
      <c r="N1199" s="2" t="s">
        <v>9277</v>
      </c>
      <c r="O1199" s="2" t="s">
        <v>9278</v>
      </c>
      <c r="P1199" s="2" t="s">
        <v>9279</v>
      </c>
      <c r="Q1199" s="2" t="s">
        <v>9280</v>
      </c>
      <c r="R1199" s="2" t="s">
        <v>1490</v>
      </c>
      <c r="S1199" s="2" t="s">
        <v>1491</v>
      </c>
      <c r="T1199" s="2" t="s">
        <v>9107</v>
      </c>
      <c r="U1199" s="2" t="s">
        <v>9270</v>
      </c>
      <c r="V1199" s="2" t="s">
        <v>42</v>
      </c>
      <c r="W1199" s="2" t="s">
        <v>39</v>
      </c>
    </row>
    <row r="1200">
      <c r="A1200" s="2" t="n">
        <v>869</v>
      </c>
      <c r="B1200" s="2" t="s">
        <v>15302</v>
      </c>
      <c r="C1200" s="2" t="s">
        <v>9281</v>
      </c>
      <c r="D1200" s="2" t="n">
        <v>866.505450479</v>
      </c>
      <c r="E1200" s="2" t="n">
        <v>6.3151130184144</v>
      </c>
      <c r="F1200" s="2" t="s">
        <v>9283</v>
      </c>
      <c r="G1200" s="2" t="n">
        <v>206353</v>
      </c>
      <c r="H1200" s="3" t="str">
        <f>HYPERLINK("http://funmeta.oebiotech.com/network/206353", "http://funmeta.oebiotech.com/network/206353")</f>
      </c>
      <c r="I1200" s="2" t="s">
        <v>9285</v>
      </c>
      <c r="J1200" s="2"/>
      <c r="K1200" s="2"/>
      <c r="L1200" s="2"/>
      <c r="M1200" s="2"/>
      <c r="N1200" s="2" t="s">
        <v>9286</v>
      </c>
      <c r="O1200" s="2"/>
      <c r="P1200" s="2" t="s">
        <v>9287</v>
      </c>
      <c r="Q1200" s="2" t="s">
        <v>9288</v>
      </c>
      <c r="R1200" s="2" t="s">
        <v>64</v>
      </c>
      <c r="S1200" s="2" t="s">
        <v>65</v>
      </c>
      <c r="T1200" s="2" t="s">
        <v>66</v>
      </c>
      <c r="U1200" s="2" t="s">
        <v>9282</v>
      </c>
      <c r="V1200" s="2" t="s">
        <v>42</v>
      </c>
      <c r="W1200" s="2"/>
    </row>
    <row r="1201">
      <c r="A1201" s="2" t="n">
        <v>870</v>
      </c>
      <c r="B1201" s="2" t="s">
        <v>15303</v>
      </c>
      <c r="C1201" s="2" t="s">
        <v>9289</v>
      </c>
      <c r="D1201" s="2" t="n">
        <v>867.14141743</v>
      </c>
      <c r="E1201" s="2" t="n">
        <v>9.671325645482</v>
      </c>
      <c r="F1201" s="2" t="s">
        <v>15304</v>
      </c>
      <c r="G1201" s="2" t="n">
        <v>212389</v>
      </c>
      <c r="H1201" s="3" t="str">
        <f>HYPERLINK("http://funmeta.oebiotech.com/network/212389", "http://funmeta.oebiotech.com/network/212389")</f>
      </c>
      <c r="I1201" s="2" t="s">
        <v>15305</v>
      </c>
      <c r="J1201" s="2"/>
      <c r="K1201" s="2"/>
      <c r="L1201" s="2"/>
      <c r="M1201" s="2"/>
      <c r="N1201" s="2"/>
      <c r="O1201" s="2"/>
      <c r="P1201" s="2" t="s">
        <v>15306</v>
      </c>
      <c r="Q1201" s="2" t="s">
        <v>15307</v>
      </c>
      <c r="R1201" s="2" t="s">
        <v>2509</v>
      </c>
      <c r="S1201" s="2" t="s">
        <v>5520</v>
      </c>
      <c r="T1201" s="2" t="s">
        <v>13396</v>
      </c>
      <c r="U1201" s="2" t="s">
        <v>9290</v>
      </c>
      <c r="V1201" s="2" t="s">
        <v>110</v>
      </c>
      <c r="W1201" s="2"/>
    </row>
    <row r="1202">
      <c r="A1202" s="2" t="n">
        <v>870</v>
      </c>
      <c r="B1202" s="2" t="s">
        <v>15308</v>
      </c>
      <c r="C1202" s="2" t="s">
        <v>9289</v>
      </c>
      <c r="D1202" s="2" t="n">
        <v>867.141417464</v>
      </c>
      <c r="E1202" s="2" t="n">
        <v>9.671325645482</v>
      </c>
      <c r="F1202" s="2" t="s">
        <v>15309</v>
      </c>
      <c r="G1202" s="2" t="n">
        <v>55345</v>
      </c>
      <c r="H1202" s="3" t="str">
        <f>HYPERLINK("http://funmeta.oebiotech.com/network/55345", "http://funmeta.oebiotech.com/network/55345")</f>
      </c>
      <c r="I1202" s="2" t="s">
        <v>15310</v>
      </c>
      <c r="J1202" s="2"/>
      <c r="K1202" s="2"/>
      <c r="L1202" s="2"/>
      <c r="M1202" s="2" t="s">
        <v>15311</v>
      </c>
      <c r="N1202" s="2" t="s">
        <v>15312</v>
      </c>
      <c r="O1202" s="2" t="s">
        <v>15313</v>
      </c>
      <c r="P1202" s="2" t="s">
        <v>15314</v>
      </c>
      <c r="Q1202" s="2" t="s">
        <v>15315</v>
      </c>
      <c r="R1202" s="2" t="s">
        <v>2509</v>
      </c>
      <c r="S1202" s="2" t="s">
        <v>5520</v>
      </c>
      <c r="T1202" s="2" t="s">
        <v>13396</v>
      </c>
      <c r="U1202" s="2" t="s">
        <v>9290</v>
      </c>
      <c r="V1202" s="2" t="s">
        <v>110</v>
      </c>
      <c r="W1202" s="2"/>
    </row>
    <row r="1203">
      <c r="A1203" s="2" t="n">
        <v>871</v>
      </c>
      <c r="B1203" s="2" t="s">
        <v>15316</v>
      </c>
      <c r="C1203" s="2" t="s">
        <v>9300</v>
      </c>
      <c r="D1203" s="2" t="n">
        <v>871.193846964</v>
      </c>
      <c r="E1203" s="2" t="n">
        <v>7.71586690460859</v>
      </c>
      <c r="F1203" s="2" t="s">
        <v>15317</v>
      </c>
      <c r="G1203" s="2" t="n">
        <v>64357</v>
      </c>
      <c r="H1203" s="3" t="str">
        <f>HYPERLINK("http://funmeta.oebiotech.com/network/64357", "http://funmeta.oebiotech.com/network/64357")</f>
      </c>
      <c r="I1203" s="2" t="s">
        <v>15318</v>
      </c>
      <c r="J1203" s="2"/>
      <c r="K1203" s="2"/>
      <c r="L1203" s="2"/>
      <c r="M1203" s="2"/>
      <c r="N1203" s="2" t="s">
        <v>15319</v>
      </c>
      <c r="O1203" s="2" t="s">
        <v>15320</v>
      </c>
      <c r="P1203" s="2" t="s">
        <v>15321</v>
      </c>
      <c r="Q1203" s="2" t="s">
        <v>15322</v>
      </c>
      <c r="R1203" s="2" t="s">
        <v>355</v>
      </c>
      <c r="S1203" s="2" t="s">
        <v>5537</v>
      </c>
      <c r="T1203" s="2" t="s">
        <v>5538</v>
      </c>
      <c r="U1203" s="2" t="s">
        <v>9301</v>
      </c>
      <c r="V1203" s="2" t="s">
        <v>1019</v>
      </c>
      <c r="W1203" s="2"/>
    </row>
    <row r="1204">
      <c r="A1204" s="2" t="n">
        <v>871</v>
      </c>
      <c r="B1204" s="2" t="s">
        <v>15323</v>
      </c>
      <c r="C1204" s="2" t="s">
        <v>9300</v>
      </c>
      <c r="D1204" s="2" t="n">
        <v>871.193846964</v>
      </c>
      <c r="E1204" s="2" t="n">
        <v>7.71586690460859</v>
      </c>
      <c r="F1204" s="2" t="s">
        <v>15324</v>
      </c>
      <c r="G1204" s="2" t="n">
        <v>64253</v>
      </c>
      <c r="H1204" s="3" t="str">
        <f>HYPERLINK("http://funmeta.oebiotech.com/network/64253", "http://funmeta.oebiotech.com/network/64253")</f>
      </c>
      <c r="I1204" s="2" t="s">
        <v>15325</v>
      </c>
      <c r="J1204" s="2" t="s">
        <v>15326</v>
      </c>
      <c r="K1204" s="2"/>
      <c r="L1204" s="2"/>
      <c r="M1204" s="2"/>
      <c r="N1204" s="2" t="s">
        <v>15327</v>
      </c>
      <c r="O1204" s="2" t="s">
        <v>15328</v>
      </c>
      <c r="P1204" s="2" t="s">
        <v>15329</v>
      </c>
      <c r="Q1204" s="2" t="s">
        <v>15330</v>
      </c>
      <c r="R1204" s="2" t="s">
        <v>355</v>
      </c>
      <c r="S1204" s="2" t="s">
        <v>5537</v>
      </c>
      <c r="T1204" s="2" t="s">
        <v>5538</v>
      </c>
      <c r="U1204" s="2" t="s">
        <v>9301</v>
      </c>
      <c r="V1204" s="2" t="s">
        <v>1019</v>
      </c>
      <c r="W1204" s="2"/>
    </row>
    <row r="1205">
      <c r="A1205" s="2" t="n">
        <v>871</v>
      </c>
      <c r="B1205" s="2" t="s">
        <v>15331</v>
      </c>
      <c r="C1205" s="2" t="s">
        <v>9300</v>
      </c>
      <c r="D1205" s="2" t="n">
        <v>871.193846964</v>
      </c>
      <c r="E1205" s="2" t="n">
        <v>7.71586690460859</v>
      </c>
      <c r="F1205" s="2" t="s">
        <v>15332</v>
      </c>
      <c r="G1205" s="2" t="n">
        <v>64507</v>
      </c>
      <c r="H1205" s="3" t="str">
        <f>HYPERLINK("http://funmeta.oebiotech.com/network/64507", "http://funmeta.oebiotech.com/network/64507")</f>
      </c>
      <c r="I1205" s="2" t="s">
        <v>15333</v>
      </c>
      <c r="J1205" s="2" t="s">
        <v>15334</v>
      </c>
      <c r="K1205" s="2"/>
      <c r="L1205" s="2"/>
      <c r="M1205" s="2"/>
      <c r="N1205" s="2" t="s">
        <v>15335</v>
      </c>
      <c r="O1205" s="2"/>
      <c r="P1205" s="2" t="s">
        <v>15336</v>
      </c>
      <c r="Q1205" s="2" t="s">
        <v>15337</v>
      </c>
      <c r="R1205" s="2" t="s">
        <v>2509</v>
      </c>
      <c r="S1205" s="2" t="s">
        <v>5520</v>
      </c>
      <c r="T1205" s="2" t="s">
        <v>5664</v>
      </c>
      <c r="U1205" s="2" t="s">
        <v>9301</v>
      </c>
      <c r="V1205" s="2" t="s">
        <v>1019</v>
      </c>
      <c r="W1205" s="2"/>
    </row>
    <row r="1206">
      <c r="A1206" s="2" t="n">
        <v>872</v>
      </c>
      <c r="B1206" s="2" t="s">
        <v>15338</v>
      </c>
      <c r="C1206" s="2" t="s">
        <v>9313</v>
      </c>
      <c r="D1206" s="2" t="n">
        <v>878.510760053</v>
      </c>
      <c r="E1206" s="2" t="n">
        <v>9.33367557042628</v>
      </c>
      <c r="F1206" s="2" t="s">
        <v>9315</v>
      </c>
      <c r="G1206" s="2" t="n">
        <v>50279</v>
      </c>
      <c r="H1206" s="3" t="str">
        <f>HYPERLINK("http://funmeta.oebiotech.com/network/50279", "http://funmeta.oebiotech.com/network/50279")</f>
      </c>
      <c r="I1206" s="2" t="s">
        <v>9317</v>
      </c>
      <c r="J1206" s="2" t="s">
        <v>9318</v>
      </c>
      <c r="K1206" s="2"/>
      <c r="L1206" s="2" t="s">
        <v>7680</v>
      </c>
      <c r="M1206" s="2"/>
      <c r="N1206" s="2" t="s">
        <v>9319</v>
      </c>
      <c r="O1206" s="2"/>
      <c r="P1206" s="2" t="s">
        <v>9320</v>
      </c>
      <c r="Q1206" s="2" t="s">
        <v>9321</v>
      </c>
      <c r="R1206" s="2" t="s">
        <v>1490</v>
      </c>
      <c r="S1206" s="2" t="s">
        <v>4236</v>
      </c>
      <c r="T1206" s="2" t="s">
        <v>5369</v>
      </c>
      <c r="U1206" s="2" t="s">
        <v>9314</v>
      </c>
      <c r="V1206" s="2" t="s">
        <v>250</v>
      </c>
      <c r="W1206" s="2" t="s">
        <v>39</v>
      </c>
    </row>
    <row r="1207">
      <c r="A1207" s="2" t="n">
        <v>873</v>
      </c>
      <c r="B1207" s="2" t="s">
        <v>15339</v>
      </c>
      <c r="C1207" s="2" t="s">
        <v>9322</v>
      </c>
      <c r="D1207" s="2" t="n">
        <v>879.49588532</v>
      </c>
      <c r="E1207" s="2" t="n">
        <v>1.24121890314608</v>
      </c>
      <c r="F1207" s="2" t="s">
        <v>9324</v>
      </c>
      <c r="G1207" s="2" t="n">
        <v>56230</v>
      </c>
      <c r="H1207" s="3" t="str">
        <f>HYPERLINK("http://funmeta.oebiotech.com/network/56230", "http://funmeta.oebiotech.com/network/56230")</f>
      </c>
      <c r="I1207" s="2" t="s">
        <v>9326</v>
      </c>
      <c r="J1207" s="2" t="s">
        <v>9327</v>
      </c>
      <c r="K1207" s="2"/>
      <c r="L1207" s="2"/>
      <c r="M1207" s="2"/>
      <c r="N1207" s="2" t="s">
        <v>9328</v>
      </c>
      <c r="O1207" s="2"/>
      <c r="P1207" s="2" t="s">
        <v>9329</v>
      </c>
      <c r="Q1207" s="2" t="s">
        <v>9330</v>
      </c>
      <c r="R1207" s="2" t="s">
        <v>1490</v>
      </c>
      <c r="S1207" s="2" t="s">
        <v>4971</v>
      </c>
      <c r="T1207" s="2" t="s">
        <v>7445</v>
      </c>
      <c r="U1207" s="2" t="s">
        <v>9323</v>
      </c>
      <c r="V1207" s="2" t="s">
        <v>24</v>
      </c>
      <c r="W1207" s="2"/>
    </row>
    <row r="1208">
      <c r="A1208" s="2" t="n">
        <v>874</v>
      </c>
      <c r="B1208" s="2" t="s">
        <v>15340</v>
      </c>
      <c r="C1208" s="2" t="s">
        <v>9331</v>
      </c>
      <c r="D1208" s="2" t="n">
        <v>880.154334153</v>
      </c>
      <c r="E1208" s="2" t="n">
        <v>2.10979199694312</v>
      </c>
      <c r="F1208" s="2" t="s">
        <v>9333</v>
      </c>
      <c r="G1208" s="2" t="n">
        <v>210304</v>
      </c>
      <c r="H1208" s="3" t="str">
        <f>HYPERLINK("http://funmeta.oebiotech.com/network/210304", "http://funmeta.oebiotech.com/network/210304")</f>
      </c>
      <c r="I1208" s="2" t="s">
        <v>9335</v>
      </c>
      <c r="J1208" s="2"/>
      <c r="K1208" s="2"/>
      <c r="L1208" s="2"/>
      <c r="M1208" s="2"/>
      <c r="N1208" s="2" t="s">
        <v>9336</v>
      </c>
      <c r="O1208" s="2"/>
      <c r="P1208" s="2" t="s">
        <v>9337</v>
      </c>
      <c r="Q1208" s="2" t="s">
        <v>9338</v>
      </c>
      <c r="R1208" s="2" t="s">
        <v>1490</v>
      </c>
      <c r="S1208" s="2" t="s">
        <v>1491</v>
      </c>
      <c r="T1208" s="2" t="s">
        <v>9107</v>
      </c>
      <c r="U1208" s="2" t="s">
        <v>9332</v>
      </c>
      <c r="V1208" s="2" t="s">
        <v>42</v>
      </c>
      <c r="W1208" s="2"/>
    </row>
    <row r="1209">
      <c r="A1209" s="2" t="n">
        <v>875</v>
      </c>
      <c r="B1209" s="2" t="s">
        <v>15341</v>
      </c>
      <c r="C1209" s="2" t="s">
        <v>9339</v>
      </c>
      <c r="D1209" s="2" t="n">
        <v>881.502976794</v>
      </c>
      <c r="E1209" s="2" t="n">
        <v>2.6835031174842</v>
      </c>
      <c r="F1209" s="2" t="s">
        <v>9341</v>
      </c>
      <c r="G1209" s="2" t="n">
        <v>206189</v>
      </c>
      <c r="H1209" s="3" t="str">
        <f>HYPERLINK("http://funmeta.oebiotech.com/network/206189", "http://funmeta.oebiotech.com/network/206189")</f>
      </c>
      <c r="I1209" s="2" t="s">
        <v>9343</v>
      </c>
      <c r="J1209" s="2"/>
      <c r="K1209" s="2"/>
      <c r="L1209" s="2"/>
      <c r="M1209" s="2"/>
      <c r="N1209" s="2" t="s">
        <v>9344</v>
      </c>
      <c r="O1209" s="2"/>
      <c r="P1209" s="2" t="s">
        <v>9345</v>
      </c>
      <c r="Q1209" s="2" t="s">
        <v>9346</v>
      </c>
      <c r="R1209" s="2" t="s">
        <v>49</v>
      </c>
      <c r="S1209" s="2" t="s">
        <v>6532</v>
      </c>
      <c r="T1209" s="2" t="s">
        <v>7502</v>
      </c>
      <c r="U1209" s="2" t="s">
        <v>9340</v>
      </c>
      <c r="V1209" s="2" t="s">
        <v>24</v>
      </c>
      <c r="W1209" s="2"/>
    </row>
    <row r="1210">
      <c r="A1210" s="2" t="n">
        <v>876</v>
      </c>
      <c r="B1210" s="2" t="s">
        <v>15342</v>
      </c>
      <c r="C1210" s="2" t="s">
        <v>9347</v>
      </c>
      <c r="D1210" s="2" t="n">
        <v>882.118886673</v>
      </c>
      <c r="E1210" s="2" t="n">
        <v>9.04211132587163</v>
      </c>
      <c r="F1210" s="2" t="s">
        <v>9349</v>
      </c>
      <c r="G1210" s="2" t="n">
        <v>47839</v>
      </c>
      <c r="H1210" s="3" t="str">
        <f>HYPERLINK("http://funmeta.oebiotech.com/network/47839", "http://funmeta.oebiotech.com/network/47839")</f>
      </c>
      <c r="I1210" s="2" t="s">
        <v>9351</v>
      </c>
      <c r="J1210" s="2" t="s">
        <v>9352</v>
      </c>
      <c r="K1210" s="2"/>
      <c r="L1210" s="2" t="s">
        <v>9353</v>
      </c>
      <c r="M1210" s="2"/>
      <c r="N1210" s="2" t="s">
        <v>9354</v>
      </c>
      <c r="O1210" s="2" t="s">
        <v>9355</v>
      </c>
      <c r="P1210" s="2" t="s">
        <v>9356</v>
      </c>
      <c r="Q1210" s="2" t="s">
        <v>9357</v>
      </c>
      <c r="R1210" s="2" t="s">
        <v>1490</v>
      </c>
      <c r="S1210" s="2" t="s">
        <v>1491</v>
      </c>
      <c r="T1210" s="2" t="s">
        <v>9107</v>
      </c>
      <c r="U1210" s="2" t="s">
        <v>9348</v>
      </c>
      <c r="V1210" s="2" t="s">
        <v>24</v>
      </c>
      <c r="W1210" s="2" t="s">
        <v>39</v>
      </c>
    </row>
    <row r="1211">
      <c r="A1211" s="2" t="n">
        <v>877</v>
      </c>
      <c r="B1211" s="2" t="s">
        <v>15343</v>
      </c>
      <c r="C1211" s="2" t="s">
        <v>9358</v>
      </c>
      <c r="D1211" s="2" t="n">
        <v>888.085004295</v>
      </c>
      <c r="E1211" s="2" t="n">
        <v>2.03740173066709</v>
      </c>
      <c r="F1211" s="2" t="s">
        <v>9360</v>
      </c>
      <c r="G1211" s="2" t="n">
        <v>8143</v>
      </c>
      <c r="H1211" s="3" t="str">
        <f>HYPERLINK("http://funmeta.oebiotech.com/network/8143", "http://funmeta.oebiotech.com/network/8143")</f>
      </c>
      <c r="I1211" s="2" t="s">
        <v>9362</v>
      </c>
      <c r="J1211" s="2"/>
      <c r="K1211" s="2" t="s">
        <v>9363</v>
      </c>
      <c r="L1211" s="2" t="s">
        <v>9364</v>
      </c>
      <c r="M1211" s="2" t="s">
        <v>9365</v>
      </c>
      <c r="N1211" s="2" t="s">
        <v>9366</v>
      </c>
      <c r="O1211" s="2" t="s">
        <v>9367</v>
      </c>
      <c r="P1211" s="2" t="s">
        <v>9368</v>
      </c>
      <c r="Q1211" s="2" t="s">
        <v>9369</v>
      </c>
      <c r="R1211" s="2" t="s">
        <v>1490</v>
      </c>
      <c r="S1211" s="2" t="s">
        <v>1491</v>
      </c>
      <c r="T1211" s="2" t="s">
        <v>9107</v>
      </c>
      <c r="U1211" s="2" t="s">
        <v>9359</v>
      </c>
      <c r="V1211" s="2" t="s">
        <v>522</v>
      </c>
      <c r="W1211" s="2" t="s">
        <v>39</v>
      </c>
    </row>
    <row r="1212">
      <c r="A1212" s="2" t="n">
        <v>878</v>
      </c>
      <c r="B1212" s="2" t="s">
        <v>15344</v>
      </c>
      <c r="C1212" s="2" t="s">
        <v>9370</v>
      </c>
      <c r="D1212" s="2" t="n">
        <v>891.277576554</v>
      </c>
      <c r="E1212" s="2" t="n">
        <v>8.58478831077827</v>
      </c>
      <c r="F1212" s="2" t="s">
        <v>15345</v>
      </c>
      <c r="G1212" s="2" t="n">
        <v>255933</v>
      </c>
      <c r="H1212" s="3" t="str">
        <f>HYPERLINK("http://funmeta.oebiotech.com/network/255933", "http://funmeta.oebiotech.com/network/255933")</f>
      </c>
      <c r="I1212" s="2" t="s">
        <v>15346</v>
      </c>
      <c r="J1212" s="2"/>
      <c r="K1212" s="2"/>
      <c r="L1212" s="2"/>
      <c r="M1212" s="2"/>
      <c r="N1212" s="2"/>
      <c r="O1212" s="2"/>
      <c r="P1212" s="2" t="s">
        <v>15347</v>
      </c>
      <c r="Q1212" s="2" t="s">
        <v>15348</v>
      </c>
      <c r="R1212" s="2" t="s">
        <v>64</v>
      </c>
      <c r="S1212" s="2" t="s">
        <v>65</v>
      </c>
      <c r="T1212" s="2" t="s">
        <v>66</v>
      </c>
      <c r="U1212" s="2" t="s">
        <v>9371</v>
      </c>
      <c r="V1212" s="2" t="s">
        <v>1019</v>
      </c>
      <c r="W1212" s="2"/>
    </row>
    <row r="1213">
      <c r="A1213" s="2" t="n">
        <v>878</v>
      </c>
      <c r="B1213" s="2" t="s">
        <v>15349</v>
      </c>
      <c r="C1213" s="2" t="s">
        <v>9370</v>
      </c>
      <c r="D1213" s="2" t="n">
        <v>891.277576592</v>
      </c>
      <c r="E1213" s="2" t="n">
        <v>8.58478831077827</v>
      </c>
      <c r="F1213" s="2" t="s">
        <v>15350</v>
      </c>
      <c r="G1213" s="2" t="n">
        <v>58927</v>
      </c>
      <c r="H1213" s="3" t="str">
        <f>HYPERLINK("http://funmeta.oebiotech.com/network/58927", "http://funmeta.oebiotech.com/network/58927")</f>
      </c>
      <c r="I1213" s="2" t="s">
        <v>15351</v>
      </c>
      <c r="J1213" s="2" t="s">
        <v>15352</v>
      </c>
      <c r="K1213" s="2"/>
      <c r="L1213" s="2"/>
      <c r="M1213" s="2" t="s">
        <v>15353</v>
      </c>
      <c r="N1213" s="2" t="s">
        <v>15354</v>
      </c>
      <c r="O1213" s="2" t="s">
        <v>15355</v>
      </c>
      <c r="P1213" s="2" t="s">
        <v>15356</v>
      </c>
      <c r="Q1213" s="2" t="s">
        <v>15357</v>
      </c>
      <c r="R1213" s="2" t="s">
        <v>64</v>
      </c>
      <c r="S1213" s="2" t="s">
        <v>65</v>
      </c>
      <c r="T1213" s="2" t="s">
        <v>66</v>
      </c>
      <c r="U1213" s="2" t="s">
        <v>9371</v>
      </c>
      <c r="V1213" s="2" t="s">
        <v>1019</v>
      </c>
      <c r="W1213" s="2"/>
    </row>
    <row r="1214">
      <c r="A1214" s="2" t="n">
        <v>879</v>
      </c>
      <c r="B1214" s="2" t="s">
        <v>15358</v>
      </c>
      <c r="C1214" s="2" t="s">
        <v>9381</v>
      </c>
      <c r="D1214" s="2" t="n">
        <v>895.181696794</v>
      </c>
      <c r="E1214" s="2" t="n">
        <v>2.41879345918632</v>
      </c>
      <c r="F1214" s="2" t="s">
        <v>15359</v>
      </c>
      <c r="G1214" s="2" t="n">
        <v>60701</v>
      </c>
      <c r="H1214" s="3" t="str">
        <f>HYPERLINK("http://funmeta.oebiotech.com/network/60701", "http://funmeta.oebiotech.com/network/60701")</f>
      </c>
      <c r="I1214" s="2" t="s">
        <v>15360</v>
      </c>
      <c r="J1214" s="2" t="s">
        <v>15361</v>
      </c>
      <c r="K1214" s="2"/>
      <c r="L1214" s="2"/>
      <c r="M1214" s="2"/>
      <c r="N1214" s="2" t="s">
        <v>15362</v>
      </c>
      <c r="O1214" s="2" t="s">
        <v>15363</v>
      </c>
      <c r="P1214" s="2" t="s">
        <v>15364</v>
      </c>
      <c r="Q1214" s="2" t="s">
        <v>15365</v>
      </c>
      <c r="R1214" s="2" t="s">
        <v>4189</v>
      </c>
      <c r="S1214" s="2" t="s">
        <v>15366</v>
      </c>
      <c r="T1214" s="2" t="s">
        <v>15367</v>
      </c>
      <c r="U1214" s="2" t="s">
        <v>9382</v>
      </c>
      <c r="V1214" s="2" t="s">
        <v>250</v>
      </c>
      <c r="W1214" s="2"/>
    </row>
    <row r="1215">
      <c r="A1215" s="2" t="n">
        <v>879</v>
      </c>
      <c r="B1215" s="2" t="s">
        <v>15368</v>
      </c>
      <c r="C1215" s="2" t="s">
        <v>9381</v>
      </c>
      <c r="D1215" s="2" t="n">
        <v>895.181696794</v>
      </c>
      <c r="E1215" s="2" t="n">
        <v>2.41879345918632</v>
      </c>
      <c r="F1215" s="2" t="s">
        <v>15369</v>
      </c>
      <c r="G1215" s="2" t="n">
        <v>63135</v>
      </c>
      <c r="H1215" s="3" t="str">
        <f>HYPERLINK("http://funmeta.oebiotech.com/network/63135", "http://funmeta.oebiotech.com/network/63135")</f>
      </c>
      <c r="I1215" s="2" t="s">
        <v>15370</v>
      </c>
      <c r="J1215" s="2" t="s">
        <v>15371</v>
      </c>
      <c r="K1215" s="2"/>
      <c r="L1215" s="2"/>
      <c r="M1215" s="2"/>
      <c r="N1215" s="2" t="s">
        <v>15372</v>
      </c>
      <c r="O1215" s="2"/>
      <c r="P1215" s="2" t="s">
        <v>15373</v>
      </c>
      <c r="Q1215" s="2" t="s">
        <v>15374</v>
      </c>
      <c r="R1215" s="2" t="s">
        <v>4189</v>
      </c>
      <c r="S1215" s="2" t="s">
        <v>15366</v>
      </c>
      <c r="T1215" s="2" t="s">
        <v>15367</v>
      </c>
      <c r="U1215" s="2" t="s">
        <v>9382</v>
      </c>
      <c r="V1215" s="2" t="s">
        <v>250</v>
      </c>
      <c r="W1215" s="2"/>
    </row>
    <row r="1216">
      <c r="A1216" s="2" t="n">
        <v>880</v>
      </c>
      <c r="B1216" s="2" t="s">
        <v>15375</v>
      </c>
      <c r="C1216" s="2" t="s">
        <v>9394</v>
      </c>
      <c r="D1216" s="2" t="n">
        <v>897.382865962</v>
      </c>
      <c r="E1216" s="2" t="n">
        <v>4.7735378407172</v>
      </c>
      <c r="F1216" s="2" t="s">
        <v>15376</v>
      </c>
      <c r="G1216" s="2" t="n">
        <v>207678</v>
      </c>
      <c r="H1216" s="3" t="str">
        <f>HYPERLINK("http://funmeta.oebiotech.com/network/207678", "http://funmeta.oebiotech.com/network/207678")</f>
      </c>
      <c r="I1216" s="2" t="s">
        <v>15377</v>
      </c>
      <c r="J1216" s="2"/>
      <c r="K1216" s="2"/>
      <c r="L1216" s="2"/>
      <c r="M1216" s="2"/>
      <c r="N1216" s="2" t="s">
        <v>15378</v>
      </c>
      <c r="O1216" s="2"/>
      <c r="P1216" s="2" t="s">
        <v>15379</v>
      </c>
      <c r="Q1216" s="2" t="s">
        <v>15380</v>
      </c>
      <c r="R1216" s="2" t="s">
        <v>355</v>
      </c>
      <c r="S1216" s="2" t="s">
        <v>5806</v>
      </c>
      <c r="T1216" s="2" t="s">
        <v>5807</v>
      </c>
      <c r="U1216" s="2" t="s">
        <v>9395</v>
      </c>
      <c r="V1216" s="2" t="s">
        <v>1019</v>
      </c>
      <c r="W1216" s="2"/>
    </row>
    <row r="1217">
      <c r="A1217" s="2" t="n">
        <v>880</v>
      </c>
      <c r="B1217" s="2" t="s">
        <v>15381</v>
      </c>
      <c r="C1217" s="2" t="s">
        <v>9394</v>
      </c>
      <c r="D1217" s="2" t="n">
        <v>897.382865962</v>
      </c>
      <c r="E1217" s="2" t="n">
        <v>4.7735378407172</v>
      </c>
      <c r="F1217" s="2" t="s">
        <v>15382</v>
      </c>
      <c r="G1217" s="2" t="n">
        <v>204901</v>
      </c>
      <c r="H1217" s="3" t="str">
        <f>HYPERLINK("http://funmeta.oebiotech.com/network/204901", "http://funmeta.oebiotech.com/network/204901")</f>
      </c>
      <c r="I1217" s="2" t="s">
        <v>15383</v>
      </c>
      <c r="J1217" s="2"/>
      <c r="K1217" s="2"/>
      <c r="L1217" s="2"/>
      <c r="M1217" s="2"/>
      <c r="N1217" s="2" t="s">
        <v>15384</v>
      </c>
      <c r="O1217" s="2"/>
      <c r="P1217" s="2" t="s">
        <v>15385</v>
      </c>
      <c r="Q1217" s="2" t="s">
        <v>15386</v>
      </c>
      <c r="R1217" s="2" t="s">
        <v>2509</v>
      </c>
      <c r="S1217" s="2" t="s">
        <v>5392</v>
      </c>
      <c r="T1217" s="2" t="s">
        <v>205</v>
      </c>
      <c r="U1217" s="2" t="s">
        <v>9395</v>
      </c>
      <c r="V1217" s="2" t="s">
        <v>1019</v>
      </c>
      <c r="W1217" s="2"/>
    </row>
    <row r="1218">
      <c r="A1218" s="2" t="n">
        <v>881</v>
      </c>
      <c r="B1218" s="2" t="s">
        <v>15387</v>
      </c>
      <c r="C1218" s="2" t="s">
        <v>9405</v>
      </c>
      <c r="D1218" s="2" t="n">
        <v>899.2153494</v>
      </c>
      <c r="E1218" s="2" t="n">
        <v>6.27536245436797</v>
      </c>
      <c r="F1218" s="2" t="s">
        <v>9407</v>
      </c>
      <c r="G1218" s="2" t="n">
        <v>208022</v>
      </c>
      <c r="H1218" s="3" t="str">
        <f>HYPERLINK("http://funmeta.oebiotech.com/network/208022", "http://funmeta.oebiotech.com/network/208022")</f>
      </c>
      <c r="I1218" s="2" t="s">
        <v>9409</v>
      </c>
      <c r="J1218" s="2"/>
      <c r="K1218" s="2"/>
      <c r="L1218" s="2"/>
      <c r="M1218" s="2"/>
      <c r="N1218" s="2"/>
      <c r="O1218" s="2"/>
      <c r="P1218" s="2" t="s">
        <v>9410</v>
      </c>
      <c r="Q1218" s="2" t="s">
        <v>9411</v>
      </c>
      <c r="R1218" s="2" t="s">
        <v>502</v>
      </c>
      <c r="S1218" s="2" t="s">
        <v>1467</v>
      </c>
      <c r="T1218" s="2" t="s">
        <v>205</v>
      </c>
      <c r="U1218" s="2" t="s">
        <v>9406</v>
      </c>
      <c r="V1218" s="2" t="s">
        <v>1019</v>
      </c>
      <c r="W1218" s="2"/>
    </row>
    <row r="1219">
      <c r="A1219" s="2" t="n">
        <v>882</v>
      </c>
      <c r="B1219" s="2" t="s">
        <v>15388</v>
      </c>
      <c r="C1219" s="2" t="s">
        <v>9412</v>
      </c>
      <c r="D1219" s="2" t="n">
        <v>901.186869566</v>
      </c>
      <c r="E1219" s="2" t="n">
        <v>7.3901571126103</v>
      </c>
      <c r="F1219" s="2" t="s">
        <v>9414</v>
      </c>
      <c r="G1219" s="2" t="n">
        <v>61802</v>
      </c>
      <c r="H1219" s="3" t="str">
        <f>HYPERLINK("http://funmeta.oebiotech.com/network/61802", "http://funmeta.oebiotech.com/network/61802")</f>
      </c>
      <c r="I1219" s="2" t="s">
        <v>9416</v>
      </c>
      <c r="J1219" s="2" t="s">
        <v>9417</v>
      </c>
      <c r="K1219" s="2"/>
      <c r="L1219" s="2"/>
      <c r="M1219" s="2" t="s">
        <v>9418</v>
      </c>
      <c r="N1219" s="2" t="s">
        <v>9419</v>
      </c>
      <c r="O1219" s="2" t="s">
        <v>9420</v>
      </c>
      <c r="P1219" s="2" t="s">
        <v>9421</v>
      </c>
      <c r="Q1219" s="2" t="s">
        <v>9422</v>
      </c>
      <c r="R1219" s="2" t="s">
        <v>64</v>
      </c>
      <c r="S1219" s="2" t="s">
        <v>65</v>
      </c>
      <c r="T1219" s="2" t="s">
        <v>66</v>
      </c>
      <c r="U1219" s="2" t="s">
        <v>9413</v>
      </c>
      <c r="V1219" s="2" t="s">
        <v>1019</v>
      </c>
      <c r="W1219" s="2"/>
    </row>
    <row r="1220">
      <c r="A1220" s="2" t="n">
        <v>883</v>
      </c>
      <c r="B1220" s="2" t="s">
        <v>15389</v>
      </c>
      <c r="C1220" s="2" t="s">
        <v>9423</v>
      </c>
      <c r="D1220" s="2" t="n">
        <v>907.536572652</v>
      </c>
      <c r="E1220" s="2" t="n">
        <v>7.99443425818443</v>
      </c>
      <c r="F1220" s="2" t="s">
        <v>9425</v>
      </c>
      <c r="G1220" s="2" t="n">
        <v>54878</v>
      </c>
      <c r="H1220" s="3" t="str">
        <f>HYPERLINK("http://funmeta.oebiotech.com/network/54878", "http://funmeta.oebiotech.com/network/54878")</f>
      </c>
      <c r="I1220" s="2" t="s">
        <v>9427</v>
      </c>
      <c r="J1220" s="2"/>
      <c r="K1220" s="2"/>
      <c r="L1220" s="2" t="s">
        <v>9428</v>
      </c>
      <c r="M1220" s="2" t="s">
        <v>9429</v>
      </c>
      <c r="N1220" s="2" t="s">
        <v>9430</v>
      </c>
      <c r="O1220" s="2" t="s">
        <v>9431</v>
      </c>
      <c r="P1220" s="2" t="s">
        <v>9432</v>
      </c>
      <c r="Q1220" s="2" t="s">
        <v>9433</v>
      </c>
      <c r="R1220" s="2" t="s">
        <v>1490</v>
      </c>
      <c r="S1220" s="2" t="s">
        <v>3546</v>
      </c>
      <c r="T1220" s="2" t="s">
        <v>8600</v>
      </c>
      <c r="U1220" s="2" t="s">
        <v>9424</v>
      </c>
      <c r="V1220" s="2" t="s">
        <v>1019</v>
      </c>
      <c r="W1220" s="2" t="s">
        <v>39</v>
      </c>
    </row>
    <row r="1221">
      <c r="A1221" s="2" t="n">
        <v>884</v>
      </c>
      <c r="B1221" s="2" t="s">
        <v>15390</v>
      </c>
      <c r="C1221" s="2" t="s">
        <v>9434</v>
      </c>
      <c r="D1221" s="2" t="n">
        <v>909.151431836</v>
      </c>
      <c r="E1221" s="2" t="n">
        <v>3.17876435914099</v>
      </c>
      <c r="F1221" s="2" t="s">
        <v>15391</v>
      </c>
      <c r="G1221" s="2" t="n">
        <v>62863</v>
      </c>
      <c r="H1221" s="3" t="str">
        <f>HYPERLINK("http://funmeta.oebiotech.com/network/62863", "http://funmeta.oebiotech.com/network/62863")</f>
      </c>
      <c r="I1221" s="2" t="s">
        <v>15392</v>
      </c>
      <c r="J1221" s="2" t="s">
        <v>15393</v>
      </c>
      <c r="K1221" s="2"/>
      <c r="L1221" s="2"/>
      <c r="M1221" s="2"/>
      <c r="N1221" s="2" t="s">
        <v>15394</v>
      </c>
      <c r="O1221" s="2" t="s">
        <v>15395</v>
      </c>
      <c r="P1221" s="2" t="s">
        <v>15396</v>
      </c>
      <c r="Q1221" s="2" t="s">
        <v>15397</v>
      </c>
      <c r="R1221" s="2" t="s">
        <v>2509</v>
      </c>
      <c r="S1221" s="2" t="s">
        <v>5520</v>
      </c>
      <c r="T1221" s="2" t="s">
        <v>13396</v>
      </c>
      <c r="U1221" s="2" t="s">
        <v>9435</v>
      </c>
      <c r="V1221" s="2" t="s">
        <v>42</v>
      </c>
      <c r="W1221" s="2"/>
    </row>
    <row r="1222">
      <c r="A1222" s="2" t="n">
        <v>884</v>
      </c>
      <c r="B1222" s="2" t="s">
        <v>15398</v>
      </c>
      <c r="C1222" s="2" t="s">
        <v>9434</v>
      </c>
      <c r="D1222" s="2" t="n">
        <v>909.151431836</v>
      </c>
      <c r="E1222" s="2" t="n">
        <v>3.17876435914099</v>
      </c>
      <c r="F1222" s="2" t="s">
        <v>15399</v>
      </c>
      <c r="G1222" s="2" t="n">
        <v>62862</v>
      </c>
      <c r="H1222" s="3" t="str">
        <f>HYPERLINK("http://funmeta.oebiotech.com/network/62862", "http://funmeta.oebiotech.com/network/62862")</f>
      </c>
      <c r="I1222" s="2" t="s">
        <v>15400</v>
      </c>
      <c r="J1222" s="2" t="s">
        <v>15401</v>
      </c>
      <c r="K1222" s="2"/>
      <c r="L1222" s="2"/>
      <c r="M1222" s="2"/>
      <c r="N1222" s="2" t="s">
        <v>15402</v>
      </c>
      <c r="O1222" s="2" t="s">
        <v>15403</v>
      </c>
      <c r="P1222" s="2" t="s">
        <v>15404</v>
      </c>
      <c r="Q1222" s="2" t="s">
        <v>15405</v>
      </c>
      <c r="R1222" s="2" t="s">
        <v>2509</v>
      </c>
      <c r="S1222" s="2" t="s">
        <v>5520</v>
      </c>
      <c r="T1222" s="2" t="s">
        <v>13396</v>
      </c>
      <c r="U1222" s="2" t="s">
        <v>9435</v>
      </c>
      <c r="V1222" s="2" t="s">
        <v>42</v>
      </c>
      <c r="W1222" s="2"/>
    </row>
    <row r="1223">
      <c r="A1223" s="2" t="n">
        <v>885</v>
      </c>
      <c r="B1223" s="2" t="s">
        <v>15406</v>
      </c>
      <c r="C1223" s="2" t="s">
        <v>9444</v>
      </c>
      <c r="D1223" s="2" t="n">
        <v>910.186572307</v>
      </c>
      <c r="E1223" s="2" t="n">
        <v>6.25800895294969</v>
      </c>
      <c r="F1223" s="2" t="s">
        <v>9446</v>
      </c>
      <c r="G1223" s="2" t="n">
        <v>8127</v>
      </c>
      <c r="H1223" s="3" t="str">
        <f>HYPERLINK("http://funmeta.oebiotech.com/network/8127", "http://funmeta.oebiotech.com/network/8127")</f>
      </c>
      <c r="I1223" s="2" t="s">
        <v>9448</v>
      </c>
      <c r="J1223" s="2" t="s">
        <v>9449</v>
      </c>
      <c r="K1223" s="2" t="s">
        <v>9450</v>
      </c>
      <c r="L1223" s="2" t="s">
        <v>9451</v>
      </c>
      <c r="M1223" s="2" t="s">
        <v>9452</v>
      </c>
      <c r="N1223" s="2" t="s">
        <v>9453</v>
      </c>
      <c r="O1223" s="2" t="s">
        <v>9454</v>
      </c>
      <c r="P1223" s="2" t="s">
        <v>9455</v>
      </c>
      <c r="Q1223" s="2" t="s">
        <v>9456</v>
      </c>
      <c r="R1223" s="2" t="s">
        <v>1490</v>
      </c>
      <c r="S1223" s="2" t="s">
        <v>1491</v>
      </c>
      <c r="T1223" s="2" t="s">
        <v>9107</v>
      </c>
      <c r="U1223" s="2" t="s">
        <v>9445</v>
      </c>
      <c r="V1223" s="2" t="s">
        <v>24</v>
      </c>
      <c r="W1223" s="2" t="s">
        <v>39</v>
      </c>
    </row>
    <row r="1224">
      <c r="A1224" s="2" t="n">
        <v>886</v>
      </c>
      <c r="B1224" s="2" t="s">
        <v>15407</v>
      </c>
      <c r="C1224" s="2" t="s">
        <v>9457</v>
      </c>
      <c r="D1224" s="2" t="n">
        <v>914.196198966</v>
      </c>
      <c r="E1224" s="2" t="n">
        <v>0.231371235909212</v>
      </c>
      <c r="F1224" s="2" t="s">
        <v>9459</v>
      </c>
      <c r="G1224" s="2" t="n">
        <v>7950</v>
      </c>
      <c r="H1224" s="3" t="str">
        <f>HYPERLINK("http://funmeta.oebiotech.com/network/7950", "http://funmeta.oebiotech.com/network/7950")</f>
      </c>
      <c r="I1224" s="2" t="s">
        <v>9461</v>
      </c>
      <c r="J1224" s="2" t="s">
        <v>9462</v>
      </c>
      <c r="K1224" s="2" t="s">
        <v>9463</v>
      </c>
      <c r="L1224" s="2" t="s">
        <v>9464</v>
      </c>
      <c r="M1224" s="2" t="s">
        <v>9465</v>
      </c>
      <c r="N1224" s="2" t="s">
        <v>9466</v>
      </c>
      <c r="O1224" s="2"/>
      <c r="P1224" s="2" t="s">
        <v>9467</v>
      </c>
      <c r="Q1224" s="2" t="s">
        <v>9468</v>
      </c>
      <c r="R1224" s="2" t="s">
        <v>1490</v>
      </c>
      <c r="S1224" s="2" t="s">
        <v>1491</v>
      </c>
      <c r="T1224" s="2" t="s">
        <v>9107</v>
      </c>
      <c r="U1224" s="2" t="s">
        <v>9458</v>
      </c>
      <c r="V1224" s="2" t="s">
        <v>42</v>
      </c>
      <c r="W1224" s="2" t="s">
        <v>39</v>
      </c>
    </row>
    <row r="1225">
      <c r="A1225" s="2" t="n">
        <v>887</v>
      </c>
      <c r="B1225" s="2" t="s">
        <v>15408</v>
      </c>
      <c r="C1225" s="2" t="s">
        <v>9469</v>
      </c>
      <c r="D1225" s="2" t="n">
        <v>915.599172908</v>
      </c>
      <c r="E1225" s="2" t="n">
        <v>5.93642835031571</v>
      </c>
      <c r="F1225" s="2" t="s">
        <v>9471</v>
      </c>
      <c r="G1225" s="2" t="n">
        <v>57922</v>
      </c>
      <c r="H1225" s="3" t="str">
        <f>HYPERLINK("http://funmeta.oebiotech.com/network/57922", "http://funmeta.oebiotech.com/network/57922")</f>
      </c>
      <c r="I1225" s="2" t="s">
        <v>9473</v>
      </c>
      <c r="J1225" s="2" t="s">
        <v>9474</v>
      </c>
      <c r="K1225" s="2"/>
      <c r="L1225" s="2"/>
      <c r="M1225" s="2"/>
      <c r="N1225" s="2" t="s">
        <v>9475</v>
      </c>
      <c r="O1225" s="2" t="s">
        <v>9476</v>
      </c>
      <c r="P1225" s="2" t="s">
        <v>9477</v>
      </c>
      <c r="Q1225" s="2" t="s">
        <v>9478</v>
      </c>
      <c r="R1225" s="2" t="s">
        <v>1490</v>
      </c>
      <c r="S1225" s="2" t="s">
        <v>3546</v>
      </c>
      <c r="T1225" s="2" t="s">
        <v>8600</v>
      </c>
      <c r="U1225" s="2" t="s">
        <v>9470</v>
      </c>
      <c r="V1225" s="2" t="s">
        <v>1019</v>
      </c>
      <c r="W1225" s="2"/>
    </row>
    <row r="1226">
      <c r="A1226" s="2" t="n">
        <v>888</v>
      </c>
      <c r="B1226" s="2" t="s">
        <v>15409</v>
      </c>
      <c r="C1226" s="2" t="s">
        <v>9479</v>
      </c>
      <c r="D1226" s="2" t="n">
        <v>916.173606902</v>
      </c>
      <c r="E1226" s="2" t="n">
        <v>0.430629914024441</v>
      </c>
      <c r="F1226" s="2" t="s">
        <v>9481</v>
      </c>
      <c r="G1226" s="2" t="n">
        <v>254533</v>
      </c>
      <c r="H1226" s="3" t="str">
        <f>HYPERLINK("http://funmeta.oebiotech.com/network/254533", "http://funmeta.oebiotech.com/network/254533")</f>
      </c>
      <c r="I1226" s="2" t="s">
        <v>9483</v>
      </c>
      <c r="J1226" s="2"/>
      <c r="K1226" s="2"/>
      <c r="L1226" s="2"/>
      <c r="M1226" s="2"/>
      <c r="N1226" s="2"/>
      <c r="O1226" s="2"/>
      <c r="P1226" s="2" t="s">
        <v>9484</v>
      </c>
      <c r="Q1226" s="2" t="s">
        <v>9485</v>
      </c>
      <c r="R1226" s="2" t="s">
        <v>1490</v>
      </c>
      <c r="S1226" s="2" t="s">
        <v>1491</v>
      </c>
      <c r="T1226" s="2" t="s">
        <v>9107</v>
      </c>
      <c r="U1226" s="2" t="s">
        <v>9480</v>
      </c>
      <c r="V1226" s="2" t="s">
        <v>360</v>
      </c>
      <c r="W1226" s="2"/>
    </row>
    <row r="1227">
      <c r="A1227" s="2" t="n">
        <v>889</v>
      </c>
      <c r="B1227" s="2" t="s">
        <v>15410</v>
      </c>
      <c r="C1227" s="2" t="s">
        <v>9486</v>
      </c>
      <c r="D1227" s="2" t="n">
        <v>917.149583125</v>
      </c>
      <c r="E1227" s="2" t="n">
        <v>4.84373794999369</v>
      </c>
      <c r="F1227" s="2" t="s">
        <v>9488</v>
      </c>
      <c r="G1227" s="2" t="n">
        <v>198609</v>
      </c>
      <c r="H1227" s="3" t="str">
        <f>HYPERLINK("http://funmeta.oebiotech.com/network/198609", "http://funmeta.oebiotech.com/network/198609")</f>
      </c>
      <c r="I1227" s="2" t="s">
        <v>9490</v>
      </c>
      <c r="J1227" s="2"/>
      <c r="K1227" s="2"/>
      <c r="L1227" s="2"/>
      <c r="M1227" s="2"/>
      <c r="N1227" s="2" t="s">
        <v>9491</v>
      </c>
      <c r="O1227" s="2"/>
      <c r="P1227" s="2" t="s">
        <v>9492</v>
      </c>
      <c r="Q1227" s="2" t="s">
        <v>9493</v>
      </c>
      <c r="R1227" s="2" t="s">
        <v>1490</v>
      </c>
      <c r="S1227" s="2" t="s">
        <v>1491</v>
      </c>
      <c r="T1227" s="2" t="s">
        <v>9107</v>
      </c>
      <c r="U1227" s="2" t="s">
        <v>9487</v>
      </c>
      <c r="V1227" s="2" t="s">
        <v>42</v>
      </c>
      <c r="W1227" s="2"/>
    </row>
    <row r="1228">
      <c r="A1228" s="2" t="n">
        <v>890</v>
      </c>
      <c r="B1228" s="2" t="s">
        <v>15411</v>
      </c>
      <c r="C1228" s="2" t="s">
        <v>9494</v>
      </c>
      <c r="D1228" s="2" t="n">
        <v>926.181488837</v>
      </c>
      <c r="E1228" s="2" t="n">
        <v>8.53005479753415</v>
      </c>
      <c r="F1228" s="2" t="s">
        <v>15412</v>
      </c>
      <c r="G1228" s="2" t="n">
        <v>83504</v>
      </c>
      <c r="H1228" s="3" t="str">
        <f>HYPERLINK("http://funmeta.oebiotech.com/network/83504", "http://funmeta.oebiotech.com/network/83504")</f>
      </c>
      <c r="I1228" s="2" t="s">
        <v>15413</v>
      </c>
      <c r="J1228" s="2" t="s">
        <v>15414</v>
      </c>
      <c r="K1228" s="2"/>
      <c r="L1228" s="2" t="s">
        <v>15415</v>
      </c>
      <c r="M1228" s="2"/>
      <c r="N1228" s="2" t="s">
        <v>15416</v>
      </c>
      <c r="O1228" s="2"/>
      <c r="P1228" s="2" t="s">
        <v>15417</v>
      </c>
      <c r="Q1228" s="2" t="s">
        <v>15418</v>
      </c>
      <c r="R1228" s="2" t="s">
        <v>1490</v>
      </c>
      <c r="S1228" s="2" t="s">
        <v>1491</v>
      </c>
      <c r="T1228" s="2" t="s">
        <v>9107</v>
      </c>
      <c r="U1228" s="2" t="s">
        <v>9495</v>
      </c>
      <c r="V1228" s="2" t="s">
        <v>24</v>
      </c>
      <c r="W1228" s="2" t="s">
        <v>39</v>
      </c>
    </row>
    <row r="1229">
      <c r="A1229" s="2" t="n">
        <v>890</v>
      </c>
      <c r="B1229" s="2" t="s">
        <v>15419</v>
      </c>
      <c r="C1229" s="2" t="s">
        <v>9494</v>
      </c>
      <c r="D1229" s="2" t="n">
        <v>926.181488837</v>
      </c>
      <c r="E1229" s="2" t="n">
        <v>8.53005479753415</v>
      </c>
      <c r="F1229" s="2" t="s">
        <v>15420</v>
      </c>
      <c r="G1229" s="2" t="n">
        <v>7986</v>
      </c>
      <c r="H1229" s="3" t="str">
        <f>HYPERLINK("http://funmeta.oebiotech.com/network/7986", "http://funmeta.oebiotech.com/network/7986")</f>
      </c>
      <c r="I1229" s="2" t="s">
        <v>15421</v>
      </c>
      <c r="J1229" s="2"/>
      <c r="K1229" s="2" t="s">
        <v>15422</v>
      </c>
      <c r="L1229" s="2" t="s">
        <v>15415</v>
      </c>
      <c r="M1229" s="2" t="s">
        <v>15423</v>
      </c>
      <c r="N1229" s="2" t="s">
        <v>15424</v>
      </c>
      <c r="O1229" s="2" t="s">
        <v>15425</v>
      </c>
      <c r="P1229" s="2" t="s">
        <v>15426</v>
      </c>
      <c r="Q1229" s="2" t="s">
        <v>15427</v>
      </c>
      <c r="R1229" s="2" t="s">
        <v>1490</v>
      </c>
      <c r="S1229" s="2" t="s">
        <v>1491</v>
      </c>
      <c r="T1229" s="2" t="s">
        <v>9107</v>
      </c>
      <c r="U1229" s="2" t="s">
        <v>9495</v>
      </c>
      <c r="V1229" s="2" t="s">
        <v>24</v>
      </c>
      <c r="W1229" s="2" t="s">
        <v>39</v>
      </c>
    </row>
    <row r="1230">
      <c r="A1230" s="2" t="n">
        <v>891</v>
      </c>
      <c r="B1230" s="2" t="s">
        <v>15428</v>
      </c>
      <c r="C1230" s="2" t="s">
        <v>9508</v>
      </c>
      <c r="D1230" s="2" t="n">
        <v>927.366472136</v>
      </c>
      <c r="E1230" s="2" t="n">
        <v>5.34836806696329</v>
      </c>
      <c r="F1230" s="2" t="s">
        <v>15429</v>
      </c>
      <c r="G1230" s="2" t="n">
        <v>64614</v>
      </c>
      <c r="H1230" s="3" t="str">
        <f>HYPERLINK("http://funmeta.oebiotech.com/network/64614", "http://funmeta.oebiotech.com/network/64614")</f>
      </c>
      <c r="I1230" s="2" t="s">
        <v>15430</v>
      </c>
      <c r="J1230" s="2"/>
      <c r="K1230" s="2"/>
      <c r="L1230" s="2"/>
      <c r="M1230" s="2"/>
      <c r="N1230" s="2" t="s">
        <v>15431</v>
      </c>
      <c r="O1230" s="2" t="s">
        <v>15432</v>
      </c>
      <c r="P1230" s="2" t="s">
        <v>15433</v>
      </c>
      <c r="Q1230" s="2" t="s">
        <v>15434</v>
      </c>
      <c r="R1230" s="2" t="s">
        <v>1490</v>
      </c>
      <c r="S1230" s="2" t="s">
        <v>4971</v>
      </c>
      <c r="T1230" s="2" t="s">
        <v>8265</v>
      </c>
      <c r="U1230" s="2" t="s">
        <v>9509</v>
      </c>
      <c r="V1230" s="2" t="s">
        <v>1019</v>
      </c>
      <c r="W1230" s="2"/>
    </row>
    <row r="1231">
      <c r="A1231" s="2" t="n">
        <v>891</v>
      </c>
      <c r="B1231" s="2" t="s">
        <v>15435</v>
      </c>
      <c r="C1231" s="2" t="s">
        <v>9508</v>
      </c>
      <c r="D1231" s="2" t="n">
        <v>927.366472136</v>
      </c>
      <c r="E1231" s="2" t="n">
        <v>5.34836806696329</v>
      </c>
      <c r="F1231" s="2" t="s">
        <v>15436</v>
      </c>
      <c r="G1231" s="2" t="n">
        <v>55620</v>
      </c>
      <c r="H1231" s="3" t="str">
        <f>HYPERLINK("http://funmeta.oebiotech.com/network/55620", "http://funmeta.oebiotech.com/network/55620")</f>
      </c>
      <c r="I1231" s="2" t="s">
        <v>15437</v>
      </c>
      <c r="J1231" s="2" t="s">
        <v>15438</v>
      </c>
      <c r="K1231" s="2"/>
      <c r="L1231" s="2"/>
      <c r="M1231" s="2"/>
      <c r="N1231" s="2" t="s">
        <v>15439</v>
      </c>
      <c r="O1231" s="2" t="s">
        <v>15440</v>
      </c>
      <c r="P1231" s="2" t="s">
        <v>15441</v>
      </c>
      <c r="Q1231" s="2" t="s">
        <v>15442</v>
      </c>
      <c r="R1231" s="2" t="s">
        <v>355</v>
      </c>
      <c r="S1231" s="2" t="s">
        <v>12754</v>
      </c>
      <c r="T1231" s="2" t="s">
        <v>205</v>
      </c>
      <c r="U1231" s="2" t="s">
        <v>9509</v>
      </c>
      <c r="V1231" s="2" t="s">
        <v>1019</v>
      </c>
      <c r="W1231" s="2"/>
    </row>
    <row r="1232">
      <c r="A1232" s="2" t="n">
        <v>892</v>
      </c>
      <c r="B1232" s="2" t="s">
        <v>15443</v>
      </c>
      <c r="C1232" s="2" t="s">
        <v>9520</v>
      </c>
      <c r="D1232" s="2" t="n">
        <v>928.189075435</v>
      </c>
      <c r="E1232" s="2" t="n">
        <v>9.57843378231141</v>
      </c>
      <c r="F1232" s="2" t="s">
        <v>9522</v>
      </c>
      <c r="G1232" s="2" t="n">
        <v>47380</v>
      </c>
      <c r="H1232" s="3" t="str">
        <f>HYPERLINK("http://funmeta.oebiotech.com/network/47380", "http://funmeta.oebiotech.com/network/47380")</f>
      </c>
      <c r="I1232" s="2" t="s">
        <v>9524</v>
      </c>
      <c r="J1232" s="2" t="s">
        <v>9525</v>
      </c>
      <c r="K1232" s="2"/>
      <c r="L1232" s="2" t="s">
        <v>9526</v>
      </c>
      <c r="M1232" s="2" t="s">
        <v>9527</v>
      </c>
      <c r="N1232" s="2" t="s">
        <v>9528</v>
      </c>
      <c r="O1232" s="2" t="s">
        <v>9529</v>
      </c>
      <c r="P1232" s="2" t="s">
        <v>9530</v>
      </c>
      <c r="Q1232" s="2" t="s">
        <v>9531</v>
      </c>
      <c r="R1232" s="2" t="s">
        <v>1490</v>
      </c>
      <c r="S1232" s="2" t="s">
        <v>1491</v>
      </c>
      <c r="T1232" s="2" t="s">
        <v>9107</v>
      </c>
      <c r="U1232" s="2" t="s">
        <v>9521</v>
      </c>
      <c r="V1232" s="2" t="s">
        <v>522</v>
      </c>
      <c r="W1232" s="2" t="s">
        <v>39</v>
      </c>
    </row>
    <row r="1233">
      <c r="A1233" s="2" t="n">
        <v>893</v>
      </c>
      <c r="B1233" s="2" t="s">
        <v>15444</v>
      </c>
      <c r="C1233" s="2" t="s">
        <v>9532</v>
      </c>
      <c r="D1233" s="2" t="n">
        <v>929.372695202</v>
      </c>
      <c r="E1233" s="2" t="n">
        <v>2.38389674893121</v>
      </c>
      <c r="F1233" s="2" t="s">
        <v>15445</v>
      </c>
      <c r="G1233" s="2" t="n">
        <v>48057</v>
      </c>
      <c r="H1233" s="3" t="str">
        <f>HYPERLINK("http://funmeta.oebiotech.com/network/48057", "http://funmeta.oebiotech.com/network/48057")</f>
      </c>
      <c r="I1233" s="2" t="s">
        <v>15446</v>
      </c>
      <c r="J1233" s="2"/>
      <c r="K1233" s="2"/>
      <c r="L1233" s="2"/>
      <c r="M1233" s="2"/>
      <c r="N1233" s="2" t="s">
        <v>15447</v>
      </c>
      <c r="O1233" s="2" t="s">
        <v>15448</v>
      </c>
      <c r="P1233" s="2" t="s">
        <v>15449</v>
      </c>
      <c r="Q1233" s="2" t="s">
        <v>15450</v>
      </c>
      <c r="R1233" s="2" t="s">
        <v>355</v>
      </c>
      <c r="S1233" s="2" t="s">
        <v>13047</v>
      </c>
      <c r="T1233" s="2" t="s">
        <v>13048</v>
      </c>
      <c r="U1233" s="2" t="s">
        <v>9533</v>
      </c>
      <c r="V1233" s="2" t="s">
        <v>1019</v>
      </c>
      <c r="W1233" s="2"/>
    </row>
    <row r="1234">
      <c r="A1234" s="2" t="n">
        <v>893</v>
      </c>
      <c r="B1234" s="2" t="s">
        <v>15451</v>
      </c>
      <c r="C1234" s="2" t="s">
        <v>9532</v>
      </c>
      <c r="D1234" s="2" t="n">
        <v>929.372695222</v>
      </c>
      <c r="E1234" s="2" t="n">
        <v>2.38389674893121</v>
      </c>
      <c r="F1234" s="2" t="s">
        <v>15452</v>
      </c>
      <c r="G1234" s="2" t="n">
        <v>48056</v>
      </c>
      <c r="H1234" s="3" t="str">
        <f>HYPERLINK("http://funmeta.oebiotech.com/network/48056", "http://funmeta.oebiotech.com/network/48056")</f>
      </c>
      <c r="I1234" s="2" t="s">
        <v>15453</v>
      </c>
      <c r="J1234" s="2" t="s">
        <v>15454</v>
      </c>
      <c r="K1234" s="2"/>
      <c r="L1234" s="2"/>
      <c r="M1234" s="2"/>
      <c r="N1234" s="2" t="s">
        <v>15455</v>
      </c>
      <c r="O1234" s="2" t="s">
        <v>15456</v>
      </c>
      <c r="P1234" s="2" t="s">
        <v>15457</v>
      </c>
      <c r="Q1234" s="2" t="s">
        <v>15458</v>
      </c>
      <c r="R1234" s="2" t="s">
        <v>355</v>
      </c>
      <c r="S1234" s="2" t="s">
        <v>13047</v>
      </c>
      <c r="T1234" s="2" t="s">
        <v>13048</v>
      </c>
      <c r="U1234" s="2" t="s">
        <v>9533</v>
      </c>
      <c r="V1234" s="2" t="s">
        <v>1019</v>
      </c>
      <c r="W1234" s="2"/>
    </row>
    <row r="1235">
      <c r="A1235" s="2" t="n">
        <v>894</v>
      </c>
      <c r="B1235" s="2" t="s">
        <v>15459</v>
      </c>
      <c r="C1235" s="2" t="s">
        <v>9544</v>
      </c>
      <c r="D1235" s="2" t="n">
        <v>930.227497185</v>
      </c>
      <c r="E1235" s="2" t="n">
        <v>9.34619778932013</v>
      </c>
      <c r="F1235" s="2" t="s">
        <v>9546</v>
      </c>
      <c r="G1235" s="2" t="n">
        <v>82138</v>
      </c>
      <c r="H1235" s="3" t="str">
        <f>HYPERLINK("http://funmeta.oebiotech.com/network/82138", "http://funmeta.oebiotech.com/network/82138")</f>
      </c>
      <c r="I1235" s="2" t="s">
        <v>9548</v>
      </c>
      <c r="J1235" s="2"/>
      <c r="K1235" s="2"/>
      <c r="L1235" s="2"/>
      <c r="M1235" s="2"/>
      <c r="N1235" s="2" t="s">
        <v>9549</v>
      </c>
      <c r="O1235" s="2"/>
      <c r="P1235" s="2" t="s">
        <v>9550</v>
      </c>
      <c r="Q1235" s="2" t="s">
        <v>9551</v>
      </c>
      <c r="R1235" s="2" t="s">
        <v>1490</v>
      </c>
      <c r="S1235" s="2" t="s">
        <v>1491</v>
      </c>
      <c r="T1235" s="2" t="s">
        <v>9107</v>
      </c>
      <c r="U1235" s="2" t="s">
        <v>9545</v>
      </c>
      <c r="V1235" s="2" t="s">
        <v>42</v>
      </c>
      <c r="W1235" s="2"/>
    </row>
    <row r="1236">
      <c r="A1236" s="2" t="n">
        <v>895</v>
      </c>
      <c r="B1236" s="2" t="s">
        <v>15460</v>
      </c>
      <c r="C1236" s="2" t="s">
        <v>9552</v>
      </c>
      <c r="D1236" s="2" t="n">
        <v>931.191440028</v>
      </c>
      <c r="E1236" s="2" t="n">
        <v>2.34873888972349</v>
      </c>
      <c r="F1236" s="2" t="s">
        <v>9554</v>
      </c>
      <c r="G1236" s="2" t="n">
        <v>58052</v>
      </c>
      <c r="H1236" s="3" t="str">
        <f>HYPERLINK("http://funmeta.oebiotech.com/network/58052", "http://funmeta.oebiotech.com/network/58052")</f>
      </c>
      <c r="I1236" s="2" t="s">
        <v>9556</v>
      </c>
      <c r="J1236" s="2" t="s">
        <v>9557</v>
      </c>
      <c r="K1236" s="2"/>
      <c r="L1236" s="2" t="s">
        <v>9558</v>
      </c>
      <c r="M1236" s="2"/>
      <c r="N1236" s="2" t="s">
        <v>9559</v>
      </c>
      <c r="O1236" s="2" t="s">
        <v>9560</v>
      </c>
      <c r="P1236" s="2" t="s">
        <v>9561</v>
      </c>
      <c r="Q1236" s="2" t="s">
        <v>9562</v>
      </c>
      <c r="R1236" s="2" t="s">
        <v>2509</v>
      </c>
      <c r="S1236" s="2" t="s">
        <v>4528</v>
      </c>
      <c r="T1236" s="2" t="s">
        <v>4529</v>
      </c>
      <c r="U1236" s="2" t="s">
        <v>9553</v>
      </c>
      <c r="V1236" s="2" t="s">
        <v>360</v>
      </c>
      <c r="W1236" s="2" t="s">
        <v>39</v>
      </c>
    </row>
    <row r="1237">
      <c r="A1237" s="2" t="n">
        <v>896</v>
      </c>
      <c r="B1237" s="2" t="s">
        <v>15461</v>
      </c>
      <c r="C1237" s="2" t="s">
        <v>9563</v>
      </c>
      <c r="D1237" s="2" t="n">
        <v>931.490799942</v>
      </c>
      <c r="E1237" s="2" t="n">
        <v>4.36870206489564</v>
      </c>
      <c r="F1237" s="2" t="s">
        <v>15462</v>
      </c>
      <c r="G1237" s="2" t="n">
        <v>58349</v>
      </c>
      <c r="H1237" s="3" t="str">
        <f>HYPERLINK("http://funmeta.oebiotech.com/network/58349", "http://funmeta.oebiotech.com/network/58349")</f>
      </c>
      <c r="I1237" s="2" t="s">
        <v>15463</v>
      </c>
      <c r="J1237" s="2"/>
      <c r="K1237" s="2"/>
      <c r="L1237" s="2"/>
      <c r="M1237" s="2"/>
      <c r="N1237" s="2" t="s">
        <v>15464</v>
      </c>
      <c r="O1237" s="2" t="s">
        <v>15465</v>
      </c>
      <c r="P1237" s="2" t="s">
        <v>15466</v>
      </c>
      <c r="Q1237" s="2" t="s">
        <v>15467</v>
      </c>
      <c r="R1237" s="2" t="s">
        <v>1490</v>
      </c>
      <c r="S1237" s="2" t="s">
        <v>3546</v>
      </c>
      <c r="T1237" s="2" t="s">
        <v>7355</v>
      </c>
      <c r="U1237" s="2" t="s">
        <v>9564</v>
      </c>
      <c r="V1237" s="2" t="s">
        <v>24</v>
      </c>
      <c r="W1237" s="2"/>
    </row>
    <row r="1238">
      <c r="A1238" s="2" t="n">
        <v>896</v>
      </c>
      <c r="B1238" s="2" t="s">
        <v>15468</v>
      </c>
      <c r="C1238" s="2" t="s">
        <v>9563</v>
      </c>
      <c r="D1238" s="2" t="n">
        <v>931.490799942</v>
      </c>
      <c r="E1238" s="2" t="n">
        <v>4.36870206489564</v>
      </c>
      <c r="F1238" s="2" t="s">
        <v>15469</v>
      </c>
      <c r="G1238" s="2" t="n">
        <v>60010</v>
      </c>
      <c r="H1238" s="3" t="str">
        <f>HYPERLINK("http://funmeta.oebiotech.com/network/60010", "http://funmeta.oebiotech.com/network/60010")</f>
      </c>
      <c r="I1238" s="2" t="s">
        <v>15470</v>
      </c>
      <c r="J1238" s="2" t="s">
        <v>15471</v>
      </c>
      <c r="K1238" s="2"/>
      <c r="L1238" s="2"/>
      <c r="M1238" s="2"/>
      <c r="N1238" s="2" t="s">
        <v>15472</v>
      </c>
      <c r="O1238" s="2" t="s">
        <v>15473</v>
      </c>
      <c r="P1238" s="2" t="s">
        <v>15474</v>
      </c>
      <c r="Q1238" s="2" t="s">
        <v>15475</v>
      </c>
      <c r="R1238" s="2" t="s">
        <v>1490</v>
      </c>
      <c r="S1238" s="2" t="s">
        <v>3546</v>
      </c>
      <c r="T1238" s="2" t="s">
        <v>7355</v>
      </c>
      <c r="U1238" s="2" t="s">
        <v>9564</v>
      </c>
      <c r="V1238" s="2" t="s">
        <v>24</v>
      </c>
      <c r="W1238" s="2"/>
    </row>
    <row r="1239">
      <c r="A1239" s="2" t="n">
        <v>896</v>
      </c>
      <c r="B1239" s="2" t="s">
        <v>15476</v>
      </c>
      <c r="C1239" s="2" t="s">
        <v>9563</v>
      </c>
      <c r="D1239" s="2" t="n">
        <v>931.490799942</v>
      </c>
      <c r="E1239" s="2" t="n">
        <v>4.36870206489564</v>
      </c>
      <c r="F1239" s="2" t="s">
        <v>15477</v>
      </c>
      <c r="G1239" s="2" t="n">
        <v>61774</v>
      </c>
      <c r="H1239" s="3" t="str">
        <f>HYPERLINK("http://funmeta.oebiotech.com/network/61774", "http://funmeta.oebiotech.com/network/61774")</f>
      </c>
      <c r="I1239" s="2" t="s">
        <v>15478</v>
      </c>
      <c r="J1239" s="2" t="s">
        <v>15479</v>
      </c>
      <c r="K1239" s="2"/>
      <c r="L1239" s="2"/>
      <c r="M1239" s="2"/>
      <c r="N1239" s="2" t="s">
        <v>15480</v>
      </c>
      <c r="O1239" s="2" t="s">
        <v>15481</v>
      </c>
      <c r="P1239" s="2" t="s">
        <v>15482</v>
      </c>
      <c r="Q1239" s="2" t="s">
        <v>15483</v>
      </c>
      <c r="R1239" s="2" t="s">
        <v>1490</v>
      </c>
      <c r="S1239" s="2" t="s">
        <v>3546</v>
      </c>
      <c r="T1239" s="2" t="s">
        <v>7355</v>
      </c>
      <c r="U1239" s="2" t="s">
        <v>9564</v>
      </c>
      <c r="V1239" s="2" t="s">
        <v>24</v>
      </c>
      <c r="W1239" s="2"/>
    </row>
    <row r="1240">
      <c r="A1240" s="2" t="n">
        <v>897</v>
      </c>
      <c r="B1240" s="2" t="s">
        <v>15484</v>
      </c>
      <c r="C1240" s="2" t="s">
        <v>9574</v>
      </c>
      <c r="D1240" s="2" t="n">
        <v>941.162462162</v>
      </c>
      <c r="E1240" s="2" t="n">
        <v>5.74293228144546</v>
      </c>
      <c r="F1240" s="2" t="s">
        <v>9576</v>
      </c>
      <c r="G1240" s="2" t="n">
        <v>204902</v>
      </c>
      <c r="H1240" s="3" t="str">
        <f>HYPERLINK("http://funmeta.oebiotech.com/network/204902", "http://funmeta.oebiotech.com/network/204902")</f>
      </c>
      <c r="I1240" s="2" t="s">
        <v>9578</v>
      </c>
      <c r="J1240" s="2"/>
      <c r="K1240" s="2"/>
      <c r="L1240" s="2"/>
      <c r="M1240" s="2"/>
      <c r="N1240" s="2" t="s">
        <v>9579</v>
      </c>
      <c r="O1240" s="2"/>
      <c r="P1240" s="2" t="s">
        <v>9580</v>
      </c>
      <c r="Q1240" s="2" t="s">
        <v>9581</v>
      </c>
      <c r="R1240" s="2" t="s">
        <v>355</v>
      </c>
      <c r="S1240" s="2" t="s">
        <v>466</v>
      </c>
      <c r="T1240" s="2" t="s">
        <v>467</v>
      </c>
      <c r="U1240" s="2" t="s">
        <v>9575</v>
      </c>
      <c r="V1240" s="2" t="s">
        <v>1019</v>
      </c>
      <c r="W1240" s="2"/>
    </row>
    <row r="1241">
      <c r="A1241" s="2" t="n">
        <v>898</v>
      </c>
      <c r="B1241" s="2" t="s">
        <v>15485</v>
      </c>
      <c r="C1241" s="2" t="s">
        <v>9582</v>
      </c>
      <c r="D1241" s="2" t="n">
        <v>941.396499386</v>
      </c>
      <c r="E1241" s="2" t="n">
        <v>0.423922851219146</v>
      </c>
      <c r="F1241" s="2" t="s">
        <v>9584</v>
      </c>
      <c r="G1241" s="2" t="n">
        <v>205515</v>
      </c>
      <c r="H1241" s="3" t="str">
        <f>HYPERLINK("http://funmeta.oebiotech.com/network/205515", "http://funmeta.oebiotech.com/network/205515")</f>
      </c>
      <c r="I1241" s="2" t="s">
        <v>9586</v>
      </c>
      <c r="J1241" s="2" t="s">
        <v>9587</v>
      </c>
      <c r="K1241" s="2"/>
      <c r="L1241" s="2"/>
      <c r="M1241" s="2" t="s">
        <v>9588</v>
      </c>
      <c r="N1241" s="2" t="s">
        <v>9589</v>
      </c>
      <c r="O1241" s="2"/>
      <c r="P1241" s="2" t="s">
        <v>9590</v>
      </c>
      <c r="Q1241" s="2" t="s">
        <v>9591</v>
      </c>
      <c r="R1241" s="2" t="s">
        <v>355</v>
      </c>
      <c r="S1241" s="2" t="s">
        <v>1396</v>
      </c>
      <c r="T1241" s="2" t="s">
        <v>205</v>
      </c>
      <c r="U1241" s="2" t="s">
        <v>9583</v>
      </c>
      <c r="V1241" s="2" t="s">
        <v>1019</v>
      </c>
      <c r="W1241" s="2"/>
    </row>
    <row r="1242">
      <c r="A1242" s="2" t="n">
        <v>899</v>
      </c>
      <c r="B1242" s="2" t="s">
        <v>15486</v>
      </c>
      <c r="C1242" s="2" t="s">
        <v>9592</v>
      </c>
      <c r="D1242" s="2" t="n">
        <v>953.509132756</v>
      </c>
      <c r="E1242" s="2" t="n">
        <v>2.93752638398685</v>
      </c>
      <c r="F1242" s="2" t="s">
        <v>9594</v>
      </c>
      <c r="G1242" s="2" t="n">
        <v>59245</v>
      </c>
      <c r="H1242" s="3" t="str">
        <f>HYPERLINK("http://funmeta.oebiotech.com/network/59245", "http://funmeta.oebiotech.com/network/59245")</f>
      </c>
      <c r="I1242" s="2" t="s">
        <v>9596</v>
      </c>
      <c r="J1242" s="2"/>
      <c r="K1242" s="2"/>
      <c r="L1242" s="2"/>
      <c r="M1242" s="2"/>
      <c r="N1242" s="2" t="s">
        <v>9597</v>
      </c>
      <c r="O1242" s="2" t="s">
        <v>9598</v>
      </c>
      <c r="P1242" s="2" t="s">
        <v>9599</v>
      </c>
      <c r="Q1242" s="2" t="s">
        <v>9600</v>
      </c>
      <c r="R1242" s="2" t="s">
        <v>1490</v>
      </c>
      <c r="S1242" s="2" t="s">
        <v>4971</v>
      </c>
      <c r="T1242" s="2" t="s">
        <v>7445</v>
      </c>
      <c r="U1242" s="2" t="s">
        <v>9593</v>
      </c>
      <c r="V1242" s="2" t="s">
        <v>360</v>
      </c>
      <c r="W1242" s="2"/>
    </row>
    <row r="1243">
      <c r="A1243" s="2" t="n">
        <v>900</v>
      </c>
      <c r="B1243" s="2" t="s">
        <v>15487</v>
      </c>
      <c r="C1243" s="2" t="s">
        <v>9601</v>
      </c>
      <c r="D1243" s="2" t="n">
        <v>957.151538062</v>
      </c>
      <c r="E1243" s="2" t="n">
        <v>1.99914258356376</v>
      </c>
      <c r="F1243" s="2" t="s">
        <v>9603</v>
      </c>
      <c r="G1243" s="2" t="n">
        <v>202720</v>
      </c>
      <c r="H1243" s="3" t="str">
        <f>HYPERLINK("http://funmeta.oebiotech.com/network/202720", "http://funmeta.oebiotech.com/network/202720")</f>
      </c>
      <c r="I1243" s="2" t="s">
        <v>9605</v>
      </c>
      <c r="J1243" s="2"/>
      <c r="K1243" s="2"/>
      <c r="L1243" s="2"/>
      <c r="M1243" s="2"/>
      <c r="N1243" s="2" t="s">
        <v>9606</v>
      </c>
      <c r="O1243" s="2"/>
      <c r="P1243" s="2" t="s">
        <v>9607</v>
      </c>
      <c r="Q1243" s="2" t="s">
        <v>9608</v>
      </c>
      <c r="R1243" s="2" t="s">
        <v>355</v>
      </c>
      <c r="S1243" s="2" t="s">
        <v>4796</v>
      </c>
      <c r="T1243" s="2" t="s">
        <v>4797</v>
      </c>
      <c r="U1243" s="2" t="s">
        <v>9602</v>
      </c>
      <c r="V1243" s="2" t="s">
        <v>1019</v>
      </c>
      <c r="W1243" s="2"/>
    </row>
    <row r="1244">
      <c r="A1244" s="2" t="n">
        <v>901</v>
      </c>
      <c r="B1244" s="2" t="s">
        <v>15488</v>
      </c>
      <c r="C1244" s="2" t="s">
        <v>9609</v>
      </c>
      <c r="D1244" s="2" t="n">
        <v>957.376157866</v>
      </c>
      <c r="E1244" s="2" t="n">
        <v>9.94906488700691</v>
      </c>
      <c r="F1244" s="2" t="s">
        <v>9611</v>
      </c>
      <c r="G1244" s="2" t="n">
        <v>204820</v>
      </c>
      <c r="H1244" s="3" t="str">
        <f>HYPERLINK("http://funmeta.oebiotech.com/network/204820", "http://funmeta.oebiotech.com/network/204820")</f>
      </c>
      <c r="I1244" s="2" t="s">
        <v>9613</v>
      </c>
      <c r="J1244" s="2"/>
      <c r="K1244" s="2"/>
      <c r="L1244" s="2"/>
      <c r="M1244" s="2"/>
      <c r="N1244" s="2"/>
      <c r="O1244" s="2"/>
      <c r="P1244" s="2" t="s">
        <v>9614</v>
      </c>
      <c r="Q1244" s="2" t="s">
        <v>9615</v>
      </c>
      <c r="R1244" s="2" t="s">
        <v>355</v>
      </c>
      <c r="S1244" s="2" t="s">
        <v>5131</v>
      </c>
      <c r="T1244" s="2" t="s">
        <v>5132</v>
      </c>
      <c r="U1244" s="2" t="s">
        <v>9610</v>
      </c>
      <c r="V1244" s="2" t="s">
        <v>1019</v>
      </c>
      <c r="W1244" s="2"/>
    </row>
    <row r="1245">
      <c r="A1245" s="2" t="n">
        <v>902</v>
      </c>
      <c r="B1245" s="2" t="s">
        <v>15489</v>
      </c>
      <c r="C1245" s="2" t="s">
        <v>9616</v>
      </c>
      <c r="D1245" s="2" t="n">
        <v>959.188757278</v>
      </c>
      <c r="E1245" s="2" t="n">
        <v>5.3540687084849</v>
      </c>
      <c r="F1245" s="2" t="s">
        <v>9618</v>
      </c>
      <c r="G1245" s="2" t="n">
        <v>63555</v>
      </c>
      <c r="H1245" s="3" t="str">
        <f>HYPERLINK("http://funmeta.oebiotech.com/network/63555", "http://funmeta.oebiotech.com/network/63555")</f>
      </c>
      <c r="I1245" s="2" t="s">
        <v>9620</v>
      </c>
      <c r="J1245" s="2" t="s">
        <v>9621</v>
      </c>
      <c r="K1245" s="2"/>
      <c r="L1245" s="2"/>
      <c r="M1245" s="2" t="s">
        <v>9622</v>
      </c>
      <c r="N1245" s="2" t="s">
        <v>9623</v>
      </c>
      <c r="O1245" s="2" t="s">
        <v>9624</v>
      </c>
      <c r="P1245" s="2" t="s">
        <v>9625</v>
      </c>
      <c r="Q1245" s="2" t="s">
        <v>9626</v>
      </c>
      <c r="R1245" s="2" t="s">
        <v>2509</v>
      </c>
      <c r="S1245" s="2" t="s">
        <v>5520</v>
      </c>
      <c r="T1245" s="2" t="s">
        <v>7136</v>
      </c>
      <c r="U1245" s="2" t="s">
        <v>9617</v>
      </c>
      <c r="V1245" s="2" t="s">
        <v>24</v>
      </c>
      <c r="W1245" s="2"/>
    </row>
    <row r="1246">
      <c r="A1246" s="2" t="n">
        <v>903</v>
      </c>
      <c r="B1246" s="2" t="s">
        <v>15490</v>
      </c>
      <c r="C1246" s="2" t="s">
        <v>9627</v>
      </c>
      <c r="D1246" s="2" t="n">
        <v>961.601230322</v>
      </c>
      <c r="E1246" s="2" t="n">
        <v>4.38214801816972</v>
      </c>
      <c r="F1246" s="2" t="s">
        <v>9629</v>
      </c>
      <c r="G1246" s="2" t="n">
        <v>37493</v>
      </c>
      <c r="H1246" s="3" t="str">
        <f>HYPERLINK("http://funmeta.oebiotech.com/network/37493", "http://funmeta.oebiotech.com/network/37493")</f>
      </c>
      <c r="I1246" s="2" t="s">
        <v>9631</v>
      </c>
      <c r="J1246" s="2" t="s">
        <v>9632</v>
      </c>
      <c r="K1246" s="2" t="s">
        <v>9633</v>
      </c>
      <c r="L1246" s="2" t="s">
        <v>9634</v>
      </c>
      <c r="M1246" s="2" t="s">
        <v>9635</v>
      </c>
      <c r="N1246" s="2" t="s">
        <v>9636</v>
      </c>
      <c r="O1246" s="2" t="s">
        <v>9637</v>
      </c>
      <c r="P1246" s="2" t="s">
        <v>9638</v>
      </c>
      <c r="Q1246" s="2" t="s">
        <v>9639</v>
      </c>
      <c r="R1246" s="2" t="s">
        <v>1490</v>
      </c>
      <c r="S1246" s="2" t="s">
        <v>4971</v>
      </c>
      <c r="T1246" s="2" t="s">
        <v>9640</v>
      </c>
      <c r="U1246" s="2" t="s">
        <v>9628</v>
      </c>
      <c r="V1246" s="2" t="s">
        <v>522</v>
      </c>
      <c r="W1246" s="2" t="s">
        <v>39</v>
      </c>
    </row>
    <row r="1247">
      <c r="A1247" s="2" t="n">
        <v>904</v>
      </c>
      <c r="B1247" s="2" t="s">
        <v>15491</v>
      </c>
      <c r="C1247" s="2" t="s">
        <v>9641</v>
      </c>
      <c r="D1247" s="2" t="n">
        <v>966.176403457</v>
      </c>
      <c r="E1247" s="2" t="n">
        <v>2.2620058092362</v>
      </c>
      <c r="F1247" s="2" t="s">
        <v>9643</v>
      </c>
      <c r="G1247" s="2" t="n">
        <v>254560</v>
      </c>
      <c r="H1247" s="3" t="str">
        <f>HYPERLINK("http://funmeta.oebiotech.com/network/254560", "http://funmeta.oebiotech.com/network/254560")</f>
      </c>
      <c r="I1247" s="2" t="s">
        <v>9645</v>
      </c>
      <c r="J1247" s="2"/>
      <c r="K1247" s="2"/>
      <c r="L1247" s="2"/>
      <c r="M1247" s="2"/>
      <c r="N1247" s="2"/>
      <c r="O1247" s="2"/>
      <c r="P1247" s="2" t="s">
        <v>9646</v>
      </c>
      <c r="Q1247" s="2" t="s">
        <v>9647</v>
      </c>
      <c r="R1247" s="2" t="s">
        <v>1490</v>
      </c>
      <c r="S1247" s="2" t="s">
        <v>1491</v>
      </c>
      <c r="T1247" s="2" t="s">
        <v>9107</v>
      </c>
      <c r="U1247" s="2" t="s">
        <v>9642</v>
      </c>
      <c r="V1247" s="2" t="s">
        <v>24</v>
      </c>
      <c r="W1247" s="2"/>
    </row>
    <row r="1248">
      <c r="A1248" s="2" t="n">
        <v>905</v>
      </c>
      <c r="B1248" s="2" t="s">
        <v>15492</v>
      </c>
      <c r="C1248" s="2" t="s">
        <v>9648</v>
      </c>
      <c r="D1248" s="2" t="n">
        <v>967.163334648</v>
      </c>
      <c r="E1248" s="2" t="n">
        <v>6.43933295831188</v>
      </c>
      <c r="F1248" s="2" t="s">
        <v>9650</v>
      </c>
      <c r="G1248" s="2" t="n">
        <v>255810</v>
      </c>
      <c r="H1248" s="3" t="str">
        <f>HYPERLINK("http://funmeta.oebiotech.com/network/255810", "http://funmeta.oebiotech.com/network/255810")</f>
      </c>
      <c r="I1248" s="2" t="s">
        <v>9652</v>
      </c>
      <c r="J1248" s="2" t="s">
        <v>9653</v>
      </c>
      <c r="K1248" s="2"/>
      <c r="L1248" s="2" t="s">
        <v>9654</v>
      </c>
      <c r="M1248" s="2" t="s">
        <v>9655</v>
      </c>
      <c r="N1248" s="2" t="s">
        <v>9656</v>
      </c>
      <c r="O1248" s="2"/>
      <c r="P1248" s="2" t="s">
        <v>9657</v>
      </c>
      <c r="Q1248" s="2" t="s">
        <v>9658</v>
      </c>
      <c r="R1248" s="2" t="s">
        <v>2509</v>
      </c>
      <c r="S1248" s="2" t="s">
        <v>4949</v>
      </c>
      <c r="T1248" s="2" t="s">
        <v>205</v>
      </c>
      <c r="U1248" s="2" t="s">
        <v>9649</v>
      </c>
      <c r="V1248" s="2" t="s">
        <v>1019</v>
      </c>
      <c r="W1248" s="2" t="s">
        <v>39</v>
      </c>
    </row>
    <row r="1249">
      <c r="A1249" s="2" t="n">
        <v>906</v>
      </c>
      <c r="B1249" s="2" t="s">
        <v>15493</v>
      </c>
      <c r="C1249" s="2" t="s">
        <v>9659</v>
      </c>
      <c r="D1249" s="2" t="n">
        <v>975.517019</v>
      </c>
      <c r="E1249" s="2" t="n">
        <v>2.95981916709518</v>
      </c>
      <c r="F1249" s="2" t="s">
        <v>9661</v>
      </c>
      <c r="G1249" s="2" t="n">
        <v>59226</v>
      </c>
      <c r="H1249" s="3" t="str">
        <f>HYPERLINK("http://funmeta.oebiotech.com/network/59226", "http://funmeta.oebiotech.com/network/59226")</f>
      </c>
      <c r="I1249" s="2" t="s">
        <v>9663</v>
      </c>
      <c r="J1249" s="2" t="s">
        <v>9664</v>
      </c>
      <c r="K1249" s="2"/>
      <c r="L1249" s="2"/>
      <c r="M1249" s="2"/>
      <c r="N1249" s="2" t="s">
        <v>9665</v>
      </c>
      <c r="O1249" s="2" t="s">
        <v>9666</v>
      </c>
      <c r="P1249" s="2" t="s">
        <v>9667</v>
      </c>
      <c r="Q1249" s="2" t="s">
        <v>9668</v>
      </c>
      <c r="R1249" s="2" t="s">
        <v>1490</v>
      </c>
      <c r="S1249" s="2" t="s">
        <v>3546</v>
      </c>
      <c r="T1249" s="2" t="s">
        <v>7355</v>
      </c>
      <c r="U1249" s="2" t="s">
        <v>9660</v>
      </c>
      <c r="V1249" s="2" t="s">
        <v>110</v>
      </c>
      <c r="W1249" s="2"/>
    </row>
    <row r="1250">
      <c r="A1250" s="2" t="n">
        <v>907</v>
      </c>
      <c r="B1250" s="2" t="s">
        <v>15494</v>
      </c>
      <c r="C1250" s="2" t="s">
        <v>9669</v>
      </c>
      <c r="D1250" s="2" t="n">
        <v>975.620302274</v>
      </c>
      <c r="E1250" s="2" t="n">
        <v>9.04041279363859</v>
      </c>
      <c r="F1250" s="2" t="s">
        <v>9671</v>
      </c>
      <c r="G1250" s="2" t="n">
        <v>204761</v>
      </c>
      <c r="H1250" s="3" t="str">
        <f>HYPERLINK("http://funmeta.oebiotech.com/network/204761", "http://funmeta.oebiotech.com/network/204761")</f>
      </c>
      <c r="I1250" s="2" t="s">
        <v>9673</v>
      </c>
      <c r="J1250" s="2"/>
      <c r="K1250" s="2"/>
      <c r="L1250" s="2"/>
      <c r="M1250" s="2"/>
      <c r="N1250" s="2" t="s">
        <v>9674</v>
      </c>
      <c r="O1250" s="2"/>
      <c r="P1250" s="2" t="s">
        <v>9675</v>
      </c>
      <c r="Q1250" s="2" t="s">
        <v>9676</v>
      </c>
      <c r="R1250" s="2" t="s">
        <v>1490</v>
      </c>
      <c r="S1250" s="2" t="s">
        <v>3546</v>
      </c>
      <c r="T1250" s="2" t="s">
        <v>9677</v>
      </c>
      <c r="U1250" s="2" t="s">
        <v>9670</v>
      </c>
      <c r="V1250" s="2" t="s">
        <v>1019</v>
      </c>
      <c r="W1250" s="2"/>
    </row>
    <row r="1251">
      <c r="A1251" s="2" t="n">
        <v>908</v>
      </c>
      <c r="B1251" s="2" t="s">
        <v>15495</v>
      </c>
      <c r="C1251" s="2" t="s">
        <v>9678</v>
      </c>
      <c r="D1251" s="2" t="n">
        <v>979.138573344</v>
      </c>
      <c r="E1251" s="2" t="n">
        <v>6.51745371841483</v>
      </c>
      <c r="F1251" s="2" t="s">
        <v>9680</v>
      </c>
      <c r="G1251" s="2" t="n">
        <v>204817</v>
      </c>
      <c r="H1251" s="3" t="str">
        <f>HYPERLINK("http://funmeta.oebiotech.com/network/204817", "http://funmeta.oebiotech.com/network/204817")</f>
      </c>
      <c r="I1251" s="2" t="s">
        <v>9682</v>
      </c>
      <c r="J1251" s="2"/>
      <c r="K1251" s="2"/>
      <c r="L1251" s="2"/>
      <c r="M1251" s="2"/>
      <c r="N1251" s="2" t="s">
        <v>9683</v>
      </c>
      <c r="O1251" s="2"/>
      <c r="P1251" s="2" t="s">
        <v>9684</v>
      </c>
      <c r="Q1251" s="2" t="s">
        <v>9685</v>
      </c>
      <c r="R1251" s="2" t="s">
        <v>355</v>
      </c>
      <c r="S1251" s="2" t="s">
        <v>4796</v>
      </c>
      <c r="T1251" s="2" t="s">
        <v>4797</v>
      </c>
      <c r="U1251" s="2" t="s">
        <v>9679</v>
      </c>
      <c r="V1251" s="2" t="s">
        <v>1019</v>
      </c>
      <c r="W1251" s="2"/>
    </row>
    <row r="1252">
      <c r="A1252" s="2" t="n">
        <v>909</v>
      </c>
      <c r="B1252" s="2" t="s">
        <v>15496</v>
      </c>
      <c r="C1252" s="2" t="s">
        <v>9686</v>
      </c>
      <c r="D1252" s="2" t="n">
        <v>981.579221018</v>
      </c>
      <c r="E1252" s="2" t="n">
        <v>3.3025254714884</v>
      </c>
      <c r="F1252" s="2" t="s">
        <v>9688</v>
      </c>
      <c r="G1252" s="2" t="n">
        <v>51166</v>
      </c>
      <c r="H1252" s="3" t="str">
        <f>HYPERLINK("http://funmeta.oebiotech.com/network/51166", "http://funmeta.oebiotech.com/network/51166")</f>
      </c>
      <c r="I1252" s="2" t="s">
        <v>9690</v>
      </c>
      <c r="J1252" s="2" t="s">
        <v>9691</v>
      </c>
      <c r="K1252" s="2"/>
      <c r="L1252" s="2"/>
      <c r="M1252" s="2" t="s">
        <v>9692</v>
      </c>
      <c r="N1252" s="2" t="s">
        <v>9693</v>
      </c>
      <c r="O1252" s="2"/>
      <c r="P1252" s="2" t="s">
        <v>9694</v>
      </c>
      <c r="Q1252" s="2" t="s">
        <v>9695</v>
      </c>
      <c r="R1252" s="2" t="s">
        <v>1490</v>
      </c>
      <c r="S1252" s="2" t="s">
        <v>6728</v>
      </c>
      <c r="T1252" s="2" t="s">
        <v>9027</v>
      </c>
      <c r="U1252" s="2" t="s">
        <v>9687</v>
      </c>
      <c r="V1252" s="2" t="s">
        <v>24</v>
      </c>
      <c r="W1252" s="2"/>
    </row>
    <row r="1253">
      <c r="A1253" s="2" t="n">
        <v>910</v>
      </c>
      <c r="B1253" s="2" t="s">
        <v>15497</v>
      </c>
      <c r="C1253" s="2" t="s">
        <v>9696</v>
      </c>
      <c r="D1253" s="2" t="n">
        <v>998.145101423</v>
      </c>
      <c r="E1253" s="2" t="n">
        <v>2.98001715361323</v>
      </c>
      <c r="F1253" s="2" t="s">
        <v>9698</v>
      </c>
      <c r="G1253" s="2" t="n">
        <v>256839</v>
      </c>
      <c r="H1253" s="3" t="str">
        <f>HYPERLINK("http://funmeta.oebiotech.com/network/256839", "http://funmeta.oebiotech.com/network/256839")</f>
      </c>
      <c r="I1253" s="2" t="s">
        <v>9700</v>
      </c>
      <c r="J1253" s="2" t="s">
        <v>9701</v>
      </c>
      <c r="K1253" s="2"/>
      <c r="L1253" s="2" t="s">
        <v>9702</v>
      </c>
      <c r="M1253" s="2" t="s">
        <v>5422</v>
      </c>
      <c r="N1253" s="2" t="s">
        <v>9703</v>
      </c>
      <c r="O1253" s="2"/>
      <c r="P1253" s="2" t="s">
        <v>9704</v>
      </c>
      <c r="Q1253" s="2" t="s">
        <v>9705</v>
      </c>
      <c r="R1253" s="2" t="s">
        <v>1490</v>
      </c>
      <c r="S1253" s="2" t="s">
        <v>1491</v>
      </c>
      <c r="T1253" s="2" t="s">
        <v>9107</v>
      </c>
      <c r="U1253" s="2" t="s">
        <v>9697</v>
      </c>
      <c r="V1253" s="2" t="s">
        <v>24</v>
      </c>
      <c r="W1253" s="2" t="s">
        <v>39</v>
      </c>
    </row>
    <row r="1254">
      <c r="A1254" s="2" t="n">
        <v>911</v>
      </c>
      <c r="B1254" s="2" t="s">
        <v>15498</v>
      </c>
      <c r="C1254" s="2" t="s">
        <v>9706</v>
      </c>
      <c r="D1254" s="2" t="n">
        <v>1003.172717592</v>
      </c>
      <c r="E1254" s="2" t="n">
        <v>9.49019740606776</v>
      </c>
      <c r="F1254" s="2" t="s">
        <v>9708</v>
      </c>
      <c r="G1254" s="2" t="n">
        <v>64472</v>
      </c>
      <c r="H1254" s="3" t="str">
        <f>HYPERLINK("http://funmeta.oebiotech.com/network/64472", "http://funmeta.oebiotech.com/network/64472")</f>
      </c>
      <c r="I1254" s="2" t="s">
        <v>9710</v>
      </c>
      <c r="J1254" s="2" t="s">
        <v>9711</v>
      </c>
      <c r="K1254" s="2"/>
      <c r="L1254" s="2"/>
      <c r="M1254" s="2"/>
      <c r="N1254" s="2" t="s">
        <v>9712</v>
      </c>
      <c r="O1254" s="2" t="s">
        <v>9713</v>
      </c>
      <c r="P1254" s="2" t="s">
        <v>9714</v>
      </c>
      <c r="Q1254" s="2" t="s">
        <v>9715</v>
      </c>
      <c r="R1254" s="2" t="s">
        <v>355</v>
      </c>
      <c r="S1254" s="2" t="s">
        <v>5537</v>
      </c>
      <c r="T1254" s="2" t="s">
        <v>5538</v>
      </c>
      <c r="U1254" s="2" t="s">
        <v>9707</v>
      </c>
      <c r="V1254" s="2" t="s">
        <v>1019</v>
      </c>
      <c r="W1254" s="2"/>
    </row>
    <row r="1255">
      <c r="A1255" s="2" t="n">
        <v>912</v>
      </c>
      <c r="B1255" s="2" t="s">
        <v>15499</v>
      </c>
      <c r="C1255" s="2" t="s">
        <v>9716</v>
      </c>
      <c r="D1255" s="2" t="n">
        <v>1012.210206715</v>
      </c>
      <c r="E1255" s="2" t="n">
        <v>3.49923886036623</v>
      </c>
      <c r="F1255" s="2" t="s">
        <v>9718</v>
      </c>
      <c r="G1255" s="2" t="n">
        <v>254116</v>
      </c>
      <c r="H1255" s="3" t="str">
        <f>HYPERLINK("http://funmeta.oebiotech.com/network/254116", "http://funmeta.oebiotech.com/network/254116")</f>
      </c>
      <c r="I1255" s="2" t="s">
        <v>9720</v>
      </c>
      <c r="J1255" s="2"/>
      <c r="K1255" s="2"/>
      <c r="L1255" s="2"/>
      <c r="M1255" s="2"/>
      <c r="N1255" s="2"/>
      <c r="O1255" s="2"/>
      <c r="P1255" s="2" t="s">
        <v>9721</v>
      </c>
      <c r="Q1255" s="2" t="s">
        <v>9722</v>
      </c>
      <c r="R1255" s="2" t="s">
        <v>1490</v>
      </c>
      <c r="S1255" s="2" t="s">
        <v>1491</v>
      </c>
      <c r="T1255" s="2" t="s">
        <v>9107</v>
      </c>
      <c r="U1255" s="2" t="s">
        <v>9717</v>
      </c>
      <c r="V1255" s="2" t="s">
        <v>522</v>
      </c>
      <c r="W1255" s="2"/>
    </row>
    <row r="1256">
      <c r="A1256" s="2" t="n">
        <v>913</v>
      </c>
      <c r="B1256" s="2" t="s">
        <v>15500</v>
      </c>
      <c r="C1256" s="2" t="s">
        <v>9723</v>
      </c>
      <c r="D1256" s="2" t="n">
        <v>1013.581625344</v>
      </c>
      <c r="E1256" s="2" t="n">
        <v>1.44121805558535</v>
      </c>
      <c r="F1256" s="2" t="s">
        <v>9725</v>
      </c>
      <c r="G1256" s="2" t="n">
        <v>205869</v>
      </c>
      <c r="H1256" s="3" t="str">
        <f>HYPERLINK("http://funmeta.oebiotech.com/network/205869", "http://funmeta.oebiotech.com/network/205869")</f>
      </c>
      <c r="I1256" s="2" t="s">
        <v>9727</v>
      </c>
      <c r="J1256" s="2"/>
      <c r="K1256" s="2"/>
      <c r="L1256" s="2"/>
      <c r="M1256" s="2"/>
      <c r="N1256" s="2"/>
      <c r="O1256" s="2"/>
      <c r="P1256" s="2" t="s">
        <v>9728</v>
      </c>
      <c r="Q1256" s="2" t="s">
        <v>9729</v>
      </c>
      <c r="R1256" s="2" t="s">
        <v>49</v>
      </c>
      <c r="S1256" s="2" t="s">
        <v>6532</v>
      </c>
      <c r="T1256" s="2" t="s">
        <v>7502</v>
      </c>
      <c r="U1256" s="2" t="s">
        <v>9724</v>
      </c>
      <c r="V1256" s="2" t="s">
        <v>110</v>
      </c>
      <c r="W1256" s="2"/>
    </row>
    <row r="1257">
      <c r="A1257" s="2" t="n">
        <v>914</v>
      </c>
      <c r="B1257" s="2" t="s">
        <v>15501</v>
      </c>
      <c r="C1257" s="2" t="s">
        <v>9730</v>
      </c>
      <c r="D1257" s="2" t="n">
        <v>1025.181663202</v>
      </c>
      <c r="E1257" s="2" t="n">
        <v>7.31234073516662</v>
      </c>
      <c r="F1257" s="2" t="s">
        <v>9732</v>
      </c>
      <c r="G1257" s="2" t="n">
        <v>63169</v>
      </c>
      <c r="H1257" s="3" t="str">
        <f>HYPERLINK("http://funmeta.oebiotech.com/network/63169", "http://funmeta.oebiotech.com/network/63169")</f>
      </c>
      <c r="I1257" s="2" t="s">
        <v>9734</v>
      </c>
      <c r="J1257" s="2" t="s">
        <v>9735</v>
      </c>
      <c r="K1257" s="2"/>
      <c r="L1257" s="2"/>
      <c r="M1257" s="2"/>
      <c r="N1257" s="2" t="s">
        <v>9736</v>
      </c>
      <c r="O1257" s="2" t="s">
        <v>9737</v>
      </c>
      <c r="P1257" s="2" t="s">
        <v>9738</v>
      </c>
      <c r="Q1257" s="2" t="s">
        <v>9739</v>
      </c>
      <c r="R1257" s="2" t="s">
        <v>2509</v>
      </c>
      <c r="S1257" s="2" t="s">
        <v>5520</v>
      </c>
      <c r="T1257" s="2" t="s">
        <v>5664</v>
      </c>
      <c r="U1257" s="2" t="s">
        <v>9731</v>
      </c>
      <c r="V1257" s="2" t="s">
        <v>360</v>
      </c>
      <c r="W1257" s="2"/>
    </row>
    <row r="1258">
      <c r="A1258" s="2" t="n">
        <v>915</v>
      </c>
      <c r="B1258" s="2" t="s">
        <v>15502</v>
      </c>
      <c r="C1258" s="2" t="s">
        <v>9740</v>
      </c>
      <c r="D1258" s="2" t="n">
        <v>1031.755673548</v>
      </c>
      <c r="E1258" s="2" t="n">
        <v>7.93450682557304</v>
      </c>
      <c r="F1258" s="2" t="s">
        <v>9742</v>
      </c>
      <c r="G1258" s="2" t="n">
        <v>58639</v>
      </c>
      <c r="H1258" s="3" t="str">
        <f>HYPERLINK("http://funmeta.oebiotech.com/network/58639", "http://funmeta.oebiotech.com/network/58639")</f>
      </c>
      <c r="I1258" s="2" t="s">
        <v>9744</v>
      </c>
      <c r="J1258" s="2" t="s">
        <v>9745</v>
      </c>
      <c r="K1258" s="2"/>
      <c r="L1258" s="2"/>
      <c r="M1258" s="2"/>
      <c r="N1258" s="2" t="s">
        <v>9746</v>
      </c>
      <c r="O1258" s="2" t="s">
        <v>9747</v>
      </c>
      <c r="P1258" s="2" t="s">
        <v>9748</v>
      </c>
      <c r="Q1258" s="2" t="s">
        <v>9749</v>
      </c>
      <c r="R1258" s="2" t="s">
        <v>1490</v>
      </c>
      <c r="S1258" s="2" t="s">
        <v>4971</v>
      </c>
      <c r="T1258" s="2" t="s">
        <v>7445</v>
      </c>
      <c r="U1258" s="2" t="s">
        <v>9741</v>
      </c>
      <c r="V1258" s="2" t="s">
        <v>1019</v>
      </c>
      <c r="W1258" s="2"/>
    </row>
    <row r="1259">
      <c r="A1259" s="2" t="n">
        <v>916</v>
      </c>
      <c r="B1259" s="2" t="s">
        <v>15503</v>
      </c>
      <c r="C1259" s="2" t="s">
        <v>9750</v>
      </c>
      <c r="D1259" s="2" t="n">
        <v>1037.571292563</v>
      </c>
      <c r="E1259" s="2" t="n">
        <v>4.47976660623515</v>
      </c>
      <c r="F1259" s="2" t="s">
        <v>9752</v>
      </c>
      <c r="G1259" s="2" t="n">
        <v>136531</v>
      </c>
      <c r="H1259" s="3" t="str">
        <f>HYPERLINK("http://funmeta.oebiotech.com/network/136531", "http://funmeta.oebiotech.com/network/136531")</f>
      </c>
      <c r="I1259" s="2" t="s">
        <v>9754</v>
      </c>
      <c r="J1259" s="2"/>
      <c r="K1259" s="2"/>
      <c r="L1259" s="2"/>
      <c r="M1259" s="2"/>
      <c r="N1259" s="2" t="s">
        <v>9755</v>
      </c>
      <c r="O1259" s="2"/>
      <c r="P1259" s="2" t="s">
        <v>9756</v>
      </c>
      <c r="Q1259" s="2" t="s">
        <v>9757</v>
      </c>
      <c r="R1259" s="2" t="s">
        <v>1490</v>
      </c>
      <c r="S1259" s="2" t="s">
        <v>4236</v>
      </c>
      <c r="T1259" s="2" t="s">
        <v>9758</v>
      </c>
      <c r="U1259" s="2" t="s">
        <v>9751</v>
      </c>
      <c r="V1259" s="2" t="s">
        <v>360</v>
      </c>
      <c r="W1259" s="2"/>
    </row>
    <row r="1260">
      <c r="A1260" s="2" t="n">
        <v>917</v>
      </c>
      <c r="B1260" s="2" t="s">
        <v>15504</v>
      </c>
      <c r="C1260" s="2" t="s">
        <v>9759</v>
      </c>
      <c r="D1260" s="2" t="n">
        <v>1041.155075094</v>
      </c>
      <c r="E1260" s="2" t="n">
        <v>8.61396521027376</v>
      </c>
      <c r="F1260" s="2" t="s">
        <v>9761</v>
      </c>
      <c r="G1260" s="2" t="n">
        <v>256989</v>
      </c>
      <c r="H1260" s="3" t="str">
        <f>HYPERLINK("http://funmeta.oebiotech.com/network/256989", "http://funmeta.oebiotech.com/network/256989")</f>
      </c>
      <c r="I1260" s="2" t="s">
        <v>9763</v>
      </c>
      <c r="J1260" s="2" t="s">
        <v>9764</v>
      </c>
      <c r="K1260" s="2"/>
      <c r="L1260" s="2" t="s">
        <v>9765</v>
      </c>
      <c r="M1260" s="2" t="s">
        <v>9766</v>
      </c>
      <c r="N1260" s="2" t="s">
        <v>9767</v>
      </c>
      <c r="O1260" s="2"/>
      <c r="P1260" s="2" t="s">
        <v>9768</v>
      </c>
      <c r="Q1260" s="2" t="s">
        <v>9769</v>
      </c>
      <c r="R1260" s="2" t="s">
        <v>2590</v>
      </c>
      <c r="S1260" s="2" t="s">
        <v>4599</v>
      </c>
      <c r="T1260" s="2" t="s">
        <v>7467</v>
      </c>
      <c r="U1260" s="2" t="s">
        <v>9760</v>
      </c>
      <c r="V1260" s="2" t="s">
        <v>1019</v>
      </c>
      <c r="W1260" s="2" t="s">
        <v>39</v>
      </c>
    </row>
    <row r="1261">
      <c r="A1261" s="2" t="n">
        <v>918</v>
      </c>
      <c r="B1261" s="2" t="s">
        <v>15505</v>
      </c>
      <c r="C1261" s="2" t="s">
        <v>9770</v>
      </c>
      <c r="D1261" s="2" t="n">
        <v>1044.567210238</v>
      </c>
      <c r="E1261" s="2" t="n">
        <v>9.93621401074396</v>
      </c>
      <c r="F1261" s="2" t="s">
        <v>9772</v>
      </c>
      <c r="G1261" s="2" t="n">
        <v>135756</v>
      </c>
      <c r="H1261" s="3" t="str">
        <f>HYPERLINK("http://funmeta.oebiotech.com/network/135756", "http://funmeta.oebiotech.com/network/135756")</f>
      </c>
      <c r="I1261" s="2" t="s">
        <v>9774</v>
      </c>
      <c r="J1261" s="2"/>
      <c r="K1261" s="2"/>
      <c r="L1261" s="2"/>
      <c r="M1261" s="2"/>
      <c r="N1261" s="2" t="s">
        <v>9775</v>
      </c>
      <c r="O1261" s="2"/>
      <c r="P1261" s="2" t="s">
        <v>9776</v>
      </c>
      <c r="Q1261" s="2" t="s">
        <v>9777</v>
      </c>
      <c r="R1261" s="2" t="s">
        <v>1490</v>
      </c>
      <c r="S1261" s="2" t="s">
        <v>4236</v>
      </c>
      <c r="T1261" s="2" t="s">
        <v>9778</v>
      </c>
      <c r="U1261" s="2" t="s">
        <v>9771</v>
      </c>
      <c r="V1261" s="2" t="s">
        <v>360</v>
      </c>
      <c r="W1261" s="2"/>
    </row>
    <row r="1262">
      <c r="A1262" s="2" t="n">
        <v>919</v>
      </c>
      <c r="B1262" s="2" t="s">
        <v>15506</v>
      </c>
      <c r="C1262" s="2" t="s">
        <v>9779</v>
      </c>
      <c r="D1262" s="2" t="n">
        <v>1050.166324058</v>
      </c>
      <c r="E1262" s="2" t="n">
        <v>0.42287107273892</v>
      </c>
      <c r="F1262" s="2" t="s">
        <v>9781</v>
      </c>
      <c r="G1262" s="2" t="n">
        <v>209857</v>
      </c>
      <c r="H1262" s="3" t="str">
        <f>HYPERLINK("http://funmeta.oebiotech.com/network/209857", "http://funmeta.oebiotech.com/network/209857")</f>
      </c>
      <c r="I1262" s="2" t="s">
        <v>9783</v>
      </c>
      <c r="J1262" s="2"/>
      <c r="K1262" s="2"/>
      <c r="L1262" s="2"/>
      <c r="M1262" s="2"/>
      <c r="N1262" s="2" t="s">
        <v>9784</v>
      </c>
      <c r="O1262" s="2"/>
      <c r="P1262" s="2" t="s">
        <v>9785</v>
      </c>
      <c r="Q1262" s="2" t="s">
        <v>9786</v>
      </c>
      <c r="R1262" s="2" t="s">
        <v>2590</v>
      </c>
      <c r="S1262" s="2" t="s">
        <v>6120</v>
      </c>
      <c r="T1262" s="2" t="s">
        <v>7366</v>
      </c>
      <c r="U1262" s="2" t="s">
        <v>9780</v>
      </c>
      <c r="V1262" s="2" t="s">
        <v>24</v>
      </c>
      <c r="W1262" s="2"/>
    </row>
    <row r="1263">
      <c r="A1263" s="2" t="n">
        <v>920</v>
      </c>
      <c r="B1263" s="2" t="s">
        <v>15507</v>
      </c>
      <c r="C1263" s="2" t="s">
        <v>9787</v>
      </c>
      <c r="D1263" s="2" t="n">
        <v>1052.145592918</v>
      </c>
      <c r="E1263" s="2" t="n">
        <v>0.531164576543264</v>
      </c>
      <c r="F1263" s="2" t="s">
        <v>9789</v>
      </c>
      <c r="G1263" s="2" t="n">
        <v>210497</v>
      </c>
      <c r="H1263" s="3" t="str">
        <f>HYPERLINK("http://funmeta.oebiotech.com/network/210497", "http://funmeta.oebiotech.com/network/210497")</f>
      </c>
      <c r="I1263" s="2" t="s">
        <v>9791</v>
      </c>
      <c r="J1263" s="2"/>
      <c r="K1263" s="2"/>
      <c r="L1263" s="2"/>
      <c r="M1263" s="2"/>
      <c r="N1263" s="2"/>
      <c r="O1263" s="2"/>
      <c r="P1263" s="2" t="s">
        <v>9792</v>
      </c>
      <c r="Q1263" s="2" t="s">
        <v>9793</v>
      </c>
      <c r="R1263" s="2" t="s">
        <v>2590</v>
      </c>
      <c r="S1263" s="2" t="s">
        <v>3200</v>
      </c>
      <c r="T1263" s="2" t="s">
        <v>9794</v>
      </c>
      <c r="U1263" s="2" t="s">
        <v>9788</v>
      </c>
      <c r="V1263" s="2" t="s">
        <v>110</v>
      </c>
      <c r="W1263" s="2"/>
    </row>
    <row r="1264">
      <c r="A1264" s="2" t="n">
        <v>921</v>
      </c>
      <c r="B1264" s="2" t="s">
        <v>15508</v>
      </c>
      <c r="C1264" s="2" t="s">
        <v>9795</v>
      </c>
      <c r="D1264" s="2" t="n">
        <v>1058.582860303</v>
      </c>
      <c r="E1264" s="2" t="n">
        <v>7.87823588783544</v>
      </c>
      <c r="F1264" s="2" t="s">
        <v>9797</v>
      </c>
      <c r="G1264" s="2" t="n">
        <v>135744</v>
      </c>
      <c r="H1264" s="3" t="str">
        <f>HYPERLINK("http://funmeta.oebiotech.com/network/135744", "http://funmeta.oebiotech.com/network/135744")</f>
      </c>
      <c r="I1264" s="2" t="s">
        <v>9799</v>
      </c>
      <c r="J1264" s="2"/>
      <c r="K1264" s="2"/>
      <c r="L1264" s="2"/>
      <c r="M1264" s="2"/>
      <c r="N1264" s="2" t="s">
        <v>9800</v>
      </c>
      <c r="O1264" s="2"/>
      <c r="P1264" s="2" t="s">
        <v>9801</v>
      </c>
      <c r="Q1264" s="2" t="s">
        <v>9802</v>
      </c>
      <c r="R1264" s="2" t="s">
        <v>1490</v>
      </c>
      <c r="S1264" s="2" t="s">
        <v>4236</v>
      </c>
      <c r="T1264" s="2" t="s">
        <v>9778</v>
      </c>
      <c r="U1264" s="2" t="s">
        <v>9796</v>
      </c>
      <c r="V1264" s="2" t="s">
        <v>360</v>
      </c>
      <c r="W1264" s="2"/>
    </row>
    <row r="1265">
      <c r="A1265" s="2" t="n">
        <v>922</v>
      </c>
      <c r="B1265" s="2" t="s">
        <v>15509</v>
      </c>
      <c r="C1265" s="2" t="s">
        <v>9803</v>
      </c>
      <c r="D1265" s="2" t="n">
        <v>1063.556867148</v>
      </c>
      <c r="E1265" s="2" t="n">
        <v>8.36075848931652</v>
      </c>
      <c r="F1265" s="2" t="s">
        <v>9805</v>
      </c>
      <c r="G1265" s="2" t="n">
        <v>210478</v>
      </c>
      <c r="H1265" s="3" t="str">
        <f>HYPERLINK("http://funmeta.oebiotech.com/network/210478", "http://funmeta.oebiotech.com/network/210478")</f>
      </c>
      <c r="I1265" s="2" t="s">
        <v>9807</v>
      </c>
      <c r="J1265" s="2"/>
      <c r="K1265" s="2"/>
      <c r="L1265" s="2"/>
      <c r="M1265" s="2"/>
      <c r="N1265" s="2" t="s">
        <v>9808</v>
      </c>
      <c r="O1265" s="2"/>
      <c r="P1265" s="2" t="s">
        <v>9809</v>
      </c>
      <c r="Q1265" s="2" t="s">
        <v>9810</v>
      </c>
      <c r="R1265" s="2" t="s">
        <v>49</v>
      </c>
      <c r="S1265" s="2" t="s">
        <v>165</v>
      </c>
      <c r="T1265" s="2" t="s">
        <v>166</v>
      </c>
      <c r="U1265" s="2" t="s">
        <v>9804</v>
      </c>
      <c r="V1265" s="2" t="s">
        <v>110</v>
      </c>
      <c r="W1265" s="2"/>
    </row>
    <row r="1266">
      <c r="A1266" s="2" t="n">
        <v>923</v>
      </c>
      <c r="B1266" s="2" t="s">
        <v>15510</v>
      </c>
      <c r="C1266" s="2" t="s">
        <v>9811</v>
      </c>
      <c r="D1266" s="2" t="n">
        <v>1086.585428585</v>
      </c>
      <c r="E1266" s="2" t="n">
        <v>2.11110830014178</v>
      </c>
      <c r="F1266" s="2" t="s">
        <v>9813</v>
      </c>
      <c r="G1266" s="2" t="n">
        <v>212725</v>
      </c>
      <c r="H1266" s="3" t="str">
        <f>HYPERLINK("http://funmeta.oebiotech.com/network/212725", "http://funmeta.oebiotech.com/network/212725")</f>
      </c>
      <c r="I1266" s="2" t="s">
        <v>9815</v>
      </c>
      <c r="J1266" s="2"/>
      <c r="K1266" s="2"/>
      <c r="L1266" s="2"/>
      <c r="M1266" s="2"/>
      <c r="N1266" s="2" t="s">
        <v>9816</v>
      </c>
      <c r="O1266" s="2"/>
      <c r="P1266" s="2" t="s">
        <v>9817</v>
      </c>
      <c r="Q1266" s="2" t="s">
        <v>9818</v>
      </c>
      <c r="R1266" s="2" t="s">
        <v>64</v>
      </c>
      <c r="S1266" s="2" t="s">
        <v>65</v>
      </c>
      <c r="T1266" s="2" t="s">
        <v>66</v>
      </c>
      <c r="U1266" s="2" t="s">
        <v>9812</v>
      </c>
      <c r="V1266" s="2" t="s">
        <v>24</v>
      </c>
      <c r="W1266" s="2"/>
    </row>
    <row r="1267">
      <c r="A1267" s="2" t="n">
        <v>924</v>
      </c>
      <c r="B1267" s="2" t="s">
        <v>15511</v>
      </c>
      <c r="C1267" s="2" t="s">
        <v>9819</v>
      </c>
      <c r="D1267" s="2" t="n">
        <v>1087.315618356</v>
      </c>
      <c r="E1267" s="2" t="n">
        <v>5.58203463021907</v>
      </c>
      <c r="F1267" s="2" t="s">
        <v>9821</v>
      </c>
      <c r="G1267" s="2" t="n">
        <v>50917</v>
      </c>
      <c r="H1267" s="3" t="str">
        <f>HYPERLINK("http://funmeta.oebiotech.com/network/50917", "http://funmeta.oebiotech.com/network/50917")</f>
      </c>
      <c r="I1267" s="2" t="s">
        <v>9823</v>
      </c>
      <c r="J1267" s="2" t="s">
        <v>9824</v>
      </c>
      <c r="K1267" s="2"/>
      <c r="L1267" s="2" t="s">
        <v>9825</v>
      </c>
      <c r="M1267" s="2" t="s">
        <v>9826</v>
      </c>
      <c r="N1267" s="2" t="s">
        <v>9827</v>
      </c>
      <c r="O1267" s="2" t="s">
        <v>9828</v>
      </c>
      <c r="P1267" s="2" t="s">
        <v>9829</v>
      </c>
      <c r="Q1267" s="2" t="s">
        <v>9830</v>
      </c>
      <c r="R1267" s="2" t="s">
        <v>1490</v>
      </c>
      <c r="S1267" s="2" t="s">
        <v>3546</v>
      </c>
      <c r="T1267" s="2" t="s">
        <v>7355</v>
      </c>
      <c r="U1267" s="2" t="s">
        <v>9820</v>
      </c>
      <c r="V1267" s="2" t="s">
        <v>1019</v>
      </c>
      <c r="W1267" s="2" t="s">
        <v>39</v>
      </c>
    </row>
    <row r="1268">
      <c r="A1268" s="2" t="n">
        <v>925</v>
      </c>
      <c r="B1268" s="2" t="s">
        <v>15512</v>
      </c>
      <c r="C1268" s="2" t="s">
        <v>9831</v>
      </c>
      <c r="D1268" s="2" t="n">
        <v>1087.599960754</v>
      </c>
      <c r="E1268" s="2" t="n">
        <v>9.38532321708628</v>
      </c>
      <c r="F1268" s="2" t="s">
        <v>9833</v>
      </c>
      <c r="G1268" s="2" t="n">
        <v>208572</v>
      </c>
      <c r="H1268" s="3" t="str">
        <f>HYPERLINK("http://funmeta.oebiotech.com/network/208572", "http://funmeta.oebiotech.com/network/208572")</f>
      </c>
      <c r="I1268" s="2" t="s">
        <v>9835</v>
      </c>
      <c r="J1268" s="2"/>
      <c r="K1268" s="2"/>
      <c r="L1268" s="2"/>
      <c r="M1268" s="2"/>
      <c r="N1268" s="2" t="s">
        <v>9836</v>
      </c>
      <c r="O1268" s="2"/>
      <c r="P1268" s="2" t="s">
        <v>9837</v>
      </c>
      <c r="Q1268" s="2" t="s">
        <v>9838</v>
      </c>
      <c r="R1268" s="2" t="s">
        <v>1490</v>
      </c>
      <c r="S1268" s="2" t="s">
        <v>3546</v>
      </c>
      <c r="T1268" s="2" t="s">
        <v>8600</v>
      </c>
      <c r="U1268" s="2" t="s">
        <v>9832</v>
      </c>
      <c r="V1268" s="2" t="s">
        <v>1019</v>
      </c>
      <c r="W1268" s="2"/>
    </row>
    <row r="1269">
      <c r="A1269" s="2" t="n">
        <v>926</v>
      </c>
      <c r="B1269" s="2" t="s">
        <v>15513</v>
      </c>
      <c r="C1269" s="2" t="s">
        <v>9839</v>
      </c>
      <c r="D1269" s="2" t="n">
        <v>1089.307642614</v>
      </c>
      <c r="E1269" s="2" t="n">
        <v>2.18761770900125</v>
      </c>
      <c r="F1269" s="2" t="s">
        <v>9841</v>
      </c>
      <c r="G1269" s="2" t="n">
        <v>212933</v>
      </c>
      <c r="H1269" s="3" t="str">
        <f>HYPERLINK("http://funmeta.oebiotech.com/network/212933", "http://funmeta.oebiotech.com/network/212933")</f>
      </c>
      <c r="I1269" s="2" t="s">
        <v>9843</v>
      </c>
      <c r="J1269" s="2"/>
      <c r="K1269" s="2"/>
      <c r="L1269" s="2"/>
      <c r="M1269" s="2"/>
      <c r="N1269" s="2" t="s">
        <v>9844</v>
      </c>
      <c r="O1269" s="2"/>
      <c r="P1269" s="2" t="s">
        <v>9845</v>
      </c>
      <c r="Q1269" s="2" t="s">
        <v>9846</v>
      </c>
      <c r="R1269" s="2" t="s">
        <v>49</v>
      </c>
      <c r="S1269" s="2" t="s">
        <v>165</v>
      </c>
      <c r="T1269" s="2" t="s">
        <v>166</v>
      </c>
      <c r="U1269" s="2" t="s">
        <v>9840</v>
      </c>
      <c r="V1269" s="2" t="s">
        <v>1019</v>
      </c>
      <c r="W1269" s="2"/>
    </row>
    <row r="1270">
      <c r="A1270" s="2" t="n">
        <v>927</v>
      </c>
      <c r="B1270" s="2" t="s">
        <v>15514</v>
      </c>
      <c r="C1270" s="2" t="s">
        <v>9847</v>
      </c>
      <c r="D1270" s="2" t="n">
        <v>1095.131484254</v>
      </c>
      <c r="E1270" s="2" t="n">
        <v>8.52243739835263</v>
      </c>
      <c r="F1270" s="2" t="s">
        <v>9849</v>
      </c>
      <c r="G1270" s="2" t="n">
        <v>62557</v>
      </c>
      <c r="H1270" s="3" t="str">
        <f>HYPERLINK("http://funmeta.oebiotech.com/network/62557", "http://funmeta.oebiotech.com/network/62557")</f>
      </c>
      <c r="I1270" s="2" t="s">
        <v>9851</v>
      </c>
      <c r="J1270" s="2" t="s">
        <v>9852</v>
      </c>
      <c r="K1270" s="2"/>
      <c r="L1270" s="2"/>
      <c r="M1270" s="2"/>
      <c r="N1270" s="2" t="s">
        <v>9853</v>
      </c>
      <c r="O1270" s="2" t="s">
        <v>9854</v>
      </c>
      <c r="P1270" s="2" t="s">
        <v>9855</v>
      </c>
      <c r="Q1270" s="2" t="s">
        <v>9856</v>
      </c>
      <c r="R1270" s="2" t="s">
        <v>2509</v>
      </c>
      <c r="S1270" s="2" t="s">
        <v>4949</v>
      </c>
      <c r="T1270" s="2" t="s">
        <v>9857</v>
      </c>
      <c r="U1270" s="2" t="s">
        <v>9848</v>
      </c>
      <c r="V1270" s="2" t="s">
        <v>42</v>
      </c>
      <c r="W1270" s="2"/>
    </row>
    <row r="1271">
      <c r="A1271" s="2" t="n">
        <v>928</v>
      </c>
      <c r="B1271" s="2" t="s">
        <v>15515</v>
      </c>
      <c r="C1271" s="2" t="s">
        <v>9858</v>
      </c>
      <c r="D1271" s="2" t="n">
        <v>1097.276153578</v>
      </c>
      <c r="E1271" s="2" t="n">
        <v>0.993981858695056</v>
      </c>
      <c r="F1271" s="2" t="s">
        <v>15516</v>
      </c>
      <c r="G1271" s="2" t="n">
        <v>82719</v>
      </c>
      <c r="H1271" s="3" t="str">
        <f>HYPERLINK("http://funmeta.oebiotech.com/network/82719", "http://funmeta.oebiotech.com/network/82719")</f>
      </c>
      <c r="I1271" s="2" t="s">
        <v>15517</v>
      </c>
      <c r="J1271" s="2"/>
      <c r="K1271" s="2"/>
      <c r="L1271" s="2"/>
      <c r="M1271" s="2"/>
      <c r="N1271" s="2" t="s">
        <v>15518</v>
      </c>
      <c r="O1271" s="2"/>
      <c r="P1271" s="2" t="s">
        <v>15519</v>
      </c>
      <c r="Q1271" s="2" t="s">
        <v>15520</v>
      </c>
      <c r="R1271" s="2" t="s">
        <v>64</v>
      </c>
      <c r="S1271" s="2" t="s">
        <v>65</v>
      </c>
      <c r="T1271" s="2" t="s">
        <v>66</v>
      </c>
      <c r="U1271" s="2" t="s">
        <v>9859</v>
      </c>
      <c r="V1271" s="2" t="s">
        <v>1019</v>
      </c>
      <c r="W1271" s="2"/>
    </row>
    <row r="1272">
      <c r="A1272" s="2" t="n">
        <v>928</v>
      </c>
      <c r="B1272" s="2" t="s">
        <v>15521</v>
      </c>
      <c r="C1272" s="2" t="s">
        <v>9858</v>
      </c>
      <c r="D1272" s="2" t="n">
        <v>1097.276153578</v>
      </c>
      <c r="E1272" s="2" t="n">
        <v>0.993981858695056</v>
      </c>
      <c r="F1272" s="2" t="s">
        <v>15522</v>
      </c>
      <c r="G1272" s="2" t="n">
        <v>82714</v>
      </c>
      <c r="H1272" s="3" t="str">
        <f>HYPERLINK("http://funmeta.oebiotech.com/network/82714", "http://funmeta.oebiotech.com/network/82714")</f>
      </c>
      <c r="I1272" s="2" t="s">
        <v>15523</v>
      </c>
      <c r="J1272" s="2"/>
      <c r="K1272" s="2"/>
      <c r="L1272" s="2"/>
      <c r="M1272" s="2"/>
      <c r="N1272" s="2" t="s">
        <v>15524</v>
      </c>
      <c r="O1272" s="2"/>
      <c r="P1272" s="2" t="s">
        <v>15525</v>
      </c>
      <c r="Q1272" s="2" t="s">
        <v>15526</v>
      </c>
      <c r="R1272" s="2" t="s">
        <v>64</v>
      </c>
      <c r="S1272" s="2" t="s">
        <v>65</v>
      </c>
      <c r="T1272" s="2" t="s">
        <v>66</v>
      </c>
      <c r="U1272" s="2" t="s">
        <v>9859</v>
      </c>
      <c r="V1272" s="2" t="s">
        <v>1019</v>
      </c>
      <c r="W1272" s="2"/>
    </row>
    <row r="1273">
      <c r="A1273" s="2" t="n">
        <v>929</v>
      </c>
      <c r="B1273" s="2" t="s">
        <v>15527</v>
      </c>
      <c r="C1273" s="2" t="s">
        <v>9866</v>
      </c>
      <c r="D1273" s="2" t="n">
        <v>1101.174634694</v>
      </c>
      <c r="E1273" s="2" t="n">
        <v>4.59778901695109</v>
      </c>
      <c r="F1273" s="2" t="s">
        <v>9868</v>
      </c>
      <c r="G1273" s="2" t="n">
        <v>52407</v>
      </c>
      <c r="H1273" s="3" t="str">
        <f>HYPERLINK("http://funmeta.oebiotech.com/network/52407", "http://funmeta.oebiotech.com/network/52407")</f>
      </c>
      <c r="I1273" s="2" t="s">
        <v>9870</v>
      </c>
      <c r="J1273" s="2"/>
      <c r="K1273" s="2"/>
      <c r="L1273" s="2"/>
      <c r="M1273" s="2"/>
      <c r="N1273" s="2" t="s">
        <v>9871</v>
      </c>
      <c r="O1273" s="2"/>
      <c r="P1273" s="2" t="s">
        <v>9872</v>
      </c>
      <c r="Q1273" s="2" t="s">
        <v>9873</v>
      </c>
      <c r="R1273" s="2" t="s">
        <v>2590</v>
      </c>
      <c r="S1273" s="2" t="s">
        <v>6120</v>
      </c>
      <c r="T1273" s="2" t="s">
        <v>7366</v>
      </c>
      <c r="U1273" s="2" t="s">
        <v>9867</v>
      </c>
      <c r="V1273" s="2" t="s">
        <v>1019</v>
      </c>
      <c r="W1273" s="2"/>
    </row>
    <row r="1274">
      <c r="A1274" s="2" t="n">
        <v>930</v>
      </c>
      <c r="B1274" s="2" t="s">
        <v>15528</v>
      </c>
      <c r="C1274" s="2" t="s">
        <v>9874</v>
      </c>
      <c r="D1274" s="2" t="n">
        <v>1102.293542417</v>
      </c>
      <c r="E1274" s="2" t="n">
        <v>2.202825779883</v>
      </c>
      <c r="F1274" s="2" t="s">
        <v>9876</v>
      </c>
      <c r="G1274" s="2" t="n">
        <v>7964</v>
      </c>
      <c r="H1274" s="3" t="str">
        <f>HYPERLINK("http://funmeta.oebiotech.com/network/7964", "http://funmeta.oebiotech.com/network/7964")</f>
      </c>
      <c r="I1274" s="2" t="s">
        <v>9878</v>
      </c>
      <c r="J1274" s="2"/>
      <c r="K1274" s="2" t="s">
        <v>9879</v>
      </c>
      <c r="L1274" s="2"/>
      <c r="M1274" s="2" t="s">
        <v>9880</v>
      </c>
      <c r="N1274" s="2" t="s">
        <v>9881</v>
      </c>
      <c r="O1274" s="2"/>
      <c r="P1274" s="2" t="s">
        <v>9882</v>
      </c>
      <c r="Q1274" s="2" t="s">
        <v>9883</v>
      </c>
      <c r="R1274" s="2" t="s">
        <v>1490</v>
      </c>
      <c r="S1274" s="2" t="s">
        <v>1491</v>
      </c>
      <c r="T1274" s="2" t="s">
        <v>9107</v>
      </c>
      <c r="U1274" s="2" t="s">
        <v>9875</v>
      </c>
      <c r="V1274" s="2" t="s">
        <v>522</v>
      </c>
      <c r="W1274" s="2"/>
    </row>
    <row r="1275">
      <c r="A1275" s="2" t="n">
        <v>931</v>
      </c>
      <c r="B1275" s="2" t="s">
        <v>15529</v>
      </c>
      <c r="C1275" s="2" t="s">
        <v>9884</v>
      </c>
      <c r="D1275" s="2" t="n">
        <v>1107.59566325</v>
      </c>
      <c r="E1275" s="2" t="n">
        <v>5.80012327488382</v>
      </c>
      <c r="F1275" s="2" t="s">
        <v>9886</v>
      </c>
      <c r="G1275" s="2" t="n">
        <v>59713</v>
      </c>
      <c r="H1275" s="3" t="str">
        <f>HYPERLINK("http://funmeta.oebiotech.com/network/59713", "http://funmeta.oebiotech.com/network/59713")</f>
      </c>
      <c r="I1275" s="2" t="s">
        <v>9888</v>
      </c>
      <c r="J1275" s="2" t="s">
        <v>9889</v>
      </c>
      <c r="K1275" s="2"/>
      <c r="L1275" s="2"/>
      <c r="M1275" s="2"/>
      <c r="N1275" s="2" t="s">
        <v>9890</v>
      </c>
      <c r="O1275" s="2" t="s">
        <v>9891</v>
      </c>
      <c r="P1275" s="2" t="s">
        <v>9892</v>
      </c>
      <c r="Q1275" s="2" t="s">
        <v>9893</v>
      </c>
      <c r="R1275" s="2" t="s">
        <v>1490</v>
      </c>
      <c r="S1275" s="2" t="s">
        <v>4971</v>
      </c>
      <c r="T1275" s="2" t="s">
        <v>7445</v>
      </c>
      <c r="U1275" s="2" t="s">
        <v>9885</v>
      </c>
      <c r="V1275" s="2" t="s">
        <v>110</v>
      </c>
      <c r="W1275" s="2"/>
    </row>
    <row r="1276">
      <c r="A1276" s="2" t="n">
        <v>932</v>
      </c>
      <c r="B1276" s="2" t="s">
        <v>15530</v>
      </c>
      <c r="C1276" s="2" t="s">
        <v>9894</v>
      </c>
      <c r="D1276" s="2" t="n">
        <v>1111.559552493</v>
      </c>
      <c r="E1276" s="2" t="n">
        <v>7.01366954307899</v>
      </c>
      <c r="F1276" s="2" t="s">
        <v>9896</v>
      </c>
      <c r="G1276" s="2" t="n">
        <v>210016</v>
      </c>
      <c r="H1276" s="3" t="str">
        <f>HYPERLINK("http://funmeta.oebiotech.com/network/210016", "http://funmeta.oebiotech.com/network/210016")</f>
      </c>
      <c r="I1276" s="2" t="s">
        <v>9898</v>
      </c>
      <c r="J1276" s="2"/>
      <c r="K1276" s="2"/>
      <c r="L1276" s="2"/>
      <c r="M1276" s="2"/>
      <c r="N1276" s="2" t="s">
        <v>9899</v>
      </c>
      <c r="O1276" s="2"/>
      <c r="P1276" s="2" t="s">
        <v>9900</v>
      </c>
      <c r="Q1276" s="2" t="s">
        <v>9901</v>
      </c>
      <c r="R1276" s="2" t="s">
        <v>64</v>
      </c>
      <c r="S1276" s="2" t="s">
        <v>65</v>
      </c>
      <c r="T1276" s="2" t="s">
        <v>66</v>
      </c>
      <c r="U1276" s="2" t="s">
        <v>9895</v>
      </c>
      <c r="V1276" s="2" t="s">
        <v>110</v>
      </c>
      <c r="W1276" s="2"/>
    </row>
    <row r="1277">
      <c r="A1277" s="2" t="n">
        <v>933</v>
      </c>
      <c r="B1277" s="2" t="s">
        <v>15531</v>
      </c>
      <c r="C1277" s="2" t="s">
        <v>9902</v>
      </c>
      <c r="D1277" s="2" t="n">
        <v>1117.136070986</v>
      </c>
      <c r="E1277" s="2" t="n">
        <v>4.83809863855486</v>
      </c>
      <c r="F1277" s="2" t="s">
        <v>15532</v>
      </c>
      <c r="G1277" s="2" t="n">
        <v>51962</v>
      </c>
      <c r="H1277" s="3" t="str">
        <f>HYPERLINK("http://funmeta.oebiotech.com/network/51962", "http://funmeta.oebiotech.com/network/51962")</f>
      </c>
      <c r="I1277" s="2" t="s">
        <v>15533</v>
      </c>
      <c r="J1277" s="2" t="s">
        <v>15534</v>
      </c>
      <c r="K1277" s="2"/>
      <c r="L1277" s="2" t="s">
        <v>15535</v>
      </c>
      <c r="M1277" s="2" t="s">
        <v>15536</v>
      </c>
      <c r="N1277" s="2" t="s">
        <v>15537</v>
      </c>
      <c r="O1277" s="2" t="s">
        <v>15538</v>
      </c>
      <c r="P1277" s="2" t="s">
        <v>15539</v>
      </c>
      <c r="Q1277" s="2" t="s">
        <v>15540</v>
      </c>
      <c r="R1277" s="2" t="s">
        <v>2590</v>
      </c>
      <c r="S1277" s="2" t="s">
        <v>6120</v>
      </c>
      <c r="T1277" s="2" t="s">
        <v>7366</v>
      </c>
      <c r="U1277" s="2" t="s">
        <v>9903</v>
      </c>
      <c r="V1277" s="2" t="s">
        <v>1019</v>
      </c>
      <c r="W1277" s="2" t="s">
        <v>39</v>
      </c>
    </row>
    <row r="1278">
      <c r="A1278" s="2" t="n">
        <v>933</v>
      </c>
      <c r="B1278" s="2" t="s">
        <v>15541</v>
      </c>
      <c r="C1278" s="2" t="s">
        <v>9902</v>
      </c>
      <c r="D1278" s="2" t="n">
        <v>1117.136070986</v>
      </c>
      <c r="E1278" s="2" t="n">
        <v>4.83809863855486</v>
      </c>
      <c r="F1278" s="2" t="s">
        <v>15542</v>
      </c>
      <c r="G1278" s="2" t="n">
        <v>47433</v>
      </c>
      <c r="H1278" s="3" t="str">
        <f>HYPERLINK("http://funmeta.oebiotech.com/network/47433", "http://funmeta.oebiotech.com/network/47433")</f>
      </c>
      <c r="I1278" s="2" t="s">
        <v>15543</v>
      </c>
      <c r="J1278" s="2" t="s">
        <v>15544</v>
      </c>
      <c r="K1278" s="2"/>
      <c r="L1278" s="2" t="s">
        <v>15545</v>
      </c>
      <c r="M1278" s="2" t="s">
        <v>15546</v>
      </c>
      <c r="N1278" s="2" t="s">
        <v>15547</v>
      </c>
      <c r="O1278" s="2" t="s">
        <v>15548</v>
      </c>
      <c r="P1278" s="2" t="s">
        <v>15549</v>
      </c>
      <c r="Q1278" s="2" t="s">
        <v>15550</v>
      </c>
      <c r="R1278" s="2" t="s">
        <v>2590</v>
      </c>
      <c r="S1278" s="2" t="s">
        <v>6120</v>
      </c>
      <c r="T1278" s="2" t="s">
        <v>15551</v>
      </c>
      <c r="U1278" s="2" t="s">
        <v>9903</v>
      </c>
      <c r="V1278" s="2" t="s">
        <v>1019</v>
      </c>
      <c r="W1278" s="2" t="s">
        <v>39</v>
      </c>
    </row>
    <row r="1279">
      <c r="A1279" s="2" t="n">
        <v>934</v>
      </c>
      <c r="B1279" s="2" t="s">
        <v>15552</v>
      </c>
      <c r="C1279" s="2" t="s">
        <v>9915</v>
      </c>
      <c r="D1279" s="2" t="n">
        <v>1125.575202557</v>
      </c>
      <c r="E1279" s="2" t="n">
        <v>1.23882584891193</v>
      </c>
      <c r="F1279" s="2" t="s">
        <v>15553</v>
      </c>
      <c r="G1279" s="2" t="n">
        <v>210017</v>
      </c>
      <c r="H1279" s="3" t="str">
        <f>HYPERLINK("http://funmeta.oebiotech.com/network/210017", "http://funmeta.oebiotech.com/network/210017")</f>
      </c>
      <c r="I1279" s="2" t="s">
        <v>15554</v>
      </c>
      <c r="J1279" s="2"/>
      <c r="K1279" s="2"/>
      <c r="L1279" s="2"/>
      <c r="M1279" s="2"/>
      <c r="N1279" s="2"/>
      <c r="O1279" s="2"/>
      <c r="P1279" s="2" t="s">
        <v>15555</v>
      </c>
      <c r="Q1279" s="2" t="s">
        <v>15556</v>
      </c>
      <c r="R1279" s="2" t="s">
        <v>64</v>
      </c>
      <c r="S1279" s="2" t="s">
        <v>65</v>
      </c>
      <c r="T1279" s="2" t="s">
        <v>66</v>
      </c>
      <c r="U1279" s="2" t="s">
        <v>9916</v>
      </c>
      <c r="V1279" s="2" t="s">
        <v>110</v>
      </c>
      <c r="W1279" s="2"/>
    </row>
    <row r="1280">
      <c r="A1280" s="2" t="n">
        <v>934</v>
      </c>
      <c r="B1280" s="2" t="s">
        <v>15557</v>
      </c>
      <c r="C1280" s="2" t="s">
        <v>9915</v>
      </c>
      <c r="D1280" s="2" t="n">
        <v>1125.575202557</v>
      </c>
      <c r="E1280" s="2" t="n">
        <v>1.23882584891193</v>
      </c>
      <c r="F1280" s="2" t="s">
        <v>15558</v>
      </c>
      <c r="G1280" s="2" t="n">
        <v>208566</v>
      </c>
      <c r="H1280" s="3" t="str">
        <f>HYPERLINK("http://funmeta.oebiotech.com/network/208566", "http://funmeta.oebiotech.com/network/208566")</f>
      </c>
      <c r="I1280" s="2" t="s">
        <v>15559</v>
      </c>
      <c r="J1280" s="2"/>
      <c r="K1280" s="2"/>
      <c r="L1280" s="2"/>
      <c r="M1280" s="2"/>
      <c r="N1280" s="2"/>
      <c r="O1280" s="2"/>
      <c r="P1280" s="2" t="s">
        <v>15560</v>
      </c>
      <c r="Q1280" s="2" t="s">
        <v>15561</v>
      </c>
      <c r="R1280" s="2" t="s">
        <v>64</v>
      </c>
      <c r="S1280" s="2" t="s">
        <v>65</v>
      </c>
      <c r="T1280" s="2" t="s">
        <v>66</v>
      </c>
      <c r="U1280" s="2" t="s">
        <v>9916</v>
      </c>
      <c r="V1280" s="2" t="s">
        <v>110</v>
      </c>
      <c r="W1280" s="2"/>
    </row>
    <row r="1281">
      <c r="A1281" s="2" t="n">
        <v>935</v>
      </c>
      <c r="B1281" s="2" t="s">
        <v>15562</v>
      </c>
      <c r="C1281" s="2" t="s">
        <v>9922</v>
      </c>
      <c r="D1281" s="2" t="n">
        <v>1130.600682129</v>
      </c>
      <c r="E1281" s="2" t="n">
        <v>5.90820954555631</v>
      </c>
      <c r="F1281" s="2" t="s">
        <v>9924</v>
      </c>
      <c r="G1281" s="2" t="n">
        <v>205628</v>
      </c>
      <c r="H1281" s="3" t="str">
        <f>HYPERLINK("http://funmeta.oebiotech.com/network/205628", "http://funmeta.oebiotech.com/network/205628")</f>
      </c>
      <c r="I1281" s="2" t="s">
        <v>9926</v>
      </c>
      <c r="J1281" s="2"/>
      <c r="K1281" s="2"/>
      <c r="L1281" s="2"/>
      <c r="M1281" s="2"/>
      <c r="N1281" s="2" t="s">
        <v>9927</v>
      </c>
      <c r="O1281" s="2"/>
      <c r="P1281" s="2" t="s">
        <v>9928</v>
      </c>
      <c r="Q1281" s="2" t="s">
        <v>9929</v>
      </c>
      <c r="R1281" s="2" t="s">
        <v>49</v>
      </c>
      <c r="S1281" s="2" t="s">
        <v>6532</v>
      </c>
      <c r="T1281" s="2" t="s">
        <v>7502</v>
      </c>
      <c r="U1281" s="2" t="s">
        <v>9923</v>
      </c>
      <c r="V1281" s="2" t="s">
        <v>360</v>
      </c>
      <c r="W1281" s="2"/>
    </row>
    <row r="1282">
      <c r="A1282" s="2" t="n">
        <v>936</v>
      </c>
      <c r="B1282" s="2" t="s">
        <v>15563</v>
      </c>
      <c r="C1282" s="2" t="s">
        <v>9930</v>
      </c>
      <c r="D1282" s="2" t="n">
        <v>1132.304043633</v>
      </c>
      <c r="E1282" s="2" t="n">
        <v>4.05369924687502</v>
      </c>
      <c r="F1282" s="2" t="s">
        <v>15564</v>
      </c>
      <c r="G1282" s="2" t="n">
        <v>82168</v>
      </c>
      <c r="H1282" s="3" t="str">
        <f>HYPERLINK("http://funmeta.oebiotech.com/network/82168", "http://funmeta.oebiotech.com/network/82168")</f>
      </c>
      <c r="I1282" s="2" t="s">
        <v>15565</v>
      </c>
      <c r="J1282" s="2"/>
      <c r="K1282" s="2"/>
      <c r="L1282" s="2"/>
      <c r="M1282" s="2"/>
      <c r="N1282" s="2" t="s">
        <v>15566</v>
      </c>
      <c r="O1282" s="2"/>
      <c r="P1282" s="2" t="s">
        <v>15567</v>
      </c>
      <c r="Q1282" s="2" t="s">
        <v>15568</v>
      </c>
      <c r="R1282" s="2" t="s">
        <v>1490</v>
      </c>
      <c r="S1282" s="2" t="s">
        <v>1491</v>
      </c>
      <c r="T1282" s="2" t="s">
        <v>9107</v>
      </c>
      <c r="U1282" s="2" t="s">
        <v>9931</v>
      </c>
      <c r="V1282" s="2" t="s">
        <v>250</v>
      </c>
      <c r="W1282" s="2"/>
    </row>
    <row r="1283">
      <c r="A1283" s="2" t="n">
        <v>936</v>
      </c>
      <c r="B1283" s="2" t="s">
        <v>15569</v>
      </c>
      <c r="C1283" s="2" t="s">
        <v>9930</v>
      </c>
      <c r="D1283" s="2" t="n">
        <v>1132.304043633</v>
      </c>
      <c r="E1283" s="2" t="n">
        <v>4.05369924687502</v>
      </c>
      <c r="F1283" s="2" t="s">
        <v>15570</v>
      </c>
      <c r="G1283" s="2" t="n">
        <v>82169</v>
      </c>
      <c r="H1283" s="3" t="str">
        <f>HYPERLINK("http://funmeta.oebiotech.com/network/82169", "http://funmeta.oebiotech.com/network/82169")</f>
      </c>
      <c r="I1283" s="2" t="s">
        <v>15571</v>
      </c>
      <c r="J1283" s="2"/>
      <c r="K1283" s="2"/>
      <c r="L1283" s="2"/>
      <c r="M1283" s="2"/>
      <c r="N1283" s="2" t="s">
        <v>15572</v>
      </c>
      <c r="O1283" s="2"/>
      <c r="P1283" s="2" t="s">
        <v>15573</v>
      </c>
      <c r="Q1283" s="2" t="s">
        <v>15574</v>
      </c>
      <c r="R1283" s="2" t="s">
        <v>1490</v>
      </c>
      <c r="S1283" s="2" t="s">
        <v>1491</v>
      </c>
      <c r="T1283" s="2" t="s">
        <v>9107</v>
      </c>
      <c r="U1283" s="2" t="s">
        <v>9931</v>
      </c>
      <c r="V1283" s="2" t="s">
        <v>250</v>
      </c>
      <c r="W1283" s="2"/>
    </row>
    <row r="1284">
      <c r="A1284" s="2" t="n">
        <v>936</v>
      </c>
      <c r="B1284" s="2" t="s">
        <v>15575</v>
      </c>
      <c r="C1284" s="2" t="s">
        <v>9930</v>
      </c>
      <c r="D1284" s="2" t="n">
        <v>1132.304043633</v>
      </c>
      <c r="E1284" s="2" t="n">
        <v>4.05369924687502</v>
      </c>
      <c r="F1284" s="2" t="s">
        <v>15576</v>
      </c>
      <c r="G1284" s="2" t="n">
        <v>82170</v>
      </c>
      <c r="H1284" s="3" t="str">
        <f>HYPERLINK("http://funmeta.oebiotech.com/network/82170", "http://funmeta.oebiotech.com/network/82170")</f>
      </c>
      <c r="I1284" s="2" t="s">
        <v>15577</v>
      </c>
      <c r="J1284" s="2"/>
      <c r="K1284" s="2"/>
      <c r="L1284" s="2"/>
      <c r="M1284" s="2"/>
      <c r="N1284" s="2" t="s">
        <v>15578</v>
      </c>
      <c r="O1284" s="2"/>
      <c r="P1284" s="2" t="s">
        <v>15579</v>
      </c>
      <c r="Q1284" s="2" t="s">
        <v>15580</v>
      </c>
      <c r="R1284" s="2" t="s">
        <v>1490</v>
      </c>
      <c r="S1284" s="2" t="s">
        <v>1491</v>
      </c>
      <c r="T1284" s="2" t="s">
        <v>9107</v>
      </c>
      <c r="U1284" s="2" t="s">
        <v>9931</v>
      </c>
      <c r="V1284" s="2" t="s">
        <v>250</v>
      </c>
      <c r="W1284" s="2"/>
    </row>
    <row r="1285">
      <c r="A1285" s="2" t="n">
        <v>937</v>
      </c>
      <c r="B1285" s="2" t="s">
        <v>15581</v>
      </c>
      <c r="C1285" s="2" t="s">
        <v>9938</v>
      </c>
      <c r="D1285" s="2" t="n">
        <v>1138.109201486</v>
      </c>
      <c r="E1285" s="2" t="n">
        <v>1.43012789319683</v>
      </c>
      <c r="F1285" s="2" t="s">
        <v>9940</v>
      </c>
      <c r="G1285" s="2" t="n">
        <v>90333</v>
      </c>
      <c r="H1285" s="3" t="str">
        <f>HYPERLINK("http://funmeta.oebiotech.com/network/90333", "http://funmeta.oebiotech.com/network/90333")</f>
      </c>
      <c r="I1285" s="2" t="s">
        <v>9942</v>
      </c>
      <c r="J1285" s="2"/>
      <c r="K1285" s="2"/>
      <c r="L1285" s="2"/>
      <c r="M1285" s="2"/>
      <c r="N1285" s="2" t="s">
        <v>9943</v>
      </c>
      <c r="O1285" s="2"/>
      <c r="P1285" s="2" t="s">
        <v>9944</v>
      </c>
      <c r="Q1285" s="2" t="s">
        <v>9945</v>
      </c>
      <c r="R1285" s="2" t="s">
        <v>1490</v>
      </c>
      <c r="S1285" s="2" t="s">
        <v>6728</v>
      </c>
      <c r="T1285" s="2" t="s">
        <v>6754</v>
      </c>
      <c r="U1285" s="2" t="s">
        <v>9939</v>
      </c>
      <c r="V1285" s="2" t="s">
        <v>42</v>
      </c>
      <c r="W1285" s="2"/>
    </row>
    <row r="1286">
      <c r="A1286" s="2" t="n">
        <v>938</v>
      </c>
      <c r="B1286" s="2" t="s">
        <v>15582</v>
      </c>
      <c r="C1286" s="2" t="s">
        <v>9946</v>
      </c>
      <c r="D1286" s="2" t="n">
        <v>1141.198616042</v>
      </c>
      <c r="E1286" s="2" t="n">
        <v>7.30148293604774</v>
      </c>
      <c r="F1286" s="2" t="s">
        <v>9948</v>
      </c>
      <c r="G1286" s="2" t="n">
        <v>60007</v>
      </c>
      <c r="H1286" s="3" t="str">
        <f>HYPERLINK("http://funmeta.oebiotech.com/network/60007", "http://funmeta.oebiotech.com/network/60007")</f>
      </c>
      <c r="I1286" s="2" t="s">
        <v>9950</v>
      </c>
      <c r="J1286" s="2" t="s">
        <v>9951</v>
      </c>
      <c r="K1286" s="2"/>
      <c r="L1286" s="2"/>
      <c r="M1286" s="2"/>
      <c r="N1286" s="2" t="s">
        <v>9952</v>
      </c>
      <c r="O1286" s="2" t="s">
        <v>9953</v>
      </c>
      <c r="P1286" s="2" t="s">
        <v>9954</v>
      </c>
      <c r="Q1286" s="2" t="s">
        <v>9955</v>
      </c>
      <c r="R1286" s="2" t="s">
        <v>64</v>
      </c>
      <c r="S1286" s="2" t="s">
        <v>65</v>
      </c>
      <c r="T1286" s="2" t="s">
        <v>66</v>
      </c>
      <c r="U1286" s="2" t="s">
        <v>9947</v>
      </c>
      <c r="V1286" s="2" t="s">
        <v>1019</v>
      </c>
      <c r="W1286" s="2"/>
    </row>
    <row r="1287">
      <c r="A1287" s="2" t="n">
        <v>939</v>
      </c>
      <c r="B1287" s="2" t="s">
        <v>15583</v>
      </c>
      <c r="C1287" s="2" t="s">
        <v>9956</v>
      </c>
      <c r="D1287" s="2" t="n">
        <v>1147.460101908</v>
      </c>
      <c r="E1287" s="2" t="n">
        <v>9.32508561293198</v>
      </c>
      <c r="F1287" s="2" t="s">
        <v>9958</v>
      </c>
      <c r="G1287" s="2" t="n">
        <v>210369</v>
      </c>
      <c r="H1287" s="3" t="str">
        <f>HYPERLINK("http://funmeta.oebiotech.com/network/210369", "http://funmeta.oebiotech.com/network/210369")</f>
      </c>
      <c r="I1287" s="2" t="s">
        <v>9960</v>
      </c>
      <c r="J1287" s="2"/>
      <c r="K1287" s="2"/>
      <c r="L1287" s="2"/>
      <c r="M1287" s="2"/>
      <c r="N1287" s="2" t="s">
        <v>9961</v>
      </c>
      <c r="O1287" s="2"/>
      <c r="P1287" s="2" t="s">
        <v>9962</v>
      </c>
      <c r="Q1287" s="2" t="s">
        <v>9963</v>
      </c>
      <c r="R1287" s="2" t="s">
        <v>355</v>
      </c>
      <c r="S1287" s="2" t="s">
        <v>1580</v>
      </c>
      <c r="T1287" s="2" t="s">
        <v>4820</v>
      </c>
      <c r="U1287" s="2" t="s">
        <v>9957</v>
      </c>
      <c r="V1287" s="2" t="s">
        <v>522</v>
      </c>
      <c r="W1287" s="2"/>
    </row>
    <row r="1288">
      <c r="A1288" s="2" t="n">
        <v>940</v>
      </c>
      <c r="B1288" s="2" t="s">
        <v>15584</v>
      </c>
      <c r="C1288" s="2" t="s">
        <v>9964</v>
      </c>
      <c r="D1288" s="2" t="n">
        <v>1151.617840384</v>
      </c>
      <c r="E1288" s="2" t="n">
        <v>4.56980148086684</v>
      </c>
      <c r="F1288" s="2" t="s">
        <v>9966</v>
      </c>
      <c r="G1288" s="2" t="n">
        <v>210503</v>
      </c>
      <c r="H1288" s="3" t="str">
        <f>HYPERLINK("http://funmeta.oebiotech.com/network/210503", "http://funmeta.oebiotech.com/network/210503")</f>
      </c>
      <c r="I1288" s="2" t="s">
        <v>9968</v>
      </c>
      <c r="J1288" s="2"/>
      <c r="K1288" s="2"/>
      <c r="L1288" s="2"/>
      <c r="M1288" s="2"/>
      <c r="N1288" s="2" t="s">
        <v>9969</v>
      </c>
      <c r="O1288" s="2"/>
      <c r="P1288" s="2" t="s">
        <v>9970</v>
      </c>
      <c r="Q1288" s="2" t="s">
        <v>9971</v>
      </c>
      <c r="R1288" s="2" t="s">
        <v>49</v>
      </c>
      <c r="S1288" s="2" t="s">
        <v>165</v>
      </c>
      <c r="T1288" s="2" t="s">
        <v>166</v>
      </c>
      <c r="U1288" s="2" t="s">
        <v>9965</v>
      </c>
      <c r="V1288" s="2" t="s">
        <v>24</v>
      </c>
      <c r="W1288" s="2"/>
    </row>
    <row r="1289">
      <c r="A1289" s="2" t="n">
        <v>941</v>
      </c>
      <c r="B1289" s="2" t="s">
        <v>15585</v>
      </c>
      <c r="C1289" s="2" t="s">
        <v>9972</v>
      </c>
      <c r="D1289" s="2" t="n">
        <v>1173.228219464</v>
      </c>
      <c r="E1289" s="2" t="n">
        <v>2.55268018738179</v>
      </c>
      <c r="F1289" s="2" t="s">
        <v>15586</v>
      </c>
      <c r="G1289" s="2" t="n">
        <v>61187</v>
      </c>
      <c r="H1289" s="3" t="str">
        <f>HYPERLINK("http://funmeta.oebiotech.com/network/61187", "http://funmeta.oebiotech.com/network/61187")</f>
      </c>
      <c r="I1289" s="2" t="s">
        <v>15587</v>
      </c>
      <c r="J1289" s="2" t="s">
        <v>15588</v>
      </c>
      <c r="K1289" s="2"/>
      <c r="L1289" s="2" t="s">
        <v>15589</v>
      </c>
      <c r="M1289" s="2"/>
      <c r="N1289" s="2" t="s">
        <v>15590</v>
      </c>
      <c r="O1289" s="2" t="s">
        <v>15591</v>
      </c>
      <c r="P1289" s="2" t="s">
        <v>15592</v>
      </c>
      <c r="Q1289" s="2" t="s">
        <v>15593</v>
      </c>
      <c r="R1289" s="2" t="s">
        <v>2509</v>
      </c>
      <c r="S1289" s="2" t="s">
        <v>5520</v>
      </c>
      <c r="T1289" s="2" t="s">
        <v>7136</v>
      </c>
      <c r="U1289" s="2" t="s">
        <v>9973</v>
      </c>
      <c r="V1289" s="2" t="s">
        <v>360</v>
      </c>
      <c r="W1289" s="2" t="s">
        <v>39</v>
      </c>
    </row>
    <row r="1290">
      <c r="A1290" s="2" t="n">
        <v>941</v>
      </c>
      <c r="B1290" s="2" t="s">
        <v>15594</v>
      </c>
      <c r="C1290" s="2" t="s">
        <v>9972</v>
      </c>
      <c r="D1290" s="2" t="n">
        <v>1173.228219464</v>
      </c>
      <c r="E1290" s="2" t="n">
        <v>2.55268018738179</v>
      </c>
      <c r="F1290" s="2" t="s">
        <v>15595</v>
      </c>
      <c r="G1290" s="2" t="n">
        <v>61188</v>
      </c>
      <c r="H1290" s="3" t="str">
        <f>HYPERLINK("http://funmeta.oebiotech.com/network/61188", "http://funmeta.oebiotech.com/network/61188")</f>
      </c>
      <c r="I1290" s="2" t="s">
        <v>15596</v>
      </c>
      <c r="J1290" s="2" t="s">
        <v>15597</v>
      </c>
      <c r="K1290" s="2"/>
      <c r="L1290" s="2" t="s">
        <v>15598</v>
      </c>
      <c r="M1290" s="2" t="s">
        <v>15599</v>
      </c>
      <c r="N1290" s="2" t="s">
        <v>15600</v>
      </c>
      <c r="O1290" s="2" t="s">
        <v>15601</v>
      </c>
      <c r="P1290" s="2" t="s">
        <v>15602</v>
      </c>
      <c r="Q1290" s="2" t="s">
        <v>15603</v>
      </c>
      <c r="R1290" s="2" t="s">
        <v>2509</v>
      </c>
      <c r="S1290" s="2" t="s">
        <v>5520</v>
      </c>
      <c r="T1290" s="2" t="s">
        <v>7136</v>
      </c>
      <c r="U1290" s="2" t="s">
        <v>9973</v>
      </c>
      <c r="V1290" s="2" t="s">
        <v>360</v>
      </c>
      <c r="W1290" s="2" t="s">
        <v>39</v>
      </c>
    </row>
    <row r="1291">
      <c r="A1291" s="2" t="n">
        <v>942</v>
      </c>
      <c r="B1291" s="2" t="s">
        <v>15604</v>
      </c>
      <c r="C1291" s="2" t="s">
        <v>9985</v>
      </c>
      <c r="D1291" s="2" t="n">
        <v>1173.626009338</v>
      </c>
      <c r="E1291" s="2" t="n">
        <v>2.39933417863217</v>
      </c>
      <c r="F1291" s="2" t="s">
        <v>9987</v>
      </c>
      <c r="G1291" s="2" t="n">
        <v>207196</v>
      </c>
      <c r="H1291" s="3" t="str">
        <f>HYPERLINK("http://funmeta.oebiotech.com/network/207196", "http://funmeta.oebiotech.com/network/207196")</f>
      </c>
      <c r="I1291" s="2" t="s">
        <v>9989</v>
      </c>
      <c r="J1291" s="2"/>
      <c r="K1291" s="2"/>
      <c r="L1291" s="2"/>
      <c r="M1291" s="2"/>
      <c r="N1291" s="2" t="s">
        <v>9990</v>
      </c>
      <c r="O1291" s="2"/>
      <c r="P1291" s="2" t="s">
        <v>9991</v>
      </c>
      <c r="Q1291" s="2" t="s">
        <v>9992</v>
      </c>
      <c r="R1291" s="2" t="s">
        <v>49</v>
      </c>
      <c r="S1291" s="2" t="s">
        <v>6532</v>
      </c>
      <c r="T1291" s="2" t="s">
        <v>6533</v>
      </c>
      <c r="U1291" s="2" t="s">
        <v>9986</v>
      </c>
      <c r="V1291" s="2" t="s">
        <v>1019</v>
      </c>
      <c r="W1291" s="2"/>
    </row>
    <row r="1292">
      <c r="A1292" s="2" t="n">
        <v>943</v>
      </c>
      <c r="B1292" s="2" t="s">
        <v>15605</v>
      </c>
      <c r="C1292" s="2" t="s">
        <v>9993</v>
      </c>
      <c r="D1292" s="2" t="n">
        <v>1174.641324293</v>
      </c>
      <c r="E1292" s="2" t="n">
        <v>2.53311168944145</v>
      </c>
      <c r="F1292" s="2" t="s">
        <v>9995</v>
      </c>
      <c r="G1292" s="2" t="n">
        <v>210834</v>
      </c>
      <c r="H1292" s="3" t="str">
        <f>HYPERLINK("http://funmeta.oebiotech.com/network/210834", "http://funmeta.oebiotech.com/network/210834")</f>
      </c>
      <c r="I1292" s="2" t="s">
        <v>9997</v>
      </c>
      <c r="J1292" s="2"/>
      <c r="K1292" s="2"/>
      <c r="L1292" s="2"/>
      <c r="M1292" s="2"/>
      <c r="N1292" s="2"/>
      <c r="O1292" s="2"/>
      <c r="P1292" s="2" t="s">
        <v>9998</v>
      </c>
      <c r="Q1292" s="2" t="s">
        <v>9999</v>
      </c>
      <c r="R1292" s="2" t="s">
        <v>49</v>
      </c>
      <c r="S1292" s="2" t="s">
        <v>165</v>
      </c>
      <c r="T1292" s="2" t="s">
        <v>166</v>
      </c>
      <c r="U1292" s="2" t="s">
        <v>9994</v>
      </c>
      <c r="V1292" s="2" t="s">
        <v>42</v>
      </c>
      <c r="W1292" s="2"/>
    </row>
    <row r="1293">
      <c r="A1293" s="2" t="n">
        <v>944</v>
      </c>
      <c r="B1293" s="2" t="s">
        <v>15606</v>
      </c>
      <c r="C1293" s="2" t="s">
        <v>10000</v>
      </c>
      <c r="D1293" s="2" t="n">
        <v>1175.600187756</v>
      </c>
      <c r="E1293" s="2" t="n">
        <v>9.79736424027293</v>
      </c>
      <c r="F1293" s="2" t="s">
        <v>10002</v>
      </c>
      <c r="G1293" s="2" t="n">
        <v>212990</v>
      </c>
      <c r="H1293" s="3" t="str">
        <f>HYPERLINK("http://funmeta.oebiotech.com/network/212990", "http://funmeta.oebiotech.com/network/212990")</f>
      </c>
      <c r="I1293" s="2" t="s">
        <v>10004</v>
      </c>
      <c r="J1293" s="2"/>
      <c r="K1293" s="2"/>
      <c r="L1293" s="2"/>
      <c r="M1293" s="2"/>
      <c r="N1293" s="2" t="s">
        <v>10005</v>
      </c>
      <c r="O1293" s="2"/>
      <c r="P1293" s="2" t="s">
        <v>10006</v>
      </c>
      <c r="Q1293" s="2" t="s">
        <v>10007</v>
      </c>
      <c r="R1293" s="2" t="s">
        <v>49</v>
      </c>
      <c r="S1293" s="2" t="s">
        <v>165</v>
      </c>
      <c r="T1293" s="2" t="s">
        <v>166</v>
      </c>
      <c r="U1293" s="2" t="s">
        <v>10001</v>
      </c>
      <c r="V1293" s="2" t="s">
        <v>42</v>
      </c>
      <c r="W1293" s="2"/>
    </row>
    <row r="1294">
      <c r="A1294" s="2" t="n">
        <v>945</v>
      </c>
      <c r="B1294" s="2" t="s">
        <v>15607</v>
      </c>
      <c r="C1294" s="2" t="s">
        <v>10008</v>
      </c>
      <c r="D1294" s="2" t="n">
        <v>1184.151616614</v>
      </c>
      <c r="E1294" s="2" t="n">
        <v>5.2547165137564</v>
      </c>
      <c r="F1294" s="2" t="s">
        <v>10010</v>
      </c>
      <c r="G1294" s="2" t="n">
        <v>91424</v>
      </c>
      <c r="H1294" s="3" t="str">
        <f>HYPERLINK("http://funmeta.oebiotech.com/network/91424", "http://funmeta.oebiotech.com/network/91424")</f>
      </c>
      <c r="I1294" s="2" t="s">
        <v>10012</v>
      </c>
      <c r="J1294" s="2"/>
      <c r="K1294" s="2"/>
      <c r="L1294" s="2"/>
      <c r="M1294" s="2"/>
      <c r="N1294" s="2" t="s">
        <v>10013</v>
      </c>
      <c r="O1294" s="2"/>
      <c r="P1294" s="2" t="s">
        <v>10014</v>
      </c>
      <c r="Q1294" s="2" t="s">
        <v>10015</v>
      </c>
      <c r="R1294" s="2" t="s">
        <v>1490</v>
      </c>
      <c r="S1294" s="2" t="s">
        <v>6728</v>
      </c>
      <c r="T1294" s="2" t="s">
        <v>6754</v>
      </c>
      <c r="U1294" s="2" t="s">
        <v>10009</v>
      </c>
      <c r="V1294" s="2" t="s">
        <v>110</v>
      </c>
      <c r="W1294" s="2"/>
    </row>
    <row r="1295">
      <c r="A1295" s="2" t="n">
        <v>946</v>
      </c>
      <c r="B1295" s="2" t="s">
        <v>15608</v>
      </c>
      <c r="C1295" s="2" t="s">
        <v>10016</v>
      </c>
      <c r="D1295" s="2" t="n">
        <v>1191.105653872</v>
      </c>
      <c r="E1295" s="2" t="n">
        <v>0.399976707404685</v>
      </c>
      <c r="F1295" s="2" t="s">
        <v>10018</v>
      </c>
      <c r="G1295" s="2" t="n">
        <v>213144</v>
      </c>
      <c r="H1295" s="3" t="str">
        <f>HYPERLINK("http://funmeta.oebiotech.com/network/213144", "http://funmeta.oebiotech.com/network/213144")</f>
      </c>
      <c r="I1295" s="2" t="s">
        <v>10020</v>
      </c>
      <c r="J1295" s="2"/>
      <c r="K1295" s="2"/>
      <c r="L1295" s="2"/>
      <c r="M1295" s="2"/>
      <c r="N1295" s="2" t="s">
        <v>10021</v>
      </c>
      <c r="O1295" s="2"/>
      <c r="P1295" s="2" t="s">
        <v>10022</v>
      </c>
      <c r="Q1295" s="2" t="s">
        <v>10023</v>
      </c>
      <c r="R1295" s="2" t="s">
        <v>2509</v>
      </c>
      <c r="S1295" s="2" t="s">
        <v>4528</v>
      </c>
      <c r="T1295" s="2" t="s">
        <v>10024</v>
      </c>
      <c r="U1295" s="2" t="s">
        <v>10017</v>
      </c>
      <c r="V1295" s="2" t="s">
        <v>1019</v>
      </c>
      <c r="W1295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1</v>
      </c>
      <c r="B2" s="2" t="s">
        <v>15609</v>
      </c>
      <c r="C2" s="2" t="n">
        <v>84.044978473</v>
      </c>
      <c r="D2" s="2" t="n">
        <v>11.1971489514099</v>
      </c>
      <c r="E2" s="2" t="s">
        <v>15610</v>
      </c>
      <c r="F2" s="2" t="s">
        <v>15611</v>
      </c>
      <c r="G2" s="2" t="s">
        <v>15612</v>
      </c>
      <c r="H2" s="2" t="s">
        <v>15613</v>
      </c>
      <c r="I2" s="2" t="s">
        <v>15614</v>
      </c>
      <c r="J2" s="2" t="s">
        <v>15615</v>
      </c>
      <c r="K2" s="2" t="s">
        <v>29</v>
      </c>
      <c r="L2" s="2" t="s">
        <v>15616</v>
      </c>
      <c r="M2" s="2" t="s">
        <v>15617</v>
      </c>
      <c r="N2" s="2" t="s">
        <v>15618</v>
      </c>
      <c r="O2" s="2" t="s">
        <v>15619</v>
      </c>
      <c r="P2" s="2" t="s">
        <v>15620</v>
      </c>
      <c r="Q2" s="2" t="s">
        <v>15621</v>
      </c>
      <c r="R2" s="2" t="s">
        <v>49</v>
      </c>
      <c r="S2" s="2" t="s">
        <v>165</v>
      </c>
      <c r="T2" s="2" t="s">
        <v>166</v>
      </c>
      <c r="U2" s="2" t="s">
        <v>39</v>
      </c>
      <c r="V2" s="2" t="n">
        <v>1</v>
      </c>
    </row>
    <row r="3">
      <c r="A3" s="2" t="n">
        <v>2</v>
      </c>
      <c r="B3" s="2" t="s">
        <v>15622</v>
      </c>
      <c r="C3" s="2" t="n">
        <v>84.081324325</v>
      </c>
      <c r="D3" s="2" t="n">
        <v>3.07391262514675</v>
      </c>
      <c r="E3" s="2" t="s">
        <v>15623</v>
      </c>
      <c r="F3" s="2" t="s">
        <v>15624</v>
      </c>
      <c r="G3" s="2" t="s">
        <v>15625</v>
      </c>
      <c r="H3" s="2" t="s">
        <v>15626</v>
      </c>
      <c r="I3" s="2" t="s">
        <v>15627</v>
      </c>
      <c r="J3" s="2" t="s">
        <v>15628</v>
      </c>
      <c r="K3" s="2" t="s">
        <v>29</v>
      </c>
      <c r="L3" s="2" t="s">
        <v>15629</v>
      </c>
      <c r="M3" s="2" t="s">
        <v>15630</v>
      </c>
      <c r="N3" s="2" t="s">
        <v>15631</v>
      </c>
      <c r="O3" s="2" t="s">
        <v>29</v>
      </c>
      <c r="P3" s="2" t="s">
        <v>15632</v>
      </c>
      <c r="Q3" s="2" t="s">
        <v>15633</v>
      </c>
      <c r="R3" s="2" t="s">
        <v>355</v>
      </c>
      <c r="S3" s="2" t="s">
        <v>15634</v>
      </c>
      <c r="T3" s="2" t="s">
        <v>205</v>
      </c>
      <c r="U3" s="2" t="s">
        <v>39</v>
      </c>
      <c r="V3" s="2" t="n">
        <v>1</v>
      </c>
    </row>
    <row r="4">
      <c r="A4" s="2" t="n">
        <v>3</v>
      </c>
      <c r="B4" s="2" t="s">
        <v>15635</v>
      </c>
      <c r="C4" s="2" t="n">
        <v>97.011235504</v>
      </c>
      <c r="D4" s="2" t="n">
        <v>18.3522371055398</v>
      </c>
      <c r="E4" s="2" t="s">
        <v>15636</v>
      </c>
      <c r="F4" s="2" t="s">
        <v>15611</v>
      </c>
      <c r="G4" s="2" t="s">
        <v>15637</v>
      </c>
      <c r="H4" s="2" t="s">
        <v>15638</v>
      </c>
      <c r="I4" s="2" t="s">
        <v>15639</v>
      </c>
      <c r="J4" s="2" t="s">
        <v>15640</v>
      </c>
      <c r="K4" s="2" t="s">
        <v>226</v>
      </c>
      <c r="L4" s="2" t="s">
        <v>226</v>
      </c>
      <c r="M4" s="2" t="s">
        <v>226</v>
      </c>
      <c r="N4" s="2" t="s">
        <v>15641</v>
      </c>
      <c r="O4" s="2" t="s">
        <v>15642</v>
      </c>
      <c r="P4" s="2" t="s">
        <v>15643</v>
      </c>
      <c r="Q4" s="2" t="s">
        <v>15644</v>
      </c>
      <c r="R4" s="2" t="s">
        <v>230</v>
      </c>
      <c r="S4" s="2" t="s">
        <v>15645</v>
      </c>
      <c r="T4" s="2" t="s">
        <v>15646</v>
      </c>
      <c r="U4" s="2" t="s">
        <v>29</v>
      </c>
      <c r="V4" s="2" t="n">
        <v>3</v>
      </c>
    </row>
    <row r="5">
      <c r="A5" s="2" t="n">
        <v>4</v>
      </c>
      <c r="B5" s="2" t="s">
        <v>15647</v>
      </c>
      <c r="C5" s="2" t="n">
        <v>97.028405372</v>
      </c>
      <c r="D5" s="2" t="n">
        <v>0.788199854791295</v>
      </c>
      <c r="E5" s="2" t="s">
        <v>15648</v>
      </c>
      <c r="F5" s="2" t="s">
        <v>15649</v>
      </c>
      <c r="G5" s="2" t="s">
        <v>15650</v>
      </c>
      <c r="H5" s="2" t="s">
        <v>15651</v>
      </c>
      <c r="I5" s="2" t="s">
        <v>15652</v>
      </c>
      <c r="J5" s="2" t="s">
        <v>15653</v>
      </c>
      <c r="K5" s="2" t="s">
        <v>72</v>
      </c>
      <c r="L5" s="2" t="s">
        <v>15654</v>
      </c>
      <c r="M5" s="2" t="s">
        <v>15655</v>
      </c>
      <c r="N5" s="2" t="s">
        <v>15656</v>
      </c>
      <c r="O5" s="2" t="s">
        <v>15657</v>
      </c>
      <c r="P5" s="2" t="s">
        <v>15658</v>
      </c>
      <c r="Q5" s="2" t="s">
        <v>15659</v>
      </c>
      <c r="R5" s="2" t="s">
        <v>15660</v>
      </c>
      <c r="S5" s="2" t="s">
        <v>15661</v>
      </c>
      <c r="T5" s="2" t="s">
        <v>15662</v>
      </c>
      <c r="U5" s="2" t="s">
        <v>39</v>
      </c>
      <c r="V5" s="2" t="n">
        <v>2</v>
      </c>
    </row>
    <row r="6">
      <c r="A6" s="2" t="n">
        <v>5</v>
      </c>
      <c r="B6" s="2" t="s">
        <v>15663</v>
      </c>
      <c r="C6" s="2" t="n">
        <v>100.051126477</v>
      </c>
      <c r="D6" s="2" t="n">
        <v>3.54353613408327</v>
      </c>
      <c r="E6" s="2" t="s">
        <v>15664</v>
      </c>
      <c r="F6" s="2" t="s">
        <v>15611</v>
      </c>
      <c r="G6" s="2" t="s">
        <v>15665</v>
      </c>
      <c r="H6" s="2" t="s">
        <v>15666</v>
      </c>
      <c r="I6" s="2" t="s">
        <v>15667</v>
      </c>
      <c r="J6" s="2" t="s">
        <v>15668</v>
      </c>
      <c r="K6" s="2" t="s">
        <v>72</v>
      </c>
      <c r="L6" s="2" t="s">
        <v>15669</v>
      </c>
      <c r="M6" s="2" t="s">
        <v>15670</v>
      </c>
      <c r="N6" s="2" t="s">
        <v>15671</v>
      </c>
      <c r="O6" s="2" t="s">
        <v>15672</v>
      </c>
      <c r="P6" s="2" t="s">
        <v>15673</v>
      </c>
      <c r="Q6" s="2" t="s">
        <v>15674</v>
      </c>
      <c r="R6" s="2" t="s">
        <v>715</v>
      </c>
      <c r="S6" s="2" t="s">
        <v>2147</v>
      </c>
      <c r="T6" s="2" t="s">
        <v>15675</v>
      </c>
      <c r="U6" s="2" t="s">
        <v>39</v>
      </c>
      <c r="V6" s="2" t="n">
        <v>2</v>
      </c>
    </row>
    <row r="7">
      <c r="A7" s="2" t="n">
        <v>6</v>
      </c>
      <c r="B7" s="2" t="s">
        <v>15676</v>
      </c>
      <c r="C7" s="2" t="n">
        <v>104.107539075</v>
      </c>
      <c r="D7" s="2" t="n">
        <v>3.89588686358121</v>
      </c>
      <c r="E7" s="2" t="s">
        <v>15677</v>
      </c>
      <c r="F7" s="2" t="s">
        <v>15624</v>
      </c>
      <c r="G7" s="2" t="s">
        <v>15678</v>
      </c>
      <c r="H7" s="2" t="s">
        <v>15679</v>
      </c>
      <c r="I7" s="2" t="s">
        <v>15680</v>
      </c>
      <c r="J7" s="2" t="s">
        <v>15681</v>
      </c>
      <c r="K7" s="2" t="s">
        <v>29</v>
      </c>
      <c r="L7" s="2" t="s">
        <v>15682</v>
      </c>
      <c r="M7" s="2" t="s">
        <v>15683</v>
      </c>
      <c r="N7" s="2" t="s">
        <v>15684</v>
      </c>
      <c r="O7" s="2" t="s">
        <v>15685</v>
      </c>
      <c r="P7" s="2" t="s">
        <v>15686</v>
      </c>
      <c r="Q7" s="2" t="s">
        <v>15687</v>
      </c>
      <c r="R7" s="2" t="s">
        <v>36</v>
      </c>
      <c r="S7" s="2" t="s">
        <v>37</v>
      </c>
      <c r="T7" s="2" t="s">
        <v>15688</v>
      </c>
      <c r="U7" s="2" t="s">
        <v>39</v>
      </c>
      <c r="V7" s="2" t="n">
        <v>1</v>
      </c>
    </row>
    <row r="8">
      <c r="A8" s="2" t="n">
        <v>7</v>
      </c>
      <c r="B8" s="2" t="s">
        <v>15689</v>
      </c>
      <c r="C8" s="2" t="n">
        <v>110.010286161</v>
      </c>
      <c r="D8" s="2" t="n">
        <v>6.40369022873032</v>
      </c>
      <c r="E8" s="2" t="s">
        <v>15690</v>
      </c>
      <c r="F8" s="2" t="s">
        <v>15691</v>
      </c>
      <c r="G8" s="2" t="s">
        <v>15692</v>
      </c>
      <c r="H8" s="2" t="s">
        <v>15693</v>
      </c>
      <c r="I8" s="2" t="s">
        <v>15694</v>
      </c>
      <c r="J8" s="2" t="s">
        <v>15695</v>
      </c>
      <c r="K8" s="2" t="s">
        <v>29</v>
      </c>
      <c r="L8" s="2" t="s">
        <v>29</v>
      </c>
      <c r="M8" s="2" t="s">
        <v>15696</v>
      </c>
      <c r="N8" s="2" t="s">
        <v>15697</v>
      </c>
      <c r="O8" s="2" t="s">
        <v>29</v>
      </c>
      <c r="P8" s="2" t="s">
        <v>15698</v>
      </c>
      <c r="Q8" s="2" t="s">
        <v>15699</v>
      </c>
      <c r="R8" s="2" t="s">
        <v>491</v>
      </c>
      <c r="S8" s="2" t="s">
        <v>492</v>
      </c>
      <c r="T8" s="2" t="s">
        <v>10968</v>
      </c>
      <c r="U8" s="2" t="s">
        <v>29</v>
      </c>
      <c r="V8" s="2" t="n">
        <v>1</v>
      </c>
    </row>
    <row r="9">
      <c r="A9" s="2" t="n">
        <v>8</v>
      </c>
      <c r="B9" s="2" t="s">
        <v>15700</v>
      </c>
      <c r="C9" s="2" t="n">
        <v>112.051126477</v>
      </c>
      <c r="D9" s="2" t="n">
        <v>5.21071815665459</v>
      </c>
      <c r="E9" s="2" t="s">
        <v>15701</v>
      </c>
      <c r="F9" s="2" t="s">
        <v>15611</v>
      </c>
      <c r="G9" s="2" t="s">
        <v>15702</v>
      </c>
      <c r="H9" s="2" t="s">
        <v>15703</v>
      </c>
      <c r="I9" s="2" t="s">
        <v>15704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15705</v>
      </c>
      <c r="O9" s="2" t="s">
        <v>29</v>
      </c>
      <c r="P9" s="2" t="s">
        <v>15706</v>
      </c>
      <c r="Q9" s="2" t="s">
        <v>15707</v>
      </c>
      <c r="R9" s="2" t="s">
        <v>49</v>
      </c>
      <c r="S9" s="2" t="s">
        <v>165</v>
      </c>
      <c r="T9" s="2" t="s">
        <v>166</v>
      </c>
      <c r="U9" s="2" t="s">
        <v>29</v>
      </c>
      <c r="V9" s="2" t="n">
        <v>1</v>
      </c>
    </row>
    <row r="10">
      <c r="A10" s="2" t="n">
        <v>9</v>
      </c>
      <c r="B10" s="2" t="s">
        <v>15708</v>
      </c>
      <c r="C10" s="2" t="n">
        <v>115.024259202</v>
      </c>
      <c r="D10" s="2" t="n">
        <v>0.498009908354117</v>
      </c>
      <c r="E10" s="2" t="s">
        <v>15709</v>
      </c>
      <c r="F10" s="2" t="s">
        <v>15691</v>
      </c>
      <c r="G10" s="2" t="s">
        <v>15710</v>
      </c>
      <c r="H10" s="2" t="s">
        <v>15711</v>
      </c>
      <c r="I10" s="2" t="s">
        <v>15712</v>
      </c>
      <c r="J10" s="2" t="s">
        <v>15713</v>
      </c>
      <c r="K10" s="2" t="s">
        <v>29</v>
      </c>
      <c r="L10" s="2" t="s">
        <v>15714</v>
      </c>
      <c r="M10" s="2" t="s">
        <v>15715</v>
      </c>
      <c r="N10" s="2" t="s">
        <v>15716</v>
      </c>
      <c r="O10" s="2" t="s">
        <v>15717</v>
      </c>
      <c r="P10" s="2" t="s">
        <v>15718</v>
      </c>
      <c r="Q10" s="2" t="s">
        <v>15719</v>
      </c>
      <c r="R10" s="2" t="s">
        <v>36</v>
      </c>
      <c r="S10" s="2" t="s">
        <v>37</v>
      </c>
      <c r="T10" s="2" t="s">
        <v>38</v>
      </c>
      <c r="U10" s="2" t="s">
        <v>39</v>
      </c>
      <c r="V10" s="2" t="n">
        <v>1</v>
      </c>
    </row>
    <row r="11">
      <c r="A11" s="2" t="n">
        <v>10</v>
      </c>
      <c r="B11" s="2" t="s">
        <v>15720</v>
      </c>
      <c r="C11" s="2" t="n">
        <v>122.924516308</v>
      </c>
      <c r="D11" s="2" t="n">
        <v>1.11381770541617</v>
      </c>
      <c r="E11" s="2" t="s">
        <v>15721</v>
      </c>
      <c r="F11" s="2" t="s">
        <v>15722</v>
      </c>
      <c r="G11" s="2" t="s">
        <v>15723</v>
      </c>
      <c r="H11" s="2" t="s">
        <v>15724</v>
      </c>
      <c r="I11" s="2" t="s">
        <v>15725</v>
      </c>
      <c r="J11" s="2" t="s">
        <v>15726</v>
      </c>
      <c r="K11" s="2" t="s">
        <v>29</v>
      </c>
      <c r="L11" s="2" t="s">
        <v>15727</v>
      </c>
      <c r="M11" s="2" t="s">
        <v>13332</v>
      </c>
      <c r="N11" s="2" t="s">
        <v>15728</v>
      </c>
      <c r="O11" s="2" t="s">
        <v>15729</v>
      </c>
      <c r="P11" s="2" t="s">
        <v>15730</v>
      </c>
      <c r="Q11" s="2" t="s">
        <v>15731</v>
      </c>
      <c r="R11" s="2" t="s">
        <v>49</v>
      </c>
      <c r="S11" s="2" t="s">
        <v>165</v>
      </c>
      <c r="T11" s="2" t="s">
        <v>10223</v>
      </c>
      <c r="U11" s="2" t="s">
        <v>39</v>
      </c>
      <c r="V11" s="2" t="n">
        <v>1</v>
      </c>
    </row>
    <row r="12">
      <c r="A12" s="2" t="n">
        <v>11</v>
      </c>
      <c r="B12" s="2" t="s">
        <v>15732</v>
      </c>
      <c r="C12" s="2" t="n">
        <v>123.041370088</v>
      </c>
      <c r="D12" s="2" t="n">
        <v>1.91124612915562</v>
      </c>
      <c r="E12" s="2" t="s">
        <v>15733</v>
      </c>
      <c r="F12" s="2" t="s">
        <v>15649</v>
      </c>
      <c r="G12" s="2" t="s">
        <v>15734</v>
      </c>
      <c r="H12" s="2" t="s">
        <v>15735</v>
      </c>
      <c r="I12" s="2" t="s">
        <v>15736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15737</v>
      </c>
      <c r="O12" s="2" t="s">
        <v>29</v>
      </c>
      <c r="P12" s="2" t="s">
        <v>15738</v>
      </c>
      <c r="Q12" s="2" t="s">
        <v>15739</v>
      </c>
      <c r="R12" s="2" t="s">
        <v>355</v>
      </c>
      <c r="S12" s="2" t="s">
        <v>909</v>
      </c>
      <c r="T12" s="2" t="s">
        <v>205</v>
      </c>
      <c r="U12" s="2" t="s">
        <v>29</v>
      </c>
      <c r="V12" s="2" t="n">
        <v>1</v>
      </c>
    </row>
    <row r="13">
      <c r="A13" s="2" t="n">
        <v>12</v>
      </c>
      <c r="B13" s="2" t="s">
        <v>15740</v>
      </c>
      <c r="C13" s="2" t="n">
        <v>123.055288821</v>
      </c>
      <c r="D13" s="2" t="n">
        <v>7.39873534264272</v>
      </c>
      <c r="E13" s="2" t="s">
        <v>15741</v>
      </c>
      <c r="F13" s="2" t="s">
        <v>15649</v>
      </c>
      <c r="G13" s="2" t="s">
        <v>15742</v>
      </c>
      <c r="H13" s="2" t="s">
        <v>15743</v>
      </c>
      <c r="I13" s="2" t="s">
        <v>15744</v>
      </c>
      <c r="J13" s="2" t="s">
        <v>15745</v>
      </c>
      <c r="K13" s="2" t="s">
        <v>226</v>
      </c>
      <c r="L13" s="2" t="s">
        <v>15746</v>
      </c>
      <c r="M13" s="2" t="s">
        <v>15747</v>
      </c>
      <c r="N13" s="2" t="s">
        <v>15748</v>
      </c>
      <c r="O13" s="2" t="s">
        <v>15749</v>
      </c>
      <c r="P13" s="2" t="s">
        <v>15750</v>
      </c>
      <c r="Q13" s="2" t="s">
        <v>15751</v>
      </c>
      <c r="R13" s="2" t="s">
        <v>230</v>
      </c>
      <c r="S13" s="2" t="s">
        <v>15752</v>
      </c>
      <c r="T13" s="2" t="s">
        <v>15753</v>
      </c>
      <c r="U13" s="2" t="s">
        <v>39</v>
      </c>
      <c r="V13" s="2" t="n">
        <v>3</v>
      </c>
    </row>
    <row r="14">
      <c r="A14" s="2" t="n">
        <v>13</v>
      </c>
      <c r="B14" s="2" t="s">
        <v>15754</v>
      </c>
      <c r="C14" s="2" t="n">
        <v>124.024917642</v>
      </c>
      <c r="D14" s="2" t="n">
        <v>2.61503806006252</v>
      </c>
      <c r="E14" s="2" t="s">
        <v>15755</v>
      </c>
      <c r="F14" s="2" t="s">
        <v>15649</v>
      </c>
      <c r="G14" s="2" t="s">
        <v>15756</v>
      </c>
      <c r="H14" s="2" t="s">
        <v>15757</v>
      </c>
      <c r="I14" s="2" t="s">
        <v>15758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15759</v>
      </c>
      <c r="O14" s="2" t="s">
        <v>29</v>
      </c>
      <c r="P14" s="2" t="s">
        <v>15760</v>
      </c>
      <c r="Q14" s="2" t="s">
        <v>15761</v>
      </c>
      <c r="R14" s="2" t="s">
        <v>638</v>
      </c>
      <c r="S14" s="2" t="s">
        <v>15762</v>
      </c>
      <c r="T14" s="2" t="s">
        <v>15763</v>
      </c>
      <c r="U14" s="2" t="s">
        <v>29</v>
      </c>
      <c r="V14" s="2" t="n">
        <v>1</v>
      </c>
    </row>
    <row r="15">
      <c r="A15" s="2" t="n">
        <v>14</v>
      </c>
      <c r="B15" s="2" t="s">
        <v>15764</v>
      </c>
      <c r="C15" s="2" t="n">
        <v>126.021939785</v>
      </c>
      <c r="D15" s="2" t="n">
        <v>10.3802755212717</v>
      </c>
      <c r="E15" s="2" t="s">
        <v>15765</v>
      </c>
      <c r="F15" s="2" t="s">
        <v>15649</v>
      </c>
      <c r="G15" s="2" t="s">
        <v>15766</v>
      </c>
      <c r="H15" s="2" t="s">
        <v>15767</v>
      </c>
      <c r="I15" s="2" t="s">
        <v>15768</v>
      </c>
      <c r="J15" s="2" t="s">
        <v>15769</v>
      </c>
      <c r="K15" s="2" t="s">
        <v>29</v>
      </c>
      <c r="L15" s="2" t="s">
        <v>15770</v>
      </c>
      <c r="M15" s="2" t="s">
        <v>15771</v>
      </c>
      <c r="N15" s="2" t="s">
        <v>15772</v>
      </c>
      <c r="O15" s="2" t="s">
        <v>15773</v>
      </c>
      <c r="P15" s="2" t="s">
        <v>15774</v>
      </c>
      <c r="Q15" s="2" t="s">
        <v>15775</v>
      </c>
      <c r="R15" s="2" t="s">
        <v>49</v>
      </c>
      <c r="S15" s="2" t="s">
        <v>218</v>
      </c>
      <c r="T15" s="2" t="s">
        <v>219</v>
      </c>
      <c r="U15" s="2" t="s">
        <v>39</v>
      </c>
      <c r="V15" s="2" t="n">
        <v>1</v>
      </c>
    </row>
    <row r="16">
      <c r="A16" s="2" t="n">
        <v>15</v>
      </c>
      <c r="B16" s="2" t="s">
        <v>15776</v>
      </c>
      <c r="C16" s="2" t="n">
        <v>129.039363978</v>
      </c>
      <c r="D16" s="2" t="n">
        <v>1.34889900926153</v>
      </c>
      <c r="E16" s="2" t="s">
        <v>15777</v>
      </c>
      <c r="F16" s="2" t="s">
        <v>15778</v>
      </c>
      <c r="G16" s="2" t="s">
        <v>15779</v>
      </c>
      <c r="H16" s="2" t="s">
        <v>15780</v>
      </c>
      <c r="I16" s="2" t="s">
        <v>15781</v>
      </c>
      <c r="J16" s="2" t="s">
        <v>15782</v>
      </c>
      <c r="K16" s="2" t="s">
        <v>29</v>
      </c>
      <c r="L16" s="2" t="s">
        <v>29</v>
      </c>
      <c r="M16" s="2" t="s">
        <v>29</v>
      </c>
      <c r="N16" s="2" t="s">
        <v>15783</v>
      </c>
      <c r="O16" s="2" t="s">
        <v>29</v>
      </c>
      <c r="P16" s="2" t="s">
        <v>15784</v>
      </c>
      <c r="Q16" s="2" t="s">
        <v>15785</v>
      </c>
      <c r="R16" s="2" t="s">
        <v>64</v>
      </c>
      <c r="S16" s="2" t="s">
        <v>15786</v>
      </c>
      <c r="T16" s="2" t="s">
        <v>205</v>
      </c>
      <c r="U16" s="2" t="s">
        <v>29</v>
      </c>
      <c r="V16" s="2" t="n">
        <v>1</v>
      </c>
    </row>
    <row r="17">
      <c r="A17" s="2" t="n">
        <v>16</v>
      </c>
      <c r="B17" s="2" t="s">
        <v>15787</v>
      </c>
      <c r="C17" s="2" t="n">
        <v>130.086843283</v>
      </c>
      <c r="D17" s="2" t="n">
        <v>13.8341599788633</v>
      </c>
      <c r="E17" s="2" t="s">
        <v>15788</v>
      </c>
      <c r="F17" s="2" t="s">
        <v>15611</v>
      </c>
      <c r="G17" s="2" t="s">
        <v>15789</v>
      </c>
      <c r="H17" s="2" t="s">
        <v>15790</v>
      </c>
      <c r="I17" s="2" t="s">
        <v>15791</v>
      </c>
      <c r="J17" s="2" t="s">
        <v>15792</v>
      </c>
      <c r="K17" s="2" t="s">
        <v>29</v>
      </c>
      <c r="L17" s="2" t="s">
        <v>15793</v>
      </c>
      <c r="M17" s="2" t="s">
        <v>15794</v>
      </c>
      <c r="N17" s="2" t="s">
        <v>15795</v>
      </c>
      <c r="O17" s="2" t="s">
        <v>15796</v>
      </c>
      <c r="P17" s="2" t="s">
        <v>15797</v>
      </c>
      <c r="Q17" s="2" t="s">
        <v>15798</v>
      </c>
      <c r="R17" s="2" t="s">
        <v>355</v>
      </c>
      <c r="S17" s="2" t="s">
        <v>1580</v>
      </c>
      <c r="T17" s="2" t="s">
        <v>205</v>
      </c>
      <c r="U17" s="2" t="s">
        <v>39</v>
      </c>
      <c r="V17" s="2" t="n">
        <v>1</v>
      </c>
    </row>
    <row r="18">
      <c r="A18" s="2" t="n">
        <v>17</v>
      </c>
      <c r="B18" s="2" t="s">
        <v>15799</v>
      </c>
      <c r="C18" s="2" t="n">
        <v>132.0216562</v>
      </c>
      <c r="D18" s="2" t="n">
        <v>10.478077595902</v>
      </c>
      <c r="E18" s="2" t="s">
        <v>15800</v>
      </c>
      <c r="F18" s="2" t="s">
        <v>15611</v>
      </c>
      <c r="G18" s="2" t="s">
        <v>15801</v>
      </c>
      <c r="H18" s="2" t="s">
        <v>15802</v>
      </c>
      <c r="I18" s="2" t="s">
        <v>15803</v>
      </c>
      <c r="J18" s="2" t="s">
        <v>15804</v>
      </c>
      <c r="K18" s="2" t="s">
        <v>72</v>
      </c>
      <c r="L18" s="2" t="s">
        <v>72</v>
      </c>
      <c r="M18" s="2" t="s">
        <v>72</v>
      </c>
      <c r="N18" s="2" t="s">
        <v>15805</v>
      </c>
      <c r="O18" s="2" t="s">
        <v>72</v>
      </c>
      <c r="P18" s="2" t="s">
        <v>15806</v>
      </c>
      <c r="Q18" s="2" t="s">
        <v>15807</v>
      </c>
      <c r="R18" s="2" t="s">
        <v>537</v>
      </c>
      <c r="S18" s="2" t="s">
        <v>15808</v>
      </c>
      <c r="T18" s="2" t="s">
        <v>15809</v>
      </c>
      <c r="U18" s="2" t="s">
        <v>29</v>
      </c>
      <c r="V18" s="2" t="n">
        <v>2</v>
      </c>
    </row>
    <row r="19">
      <c r="A19" s="2" t="n">
        <v>18</v>
      </c>
      <c r="B19" s="2" t="s">
        <v>15810</v>
      </c>
      <c r="C19" s="2" t="n">
        <v>132.102453697</v>
      </c>
      <c r="D19" s="2" t="n">
        <v>11.1408324372986</v>
      </c>
      <c r="E19" s="2" t="s">
        <v>15811</v>
      </c>
      <c r="F19" s="2" t="s">
        <v>15624</v>
      </c>
      <c r="G19" s="2" t="s">
        <v>15812</v>
      </c>
      <c r="H19" s="2" t="s">
        <v>15813</v>
      </c>
      <c r="I19" s="2" t="s">
        <v>15814</v>
      </c>
      <c r="J19" s="2" t="s">
        <v>29</v>
      </c>
      <c r="K19" s="2" t="s">
        <v>29</v>
      </c>
      <c r="L19" s="2" t="s">
        <v>29</v>
      </c>
      <c r="M19" s="2" t="s">
        <v>15815</v>
      </c>
      <c r="N19" s="2" t="s">
        <v>29</v>
      </c>
      <c r="O19" s="2" t="s">
        <v>15816</v>
      </c>
      <c r="P19" s="2" t="s">
        <v>15817</v>
      </c>
      <c r="Q19" s="2" t="s">
        <v>15818</v>
      </c>
      <c r="R19" s="2" t="s">
        <v>10455</v>
      </c>
      <c r="S19" s="2" t="s">
        <v>10456</v>
      </c>
      <c r="T19" s="2" t="s">
        <v>10457</v>
      </c>
      <c r="U19" s="2" t="s">
        <v>29</v>
      </c>
      <c r="V19" s="2" t="n">
        <v>1</v>
      </c>
    </row>
    <row r="20">
      <c r="A20" s="2" t="n">
        <v>19</v>
      </c>
      <c r="B20" s="2" t="s">
        <v>15819</v>
      </c>
      <c r="C20" s="2" t="n">
        <v>133.028994058</v>
      </c>
      <c r="D20" s="2" t="n">
        <v>5.85554225400993</v>
      </c>
      <c r="E20" s="2" t="s">
        <v>15820</v>
      </c>
      <c r="F20" s="2" t="s">
        <v>15611</v>
      </c>
      <c r="G20" s="2" t="s">
        <v>15821</v>
      </c>
      <c r="H20" s="2" t="s">
        <v>15822</v>
      </c>
      <c r="I20" s="2" t="s">
        <v>15823</v>
      </c>
      <c r="J20" s="2" t="s">
        <v>15824</v>
      </c>
      <c r="K20" s="2" t="s">
        <v>72</v>
      </c>
      <c r="L20" s="2" t="s">
        <v>15825</v>
      </c>
      <c r="M20" s="2" t="s">
        <v>15826</v>
      </c>
      <c r="N20" s="2" t="s">
        <v>15827</v>
      </c>
      <c r="O20" s="2" t="s">
        <v>15828</v>
      </c>
      <c r="P20" s="2" t="s">
        <v>15829</v>
      </c>
      <c r="Q20" s="2" t="s">
        <v>15830</v>
      </c>
      <c r="R20" s="2" t="s">
        <v>1541</v>
      </c>
      <c r="S20" s="2" t="s">
        <v>15831</v>
      </c>
      <c r="T20" s="2" t="s">
        <v>15832</v>
      </c>
      <c r="U20" s="2" t="s">
        <v>39</v>
      </c>
      <c r="V20" s="2" t="n">
        <v>2</v>
      </c>
    </row>
    <row r="21">
      <c r="A21" s="2" t="n">
        <v>20</v>
      </c>
      <c r="B21" s="2" t="s">
        <v>15833</v>
      </c>
      <c r="C21" s="2" t="n">
        <v>136.061771185</v>
      </c>
      <c r="D21" s="2" t="n">
        <v>0.457265172206601</v>
      </c>
      <c r="E21" s="2" t="s">
        <v>15834</v>
      </c>
      <c r="F21" s="2" t="s">
        <v>15649</v>
      </c>
      <c r="G21" s="2" t="s">
        <v>15835</v>
      </c>
      <c r="H21" s="2" t="s">
        <v>15836</v>
      </c>
      <c r="I21" s="2" t="s">
        <v>15837</v>
      </c>
      <c r="J21" s="2" t="s">
        <v>15838</v>
      </c>
      <c r="K21" s="2" t="s">
        <v>29</v>
      </c>
      <c r="L21" s="2" t="s">
        <v>15839</v>
      </c>
      <c r="M21" s="2" t="s">
        <v>15840</v>
      </c>
      <c r="N21" s="2" t="s">
        <v>12346</v>
      </c>
      <c r="O21" s="2" t="s">
        <v>15841</v>
      </c>
      <c r="P21" s="2" t="s">
        <v>15842</v>
      </c>
      <c r="Q21" s="2" t="s">
        <v>15843</v>
      </c>
      <c r="R21" s="2" t="s">
        <v>355</v>
      </c>
      <c r="S21" s="2" t="s">
        <v>466</v>
      </c>
      <c r="T21" s="2" t="s">
        <v>467</v>
      </c>
      <c r="U21" s="2" t="s">
        <v>39</v>
      </c>
      <c r="V21" s="2" t="n">
        <v>1</v>
      </c>
    </row>
    <row r="22">
      <c r="A22" s="2" t="n">
        <v>21</v>
      </c>
      <c r="B22" s="2" t="s">
        <v>15844</v>
      </c>
      <c r="C22" s="2" t="n">
        <v>138.039698329</v>
      </c>
      <c r="D22" s="2" t="n">
        <v>6.84172007478008</v>
      </c>
      <c r="E22" s="2" t="s">
        <v>15845</v>
      </c>
      <c r="F22" s="2" t="s">
        <v>15649</v>
      </c>
      <c r="G22" s="2" t="s">
        <v>15846</v>
      </c>
      <c r="H22" s="2" t="s">
        <v>15847</v>
      </c>
      <c r="I22" s="2" t="s">
        <v>15848</v>
      </c>
      <c r="J22" s="2" t="s">
        <v>15849</v>
      </c>
      <c r="K22" s="2" t="s">
        <v>72</v>
      </c>
      <c r="L22" s="2" t="s">
        <v>72</v>
      </c>
      <c r="M22" s="2" t="s">
        <v>72</v>
      </c>
      <c r="N22" s="2" t="s">
        <v>15850</v>
      </c>
      <c r="O22" s="2" t="s">
        <v>15851</v>
      </c>
      <c r="P22" s="2" t="s">
        <v>15852</v>
      </c>
      <c r="Q22" s="2" t="s">
        <v>15853</v>
      </c>
      <c r="R22" s="2" t="s">
        <v>150</v>
      </c>
      <c r="S22" s="2" t="s">
        <v>15854</v>
      </c>
      <c r="T22" s="2" t="s">
        <v>15855</v>
      </c>
      <c r="U22" s="2" t="s">
        <v>29</v>
      </c>
      <c r="V22" s="2" t="n">
        <v>2</v>
      </c>
    </row>
    <row r="23">
      <c r="A23" s="2" t="n">
        <v>22</v>
      </c>
      <c r="B23" s="2" t="s">
        <v>15856</v>
      </c>
      <c r="C23" s="2" t="n">
        <v>138.052546537</v>
      </c>
      <c r="D23" s="2" t="n">
        <v>4.74063825151862</v>
      </c>
      <c r="E23" s="2" t="s">
        <v>15857</v>
      </c>
      <c r="F23" s="2" t="s">
        <v>15858</v>
      </c>
      <c r="G23" s="2" t="s">
        <v>15859</v>
      </c>
      <c r="H23" s="2" t="s">
        <v>15860</v>
      </c>
      <c r="I23" s="2" t="s">
        <v>15861</v>
      </c>
      <c r="J23" s="2" t="s">
        <v>15862</v>
      </c>
      <c r="K23" s="2" t="s">
        <v>29</v>
      </c>
      <c r="L23" s="2" t="s">
        <v>15863</v>
      </c>
      <c r="M23" s="2" t="s">
        <v>15864</v>
      </c>
      <c r="N23" s="2" t="s">
        <v>15865</v>
      </c>
      <c r="O23" s="2" t="s">
        <v>15866</v>
      </c>
      <c r="P23" s="2" t="s">
        <v>15867</v>
      </c>
      <c r="Q23" s="2" t="s">
        <v>15868</v>
      </c>
      <c r="R23" s="2" t="s">
        <v>49</v>
      </c>
      <c r="S23" s="2" t="s">
        <v>165</v>
      </c>
      <c r="T23" s="2" t="s">
        <v>166</v>
      </c>
      <c r="U23" s="2" t="s">
        <v>39</v>
      </c>
      <c r="V23" s="2" t="n">
        <v>1</v>
      </c>
    </row>
    <row r="24">
      <c r="A24" s="2" t="n">
        <v>23</v>
      </c>
      <c r="B24" s="2" t="s">
        <v>15869</v>
      </c>
      <c r="C24" s="2" t="n">
        <v>139.039558744</v>
      </c>
      <c r="D24" s="2" t="n">
        <v>8.66072679155866</v>
      </c>
      <c r="E24" s="2" t="s">
        <v>15870</v>
      </c>
      <c r="F24" s="2" t="s">
        <v>15611</v>
      </c>
      <c r="G24" s="2" t="s">
        <v>15871</v>
      </c>
      <c r="H24" s="2" t="s">
        <v>15872</v>
      </c>
      <c r="I24" s="2" t="s">
        <v>15873</v>
      </c>
      <c r="J24" s="2" t="s">
        <v>72</v>
      </c>
      <c r="K24" s="2" t="s">
        <v>72</v>
      </c>
      <c r="L24" s="2" t="s">
        <v>72</v>
      </c>
      <c r="M24" s="2" t="s">
        <v>15874</v>
      </c>
      <c r="N24" s="2" t="s">
        <v>15875</v>
      </c>
      <c r="O24" s="2" t="s">
        <v>15876</v>
      </c>
      <c r="P24" s="2" t="s">
        <v>15877</v>
      </c>
      <c r="Q24" s="2" t="s">
        <v>15878</v>
      </c>
      <c r="R24" s="2" t="s">
        <v>15879</v>
      </c>
      <c r="S24" s="2" t="s">
        <v>15880</v>
      </c>
      <c r="T24" s="2" t="s">
        <v>15881</v>
      </c>
      <c r="U24" s="2" t="s">
        <v>29</v>
      </c>
      <c r="V24" s="2" t="n">
        <v>2</v>
      </c>
    </row>
    <row r="25">
      <c r="A25" s="2" t="n">
        <v>24</v>
      </c>
      <c r="B25" s="2" t="s">
        <v>15882</v>
      </c>
      <c r="C25" s="2" t="n">
        <v>140.052845983</v>
      </c>
      <c r="D25" s="2" t="n">
        <v>13.8897243748153</v>
      </c>
      <c r="E25" s="2" t="s">
        <v>15883</v>
      </c>
      <c r="F25" s="2" t="s">
        <v>15649</v>
      </c>
      <c r="G25" s="2" t="s">
        <v>15884</v>
      </c>
      <c r="H25" s="2" t="s">
        <v>15885</v>
      </c>
      <c r="I25" s="2" t="s">
        <v>15886</v>
      </c>
      <c r="J25" s="2" t="s">
        <v>15887</v>
      </c>
      <c r="K25" s="2" t="s">
        <v>226</v>
      </c>
      <c r="L25" s="2" t="s">
        <v>226</v>
      </c>
      <c r="M25" s="2" t="s">
        <v>226</v>
      </c>
      <c r="N25" s="2" t="s">
        <v>15888</v>
      </c>
      <c r="O25" s="2" t="s">
        <v>15889</v>
      </c>
      <c r="P25" s="2" t="s">
        <v>15890</v>
      </c>
      <c r="Q25" s="2" t="s">
        <v>15891</v>
      </c>
      <c r="R25" s="2" t="s">
        <v>230</v>
      </c>
      <c r="S25" s="2" t="s">
        <v>15892</v>
      </c>
      <c r="T25" s="2" t="s">
        <v>15893</v>
      </c>
      <c r="U25" s="2" t="s">
        <v>29</v>
      </c>
      <c r="V25" s="2" t="n">
        <v>3</v>
      </c>
    </row>
    <row r="26">
      <c r="A26" s="2" t="n">
        <v>25</v>
      </c>
      <c r="B26" s="2" t="s">
        <v>15894</v>
      </c>
      <c r="C26" s="2" t="n">
        <v>143.019173824</v>
      </c>
      <c r="D26" s="2" t="n">
        <v>1.5114354244957</v>
      </c>
      <c r="E26" s="2" t="s">
        <v>15895</v>
      </c>
      <c r="F26" s="2" t="s">
        <v>15691</v>
      </c>
      <c r="G26" s="2" t="s">
        <v>15896</v>
      </c>
      <c r="H26" s="2" t="s">
        <v>15897</v>
      </c>
      <c r="I26" s="2" t="s">
        <v>15898</v>
      </c>
      <c r="J26" s="2" t="s">
        <v>15899</v>
      </c>
      <c r="K26" s="2" t="s">
        <v>29</v>
      </c>
      <c r="L26" s="2" t="s">
        <v>29</v>
      </c>
      <c r="M26" s="2" t="s">
        <v>29</v>
      </c>
      <c r="N26" s="2" t="s">
        <v>15900</v>
      </c>
      <c r="O26" s="2" t="s">
        <v>15901</v>
      </c>
      <c r="P26" s="2" t="s">
        <v>15902</v>
      </c>
      <c r="Q26" s="2" t="s">
        <v>15903</v>
      </c>
      <c r="R26" s="2" t="s">
        <v>355</v>
      </c>
      <c r="S26" s="2" t="s">
        <v>356</v>
      </c>
      <c r="T26" s="2" t="s">
        <v>5282</v>
      </c>
      <c r="U26" s="2" t="s">
        <v>29</v>
      </c>
      <c r="V26" s="2" t="n">
        <v>1</v>
      </c>
    </row>
    <row r="27">
      <c r="A27" s="2" t="n">
        <v>26</v>
      </c>
      <c r="B27" s="2" t="s">
        <v>15904</v>
      </c>
      <c r="C27" s="2" t="n">
        <v>144.084146111</v>
      </c>
      <c r="D27" s="2" t="n">
        <v>5.42719305759658</v>
      </c>
      <c r="E27" s="2" t="s">
        <v>15905</v>
      </c>
      <c r="F27" s="2" t="s">
        <v>15649</v>
      </c>
      <c r="G27" s="2" t="s">
        <v>15906</v>
      </c>
      <c r="H27" s="2" t="s">
        <v>15907</v>
      </c>
      <c r="I27" s="2" t="s">
        <v>15908</v>
      </c>
      <c r="J27" s="2" t="s">
        <v>15909</v>
      </c>
      <c r="K27" s="2" t="s">
        <v>226</v>
      </c>
      <c r="L27" s="2" t="s">
        <v>226</v>
      </c>
      <c r="M27" s="2" t="s">
        <v>226</v>
      </c>
      <c r="N27" s="2" t="s">
        <v>15910</v>
      </c>
      <c r="O27" s="2" t="s">
        <v>15911</v>
      </c>
      <c r="P27" s="2" t="s">
        <v>15912</v>
      </c>
      <c r="Q27" s="2" t="s">
        <v>15913</v>
      </c>
      <c r="R27" s="2" t="s">
        <v>15914</v>
      </c>
      <c r="S27" s="2" t="s">
        <v>15915</v>
      </c>
      <c r="T27" s="2" t="s">
        <v>15916</v>
      </c>
      <c r="U27" s="2" t="s">
        <v>29</v>
      </c>
      <c r="V27" s="2" t="n">
        <v>3</v>
      </c>
    </row>
    <row r="28">
      <c r="A28" s="2" t="n">
        <v>27</v>
      </c>
      <c r="B28" s="2" t="s">
        <v>15917</v>
      </c>
      <c r="C28" s="2" t="n">
        <v>145.016256201</v>
      </c>
      <c r="D28" s="2" t="n">
        <v>6.61228534786485</v>
      </c>
      <c r="E28" s="2" t="s">
        <v>15918</v>
      </c>
      <c r="F28" s="2" t="s">
        <v>15919</v>
      </c>
      <c r="G28" s="2" t="s">
        <v>15920</v>
      </c>
      <c r="H28" s="2" t="s">
        <v>15921</v>
      </c>
      <c r="I28" s="2" t="s">
        <v>15922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15923</v>
      </c>
      <c r="O28" s="2" t="s">
        <v>72</v>
      </c>
      <c r="P28" s="2" t="s">
        <v>15924</v>
      </c>
      <c r="Q28" s="2" t="s">
        <v>15925</v>
      </c>
      <c r="R28" s="2" t="s">
        <v>2486</v>
      </c>
      <c r="S28" s="2" t="s">
        <v>15926</v>
      </c>
      <c r="T28" s="2" t="s">
        <v>15927</v>
      </c>
      <c r="U28" s="2" t="s">
        <v>29</v>
      </c>
      <c r="V28" s="2" t="n">
        <v>2</v>
      </c>
    </row>
    <row r="29">
      <c r="A29" s="2" t="n">
        <v>28</v>
      </c>
      <c r="B29" s="2" t="s">
        <v>15928</v>
      </c>
      <c r="C29" s="2" t="n">
        <v>145.049534744</v>
      </c>
      <c r="D29" s="2" t="n">
        <v>3.23967701202192</v>
      </c>
      <c r="E29" s="2" t="s">
        <v>15929</v>
      </c>
      <c r="F29" s="2" t="s">
        <v>15649</v>
      </c>
      <c r="G29" s="2" t="s">
        <v>15930</v>
      </c>
      <c r="H29" s="2" t="s">
        <v>15931</v>
      </c>
      <c r="I29" s="2" t="s">
        <v>15932</v>
      </c>
      <c r="J29" s="2" t="s">
        <v>15933</v>
      </c>
      <c r="K29" s="2" t="s">
        <v>29</v>
      </c>
      <c r="L29" s="2" t="s">
        <v>15934</v>
      </c>
      <c r="M29" s="2" t="s">
        <v>15935</v>
      </c>
      <c r="N29" s="2" t="s">
        <v>15936</v>
      </c>
      <c r="O29" s="2" t="s">
        <v>15937</v>
      </c>
      <c r="P29" s="2" t="s">
        <v>15938</v>
      </c>
      <c r="Q29" s="2" t="s">
        <v>15939</v>
      </c>
      <c r="R29" s="2" t="s">
        <v>1490</v>
      </c>
      <c r="S29" s="2" t="s">
        <v>1491</v>
      </c>
      <c r="T29" s="2" t="s">
        <v>1492</v>
      </c>
      <c r="U29" s="2" t="s">
        <v>39</v>
      </c>
      <c r="V29" s="2" t="n">
        <v>1</v>
      </c>
    </row>
    <row r="30">
      <c r="A30" s="2" t="n">
        <v>29</v>
      </c>
      <c r="B30" s="2" t="s">
        <v>15940</v>
      </c>
      <c r="C30" s="2" t="n">
        <v>146.165173623</v>
      </c>
      <c r="D30" s="2" t="n">
        <v>7.88792935256703</v>
      </c>
      <c r="E30" s="2" t="s">
        <v>15941</v>
      </c>
      <c r="F30" s="2" t="s">
        <v>15649</v>
      </c>
      <c r="G30" s="2" t="s">
        <v>15942</v>
      </c>
      <c r="H30" s="2" t="s">
        <v>15943</v>
      </c>
      <c r="I30" s="2" t="s">
        <v>15944</v>
      </c>
      <c r="J30" s="2" t="s">
        <v>15945</v>
      </c>
      <c r="K30" s="2" t="s">
        <v>29</v>
      </c>
      <c r="L30" s="2" t="s">
        <v>15946</v>
      </c>
      <c r="M30" s="2" t="s">
        <v>15947</v>
      </c>
      <c r="N30" s="2" t="s">
        <v>15948</v>
      </c>
      <c r="O30" s="2" t="s">
        <v>15949</v>
      </c>
      <c r="P30" s="2" t="s">
        <v>15950</v>
      </c>
      <c r="Q30" s="2" t="s">
        <v>15951</v>
      </c>
      <c r="R30" s="2" t="s">
        <v>36</v>
      </c>
      <c r="S30" s="2" t="s">
        <v>37</v>
      </c>
      <c r="T30" s="2" t="s">
        <v>679</v>
      </c>
      <c r="U30" s="2" t="s">
        <v>39</v>
      </c>
      <c r="V30" s="2" t="n">
        <v>1</v>
      </c>
    </row>
    <row r="31">
      <c r="A31" s="2" t="n">
        <v>30</v>
      </c>
      <c r="B31" s="2" t="s">
        <v>15952</v>
      </c>
      <c r="C31" s="2" t="n">
        <v>147.113352734</v>
      </c>
      <c r="D31" s="2" t="n">
        <v>10.6008182380611</v>
      </c>
      <c r="E31" s="2" t="s">
        <v>15953</v>
      </c>
      <c r="F31" s="2" t="s">
        <v>15624</v>
      </c>
      <c r="G31" s="2" t="s">
        <v>15954</v>
      </c>
      <c r="H31" s="2" t="s">
        <v>15955</v>
      </c>
      <c r="I31" s="2" t="s">
        <v>15956</v>
      </c>
      <c r="J31" s="2" t="s">
        <v>15957</v>
      </c>
      <c r="K31" s="2" t="s">
        <v>29</v>
      </c>
      <c r="L31" s="2" t="s">
        <v>29</v>
      </c>
      <c r="M31" s="2" t="s">
        <v>29</v>
      </c>
      <c r="N31" s="2" t="s">
        <v>15958</v>
      </c>
      <c r="O31" s="2" t="s">
        <v>15959</v>
      </c>
      <c r="P31" s="2" t="s">
        <v>15960</v>
      </c>
      <c r="Q31" s="2" t="s">
        <v>15961</v>
      </c>
      <c r="R31" s="2" t="s">
        <v>49</v>
      </c>
      <c r="S31" s="2" t="s">
        <v>165</v>
      </c>
      <c r="T31" s="2" t="s">
        <v>166</v>
      </c>
      <c r="U31" s="2" t="s">
        <v>29</v>
      </c>
      <c r="V31" s="2" t="n">
        <v>1</v>
      </c>
    </row>
    <row r="32">
      <c r="A32" s="2" t="n">
        <v>31</v>
      </c>
      <c r="B32" s="2" t="s">
        <v>15962</v>
      </c>
      <c r="C32" s="2" t="n">
        <v>150.054954469</v>
      </c>
      <c r="D32" s="2" t="n">
        <v>2.23526342112943</v>
      </c>
      <c r="E32" s="2" t="s">
        <v>15963</v>
      </c>
      <c r="F32" s="2" t="s">
        <v>15649</v>
      </c>
      <c r="G32" s="2" t="s">
        <v>15964</v>
      </c>
      <c r="H32" s="2" t="s">
        <v>15965</v>
      </c>
      <c r="I32" s="2" t="s">
        <v>15966</v>
      </c>
      <c r="J32" s="2" t="s">
        <v>15967</v>
      </c>
      <c r="K32" s="2" t="s">
        <v>226</v>
      </c>
      <c r="L32" s="2" t="s">
        <v>15968</v>
      </c>
      <c r="M32" s="2" t="s">
        <v>15969</v>
      </c>
      <c r="N32" s="2" t="s">
        <v>15970</v>
      </c>
      <c r="O32" s="2" t="s">
        <v>15971</v>
      </c>
      <c r="P32" s="2" t="s">
        <v>15972</v>
      </c>
      <c r="Q32" s="2" t="s">
        <v>15973</v>
      </c>
      <c r="R32" s="2" t="s">
        <v>517</v>
      </c>
      <c r="S32" s="2" t="s">
        <v>15974</v>
      </c>
      <c r="T32" s="2" t="s">
        <v>15975</v>
      </c>
      <c r="U32" s="2" t="s">
        <v>39</v>
      </c>
      <c r="V32" s="2" t="n">
        <v>3</v>
      </c>
    </row>
    <row r="33">
      <c r="A33" s="2" t="n">
        <v>32</v>
      </c>
      <c r="B33" s="2" t="s">
        <v>15976</v>
      </c>
      <c r="C33" s="2" t="n">
        <v>152.056685807</v>
      </c>
      <c r="D33" s="2" t="n">
        <v>0.532055822343879</v>
      </c>
      <c r="E33" s="2" t="s">
        <v>15977</v>
      </c>
      <c r="F33" s="2" t="s">
        <v>15649</v>
      </c>
      <c r="G33" s="2" t="s">
        <v>15978</v>
      </c>
      <c r="H33" s="2" t="s">
        <v>15979</v>
      </c>
      <c r="I33" s="2" t="s">
        <v>15980</v>
      </c>
      <c r="J33" s="2" t="s">
        <v>15981</v>
      </c>
      <c r="K33" s="2" t="s">
        <v>29</v>
      </c>
      <c r="L33" s="2" t="s">
        <v>15982</v>
      </c>
      <c r="M33" s="2" t="s">
        <v>15983</v>
      </c>
      <c r="N33" s="2" t="s">
        <v>15984</v>
      </c>
      <c r="O33" s="2" t="s">
        <v>15985</v>
      </c>
      <c r="P33" s="2" t="s">
        <v>15986</v>
      </c>
      <c r="Q33" s="2" t="s">
        <v>15987</v>
      </c>
      <c r="R33" s="2" t="s">
        <v>355</v>
      </c>
      <c r="S33" s="2" t="s">
        <v>466</v>
      </c>
      <c r="T33" s="2" t="s">
        <v>467</v>
      </c>
      <c r="U33" s="2" t="s">
        <v>39</v>
      </c>
      <c r="V33" s="2" t="n">
        <v>1</v>
      </c>
    </row>
    <row r="34">
      <c r="A34" s="2" t="n">
        <v>33</v>
      </c>
      <c r="B34" s="2" t="s">
        <v>15988</v>
      </c>
      <c r="C34" s="2" t="n">
        <v>154.035950365</v>
      </c>
      <c r="D34" s="2" t="n">
        <v>0.383278905263493</v>
      </c>
      <c r="E34" s="2" t="s">
        <v>15989</v>
      </c>
      <c r="F34" s="2" t="s">
        <v>15649</v>
      </c>
      <c r="G34" s="2" t="s">
        <v>15990</v>
      </c>
      <c r="H34" s="2" t="s">
        <v>15991</v>
      </c>
      <c r="I34" s="2" t="s">
        <v>15992</v>
      </c>
      <c r="J34" s="2" t="s">
        <v>29</v>
      </c>
      <c r="K34" s="2" t="s">
        <v>29</v>
      </c>
      <c r="L34" s="2" t="s">
        <v>29</v>
      </c>
      <c r="M34" s="2" t="s">
        <v>15993</v>
      </c>
      <c r="N34" s="2" t="s">
        <v>15994</v>
      </c>
      <c r="O34" s="2" t="s">
        <v>29</v>
      </c>
      <c r="P34" s="2" t="s">
        <v>15995</v>
      </c>
      <c r="Q34" s="2" t="s">
        <v>15996</v>
      </c>
      <c r="R34" s="2" t="s">
        <v>355</v>
      </c>
      <c r="S34" s="2" t="s">
        <v>15997</v>
      </c>
      <c r="T34" s="2" t="s">
        <v>205</v>
      </c>
      <c r="U34" s="2" t="s">
        <v>29</v>
      </c>
      <c r="V34" s="2" t="n">
        <v>1</v>
      </c>
    </row>
    <row r="35">
      <c r="A35" s="2" t="n">
        <v>34</v>
      </c>
      <c r="B35" s="2" t="s">
        <v>15998</v>
      </c>
      <c r="C35" s="2" t="n">
        <v>154.052349358</v>
      </c>
      <c r="D35" s="2" t="n">
        <v>13.2500232521533</v>
      </c>
      <c r="E35" s="2" t="s">
        <v>15999</v>
      </c>
      <c r="F35" s="2" t="s">
        <v>15649</v>
      </c>
      <c r="G35" s="2" t="s">
        <v>16000</v>
      </c>
      <c r="H35" s="2" t="s">
        <v>16001</v>
      </c>
      <c r="I35" s="2" t="s">
        <v>16002</v>
      </c>
      <c r="J35" s="2" t="s">
        <v>29</v>
      </c>
      <c r="K35" s="2" t="s">
        <v>29</v>
      </c>
      <c r="L35" s="2" t="s">
        <v>29</v>
      </c>
      <c r="M35" s="2" t="s">
        <v>16003</v>
      </c>
      <c r="N35" s="2" t="s">
        <v>16004</v>
      </c>
      <c r="O35" s="2" t="s">
        <v>29</v>
      </c>
      <c r="P35" s="2" t="s">
        <v>16005</v>
      </c>
      <c r="Q35" s="2" t="s">
        <v>16006</v>
      </c>
      <c r="R35" s="2" t="s">
        <v>355</v>
      </c>
      <c r="S35" s="2" t="s">
        <v>466</v>
      </c>
      <c r="T35" s="2" t="s">
        <v>467</v>
      </c>
      <c r="U35" s="2" t="s">
        <v>29</v>
      </c>
      <c r="V35" s="2" t="n">
        <v>1</v>
      </c>
    </row>
    <row r="36">
      <c r="A36" s="2" t="n">
        <v>35</v>
      </c>
      <c r="B36" s="2" t="s">
        <v>16007</v>
      </c>
      <c r="C36" s="2" t="n">
        <v>155.019496944</v>
      </c>
      <c r="D36" s="2" t="n">
        <v>8.85015421434792</v>
      </c>
      <c r="E36" s="2" t="s">
        <v>16008</v>
      </c>
      <c r="F36" s="2" t="s">
        <v>15649</v>
      </c>
      <c r="G36" s="2" t="s">
        <v>16009</v>
      </c>
      <c r="H36" s="2" t="s">
        <v>16010</v>
      </c>
      <c r="I36" s="2" t="s">
        <v>16011</v>
      </c>
      <c r="J36" s="2" t="s">
        <v>29</v>
      </c>
      <c r="K36" s="2" t="s">
        <v>29</v>
      </c>
      <c r="L36" s="2" t="s">
        <v>16012</v>
      </c>
      <c r="M36" s="2" t="s">
        <v>16013</v>
      </c>
      <c r="N36" s="2" t="s">
        <v>16014</v>
      </c>
      <c r="O36" s="2" t="s">
        <v>29</v>
      </c>
      <c r="P36" s="2" t="s">
        <v>16015</v>
      </c>
      <c r="Q36" s="2" t="s">
        <v>16016</v>
      </c>
      <c r="R36" s="2" t="s">
        <v>64</v>
      </c>
      <c r="S36" s="2" t="s">
        <v>65</v>
      </c>
      <c r="T36" s="2" t="s">
        <v>2921</v>
      </c>
      <c r="U36" s="2" t="s">
        <v>39</v>
      </c>
      <c r="V36" s="2" t="n">
        <v>1</v>
      </c>
    </row>
    <row r="37">
      <c r="A37" s="2" t="n">
        <v>36</v>
      </c>
      <c r="B37" s="2" t="s">
        <v>16017</v>
      </c>
      <c r="C37" s="2" t="n">
        <v>155.045118061</v>
      </c>
      <c r="D37" s="2" t="n">
        <v>0.542804571716329</v>
      </c>
      <c r="E37" s="2" t="s">
        <v>16018</v>
      </c>
      <c r="F37" s="2" t="s">
        <v>15649</v>
      </c>
      <c r="G37" s="2" t="s">
        <v>16019</v>
      </c>
      <c r="H37" s="2" t="s">
        <v>16020</v>
      </c>
      <c r="I37" s="2" t="s">
        <v>16021</v>
      </c>
      <c r="J37" s="2" t="s">
        <v>16022</v>
      </c>
      <c r="K37" s="2" t="s">
        <v>72</v>
      </c>
      <c r="L37" s="2" t="s">
        <v>16023</v>
      </c>
      <c r="M37" s="2" t="s">
        <v>72</v>
      </c>
      <c r="N37" s="2" t="s">
        <v>16024</v>
      </c>
      <c r="O37" s="2" t="s">
        <v>16025</v>
      </c>
      <c r="P37" s="2" t="s">
        <v>16026</v>
      </c>
      <c r="Q37" s="2" t="s">
        <v>16027</v>
      </c>
      <c r="R37" s="2" t="s">
        <v>480</v>
      </c>
      <c r="S37" s="2" t="s">
        <v>481</v>
      </c>
      <c r="T37" s="2" t="s">
        <v>16028</v>
      </c>
      <c r="U37" s="2" t="s">
        <v>39</v>
      </c>
      <c r="V37" s="2" t="n">
        <v>2</v>
      </c>
    </row>
    <row r="38">
      <c r="A38" s="2" t="n">
        <v>37</v>
      </c>
      <c r="B38" s="2" t="s">
        <v>16029</v>
      </c>
      <c r="C38" s="2" t="n">
        <v>156.042136601</v>
      </c>
      <c r="D38" s="2" t="n">
        <v>8.46127724461188</v>
      </c>
      <c r="E38" s="2" t="s">
        <v>16030</v>
      </c>
      <c r="F38" s="2" t="s">
        <v>15919</v>
      </c>
      <c r="G38" s="2" t="s">
        <v>16031</v>
      </c>
      <c r="H38" s="2" t="s">
        <v>16032</v>
      </c>
      <c r="I38" s="2" t="s">
        <v>16033</v>
      </c>
      <c r="J38" s="2" t="s">
        <v>16034</v>
      </c>
      <c r="K38" s="2" t="s">
        <v>16035</v>
      </c>
      <c r="L38" s="2" t="s">
        <v>16036</v>
      </c>
      <c r="M38" s="2" t="s">
        <v>16037</v>
      </c>
      <c r="N38" s="2" t="s">
        <v>16038</v>
      </c>
      <c r="O38" s="2" t="s">
        <v>16039</v>
      </c>
      <c r="P38" s="2" t="s">
        <v>16040</v>
      </c>
      <c r="Q38" s="2" t="s">
        <v>16041</v>
      </c>
      <c r="R38" s="2" t="s">
        <v>715</v>
      </c>
      <c r="S38" s="2" t="s">
        <v>716</v>
      </c>
      <c r="T38" s="2" t="s">
        <v>717</v>
      </c>
      <c r="U38" s="2" t="s">
        <v>39</v>
      </c>
      <c r="V38" s="2" t="n">
        <v>2</v>
      </c>
    </row>
    <row r="39">
      <c r="A39" s="2" t="n">
        <v>38</v>
      </c>
      <c r="B39" s="2" t="s">
        <v>16042</v>
      </c>
      <c r="C39" s="2" t="n">
        <v>156.078522107</v>
      </c>
      <c r="D39" s="2" t="n">
        <v>0.211872850990205</v>
      </c>
      <c r="E39" s="2" t="s">
        <v>16043</v>
      </c>
      <c r="F39" s="2" t="s">
        <v>15919</v>
      </c>
      <c r="G39" s="2" t="s">
        <v>16044</v>
      </c>
      <c r="H39" s="2" t="s">
        <v>16045</v>
      </c>
      <c r="I39" s="2" t="s">
        <v>16046</v>
      </c>
      <c r="J39" s="2" t="s">
        <v>16047</v>
      </c>
      <c r="K39" s="2" t="s">
        <v>226</v>
      </c>
      <c r="L39" s="2" t="s">
        <v>226</v>
      </c>
      <c r="M39" s="2" t="s">
        <v>16048</v>
      </c>
      <c r="N39" s="2" t="s">
        <v>16049</v>
      </c>
      <c r="O39" s="2" t="s">
        <v>16050</v>
      </c>
      <c r="P39" s="2" t="s">
        <v>16051</v>
      </c>
      <c r="Q39" s="2" t="s">
        <v>16052</v>
      </c>
      <c r="R39" s="2" t="s">
        <v>16053</v>
      </c>
      <c r="S39" s="2" t="s">
        <v>16054</v>
      </c>
      <c r="T39" s="2" t="s">
        <v>16055</v>
      </c>
      <c r="U39" s="2" t="s">
        <v>29</v>
      </c>
      <c r="V39" s="2" t="n">
        <v>3</v>
      </c>
    </row>
    <row r="40">
      <c r="A40" s="2" t="n">
        <v>39</v>
      </c>
      <c r="B40" s="2" t="s">
        <v>16056</v>
      </c>
      <c r="C40" s="2" t="n">
        <v>158.036657293</v>
      </c>
      <c r="D40" s="2" t="n">
        <v>16.9579086792881</v>
      </c>
      <c r="E40" s="2" t="s">
        <v>16057</v>
      </c>
      <c r="F40" s="2" t="s">
        <v>15919</v>
      </c>
      <c r="G40" s="2" t="s">
        <v>16058</v>
      </c>
      <c r="H40" s="2" t="s">
        <v>16059</v>
      </c>
      <c r="I40" s="2" t="s">
        <v>16060</v>
      </c>
      <c r="J40" s="2" t="s">
        <v>16061</v>
      </c>
      <c r="K40" s="2" t="s">
        <v>72</v>
      </c>
      <c r="L40" s="2" t="s">
        <v>72</v>
      </c>
      <c r="M40" s="2" t="s">
        <v>16062</v>
      </c>
      <c r="N40" s="2" t="s">
        <v>16063</v>
      </c>
      <c r="O40" s="2" t="s">
        <v>72</v>
      </c>
      <c r="P40" s="2" t="s">
        <v>16064</v>
      </c>
      <c r="Q40" s="2" t="s">
        <v>16065</v>
      </c>
      <c r="R40" s="2" t="s">
        <v>537</v>
      </c>
      <c r="S40" s="2" t="s">
        <v>16066</v>
      </c>
      <c r="T40" s="2" t="s">
        <v>16067</v>
      </c>
      <c r="U40" s="2" t="s">
        <v>29</v>
      </c>
      <c r="V40" s="2" t="n">
        <v>2</v>
      </c>
    </row>
    <row r="41">
      <c r="A41" s="2" t="n">
        <v>40</v>
      </c>
      <c r="B41" s="2" t="s">
        <v>16068</v>
      </c>
      <c r="C41" s="2" t="n">
        <v>159.051854764</v>
      </c>
      <c r="D41" s="2" t="n">
        <v>0.517316580451172</v>
      </c>
      <c r="E41" s="2" t="s">
        <v>16069</v>
      </c>
      <c r="F41" s="2" t="s">
        <v>15611</v>
      </c>
      <c r="G41" s="2" t="s">
        <v>16070</v>
      </c>
      <c r="H41" s="2" t="s">
        <v>16071</v>
      </c>
      <c r="I41" s="2" t="s">
        <v>16072</v>
      </c>
      <c r="J41" s="2" t="s">
        <v>16073</v>
      </c>
      <c r="K41" s="2" t="s">
        <v>29</v>
      </c>
      <c r="L41" s="2" t="s">
        <v>16074</v>
      </c>
      <c r="M41" s="2" t="s">
        <v>16075</v>
      </c>
      <c r="N41" s="2" t="s">
        <v>16076</v>
      </c>
      <c r="O41" s="2" t="s">
        <v>16077</v>
      </c>
      <c r="P41" s="2" t="s">
        <v>16078</v>
      </c>
      <c r="Q41" s="2" t="s">
        <v>16079</v>
      </c>
      <c r="R41" s="2" t="s">
        <v>49</v>
      </c>
      <c r="S41" s="2" t="s">
        <v>165</v>
      </c>
      <c r="T41" s="2" t="s">
        <v>166</v>
      </c>
      <c r="U41" s="2" t="s">
        <v>39</v>
      </c>
      <c r="V41" s="2" t="n">
        <v>1</v>
      </c>
    </row>
    <row r="42">
      <c r="A42" s="2" t="n">
        <v>41</v>
      </c>
      <c r="B42" s="2" t="s">
        <v>16080</v>
      </c>
      <c r="C42" s="2" t="n">
        <v>161.029738506</v>
      </c>
      <c r="D42" s="2" t="n">
        <v>2.8646113900224</v>
      </c>
      <c r="E42" s="2" t="s">
        <v>16081</v>
      </c>
      <c r="F42" s="2" t="s">
        <v>15691</v>
      </c>
      <c r="G42" s="2" t="s">
        <v>16082</v>
      </c>
      <c r="H42" s="2" t="s">
        <v>16083</v>
      </c>
      <c r="I42" s="2" t="s">
        <v>16084</v>
      </c>
      <c r="J42" s="2" t="s">
        <v>16085</v>
      </c>
      <c r="K42" s="2" t="s">
        <v>72</v>
      </c>
      <c r="L42" s="2" t="s">
        <v>16086</v>
      </c>
      <c r="M42" s="2" t="s">
        <v>16087</v>
      </c>
      <c r="N42" s="2" t="s">
        <v>16088</v>
      </c>
      <c r="O42" s="2" t="s">
        <v>16089</v>
      </c>
      <c r="P42" s="2" t="s">
        <v>16090</v>
      </c>
      <c r="Q42" s="2" t="s">
        <v>16091</v>
      </c>
      <c r="R42" s="2" t="s">
        <v>16092</v>
      </c>
      <c r="S42" s="2" t="s">
        <v>16093</v>
      </c>
      <c r="T42" s="2" t="s">
        <v>16094</v>
      </c>
      <c r="U42" s="2" t="s">
        <v>39</v>
      </c>
      <c r="V42" s="2" t="n">
        <v>2</v>
      </c>
    </row>
    <row r="43">
      <c r="A43" s="2" t="n">
        <v>42</v>
      </c>
      <c r="B43" s="2" t="s">
        <v>16095</v>
      </c>
      <c r="C43" s="2" t="n">
        <v>164.074524387</v>
      </c>
      <c r="D43" s="2" t="n">
        <v>3.16788230398129</v>
      </c>
      <c r="E43" s="2" t="s">
        <v>16096</v>
      </c>
      <c r="F43" s="2" t="s">
        <v>15624</v>
      </c>
      <c r="G43" s="2" t="s">
        <v>16097</v>
      </c>
      <c r="H43" s="2" t="s">
        <v>16098</v>
      </c>
      <c r="I43" s="2" t="s">
        <v>16099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16100</v>
      </c>
      <c r="O43" s="2" t="s">
        <v>16101</v>
      </c>
      <c r="P43" s="2" t="s">
        <v>16102</v>
      </c>
      <c r="Q43" s="2" t="s">
        <v>16103</v>
      </c>
      <c r="R43" s="2" t="s">
        <v>49</v>
      </c>
      <c r="S43" s="2" t="s">
        <v>165</v>
      </c>
      <c r="T43" s="2" t="s">
        <v>166</v>
      </c>
      <c r="U43" s="2" t="s">
        <v>29</v>
      </c>
      <c r="V43" s="2" t="n">
        <v>1</v>
      </c>
    </row>
    <row r="44">
      <c r="A44" s="2" t="n">
        <v>43</v>
      </c>
      <c r="B44" s="2" t="s">
        <v>16104</v>
      </c>
      <c r="C44" s="2" t="n">
        <v>165.045866952</v>
      </c>
      <c r="D44" s="2" t="n">
        <v>4.11786715024368</v>
      </c>
      <c r="E44" s="2" t="s">
        <v>16105</v>
      </c>
      <c r="F44" s="2" t="s">
        <v>15649</v>
      </c>
      <c r="G44" s="2" t="s">
        <v>16106</v>
      </c>
      <c r="H44" s="2" t="s">
        <v>16107</v>
      </c>
      <c r="I44" s="2" t="s">
        <v>16108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16109</v>
      </c>
      <c r="O44" s="2" t="s">
        <v>29</v>
      </c>
      <c r="P44" s="2" t="s">
        <v>16110</v>
      </c>
      <c r="Q44" s="2" t="s">
        <v>16111</v>
      </c>
      <c r="R44" s="2" t="s">
        <v>355</v>
      </c>
      <c r="S44" s="2" t="s">
        <v>3533</v>
      </c>
      <c r="T44" s="2" t="s">
        <v>5248</v>
      </c>
      <c r="U44" s="2" t="s">
        <v>29</v>
      </c>
      <c r="V44" s="2" t="n">
        <v>1</v>
      </c>
    </row>
    <row r="45">
      <c r="A45" s="2" t="n">
        <v>44</v>
      </c>
      <c r="B45" s="2" t="s">
        <v>16112</v>
      </c>
      <c r="C45" s="2" t="n">
        <v>166.950618259</v>
      </c>
      <c r="D45" s="2" t="n">
        <v>9.00436846771052</v>
      </c>
      <c r="E45" s="2" t="s">
        <v>16113</v>
      </c>
      <c r="F45" s="2" t="s">
        <v>15919</v>
      </c>
      <c r="G45" s="2" t="s">
        <v>16114</v>
      </c>
      <c r="H45" s="2" t="s">
        <v>16115</v>
      </c>
      <c r="I45" s="2" t="s">
        <v>16116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16117</v>
      </c>
      <c r="O45" s="2" t="s">
        <v>29</v>
      </c>
      <c r="P45" s="2" t="s">
        <v>16118</v>
      </c>
      <c r="Q45" s="2" t="s">
        <v>16119</v>
      </c>
      <c r="R45" s="2" t="s">
        <v>49</v>
      </c>
      <c r="S45" s="2" t="s">
        <v>771</v>
      </c>
      <c r="T45" s="2" t="s">
        <v>772</v>
      </c>
      <c r="U45" s="2" t="s">
        <v>29</v>
      </c>
      <c r="V45" s="2" t="n">
        <v>1</v>
      </c>
    </row>
    <row r="46">
      <c r="A46" s="2" t="n">
        <v>45</v>
      </c>
      <c r="B46" s="2" t="s">
        <v>16120</v>
      </c>
      <c r="C46" s="2" t="n">
        <v>169.049534744</v>
      </c>
      <c r="D46" s="2" t="n">
        <v>2.42580504746288</v>
      </c>
      <c r="E46" s="2" t="s">
        <v>16121</v>
      </c>
      <c r="F46" s="2" t="s">
        <v>15778</v>
      </c>
      <c r="G46" s="2" t="s">
        <v>16122</v>
      </c>
      <c r="H46" s="2" t="s">
        <v>16123</v>
      </c>
      <c r="I46" s="2" t="s">
        <v>16124</v>
      </c>
      <c r="J46" s="2" t="s">
        <v>16125</v>
      </c>
      <c r="K46" s="2" t="s">
        <v>72</v>
      </c>
      <c r="L46" s="2" t="s">
        <v>16126</v>
      </c>
      <c r="M46" s="2" t="s">
        <v>16127</v>
      </c>
      <c r="N46" s="2" t="s">
        <v>16128</v>
      </c>
      <c r="O46" s="2" t="s">
        <v>16129</v>
      </c>
      <c r="P46" s="2" t="s">
        <v>16130</v>
      </c>
      <c r="Q46" s="2" t="s">
        <v>16131</v>
      </c>
      <c r="R46" s="2" t="s">
        <v>537</v>
      </c>
      <c r="S46" s="2" t="s">
        <v>16132</v>
      </c>
      <c r="T46" s="2" t="s">
        <v>16133</v>
      </c>
      <c r="U46" s="2" t="s">
        <v>39</v>
      </c>
      <c r="V46" s="2" t="n">
        <v>2</v>
      </c>
    </row>
    <row r="47">
      <c r="A47" s="2" t="n">
        <v>46</v>
      </c>
      <c r="B47" s="2" t="s">
        <v>16134</v>
      </c>
      <c r="C47" s="2" t="n">
        <v>170.061771349</v>
      </c>
      <c r="D47" s="2" t="n">
        <v>6.57449385365449</v>
      </c>
      <c r="E47" s="2" t="s">
        <v>16135</v>
      </c>
      <c r="F47" s="2" t="s">
        <v>15611</v>
      </c>
      <c r="G47" s="2" t="s">
        <v>16136</v>
      </c>
      <c r="H47" s="2" t="s">
        <v>16137</v>
      </c>
      <c r="I47" s="2" t="s">
        <v>16138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16139</v>
      </c>
      <c r="O47" s="2" t="s">
        <v>29</v>
      </c>
      <c r="P47" s="2" t="s">
        <v>16140</v>
      </c>
      <c r="Q47" s="2" t="s">
        <v>16141</v>
      </c>
      <c r="R47" s="2" t="s">
        <v>355</v>
      </c>
      <c r="S47" s="2" t="s">
        <v>1316</v>
      </c>
      <c r="T47" s="2" t="s">
        <v>16142</v>
      </c>
      <c r="U47" s="2" t="s">
        <v>29</v>
      </c>
      <c r="V47" s="2" t="n">
        <v>1</v>
      </c>
    </row>
    <row r="48">
      <c r="A48" s="2" t="n">
        <v>47</v>
      </c>
      <c r="B48" s="2" t="s">
        <v>16143</v>
      </c>
      <c r="C48" s="2" t="n">
        <v>171.011041227</v>
      </c>
      <c r="D48" s="2" t="n">
        <v>2.19998217711155</v>
      </c>
      <c r="E48" s="2" t="s">
        <v>16144</v>
      </c>
      <c r="F48" s="2" t="s">
        <v>15649</v>
      </c>
      <c r="G48" s="2" t="s">
        <v>16145</v>
      </c>
      <c r="H48" s="2" t="s">
        <v>16146</v>
      </c>
      <c r="I48" s="2" t="s">
        <v>16147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16148</v>
      </c>
      <c r="O48" s="2" t="s">
        <v>29</v>
      </c>
      <c r="P48" s="2" t="s">
        <v>16149</v>
      </c>
      <c r="Q48" s="2" t="s">
        <v>16150</v>
      </c>
      <c r="R48" s="2" t="s">
        <v>355</v>
      </c>
      <c r="S48" s="2" t="s">
        <v>1713</v>
      </c>
      <c r="T48" s="2" t="s">
        <v>205</v>
      </c>
      <c r="U48" s="2" t="s">
        <v>29</v>
      </c>
      <c r="V48" s="2" t="n">
        <v>1</v>
      </c>
    </row>
    <row r="49">
      <c r="A49" s="2" t="n">
        <v>48</v>
      </c>
      <c r="B49" s="2" t="s">
        <v>16151</v>
      </c>
      <c r="C49" s="2" t="n">
        <v>171.065773486</v>
      </c>
      <c r="D49" s="2" t="n">
        <v>3.0361324087668</v>
      </c>
      <c r="E49" s="2" t="s">
        <v>16152</v>
      </c>
      <c r="F49" s="2" t="s">
        <v>15611</v>
      </c>
      <c r="G49" s="2" t="s">
        <v>16153</v>
      </c>
      <c r="H49" s="2" t="s">
        <v>16154</v>
      </c>
      <c r="I49" s="2" t="s">
        <v>16155</v>
      </c>
      <c r="J49" s="2" t="s">
        <v>72</v>
      </c>
      <c r="K49" s="2" t="s">
        <v>72</v>
      </c>
      <c r="L49" s="2" t="s">
        <v>72</v>
      </c>
      <c r="M49" s="2" t="s">
        <v>16156</v>
      </c>
      <c r="N49" s="2" t="s">
        <v>16157</v>
      </c>
      <c r="O49" s="2" t="s">
        <v>72</v>
      </c>
      <c r="P49" s="2" t="s">
        <v>16158</v>
      </c>
      <c r="Q49" s="2" t="s">
        <v>16159</v>
      </c>
      <c r="R49" s="2" t="s">
        <v>715</v>
      </c>
      <c r="S49" s="2" t="s">
        <v>16160</v>
      </c>
      <c r="T49" s="2" t="s">
        <v>16161</v>
      </c>
      <c r="U49" s="2" t="s">
        <v>29</v>
      </c>
      <c r="V49" s="2" t="n">
        <v>2</v>
      </c>
    </row>
    <row r="50">
      <c r="A50" s="2" t="n">
        <v>49</v>
      </c>
      <c r="B50" s="2" t="s">
        <v>16162</v>
      </c>
      <c r="C50" s="2" t="n">
        <v>175.04538857</v>
      </c>
      <c r="D50" s="2" t="n">
        <v>1.67596818311275</v>
      </c>
      <c r="E50" s="2" t="s">
        <v>16163</v>
      </c>
      <c r="F50" s="2" t="s">
        <v>15691</v>
      </c>
      <c r="G50" s="2" t="s">
        <v>16164</v>
      </c>
      <c r="H50" s="2" t="s">
        <v>16165</v>
      </c>
      <c r="I50" s="2" t="s">
        <v>16166</v>
      </c>
      <c r="J50" s="2" t="s">
        <v>16167</v>
      </c>
      <c r="K50" s="2" t="s">
        <v>226</v>
      </c>
      <c r="L50" s="2" t="s">
        <v>226</v>
      </c>
      <c r="M50" s="2" t="s">
        <v>226</v>
      </c>
      <c r="N50" s="2" t="s">
        <v>16168</v>
      </c>
      <c r="O50" s="2" t="s">
        <v>16169</v>
      </c>
      <c r="P50" s="2" t="s">
        <v>16170</v>
      </c>
      <c r="Q50" s="2" t="s">
        <v>16171</v>
      </c>
      <c r="R50" s="2" t="s">
        <v>312</v>
      </c>
      <c r="S50" s="2" t="s">
        <v>313</v>
      </c>
      <c r="T50" s="2" t="s">
        <v>314</v>
      </c>
      <c r="U50" s="2" t="s">
        <v>29</v>
      </c>
      <c r="V50" s="2" t="n">
        <v>3</v>
      </c>
    </row>
    <row r="51">
      <c r="A51" s="2" t="n">
        <v>50</v>
      </c>
      <c r="B51" s="2" t="s">
        <v>16172</v>
      </c>
      <c r="C51" s="2" t="n">
        <v>175.118951712</v>
      </c>
      <c r="D51" s="2" t="n">
        <v>7.84499471172899</v>
      </c>
      <c r="E51" s="2" t="s">
        <v>16173</v>
      </c>
      <c r="F51" s="2" t="s">
        <v>15649</v>
      </c>
      <c r="G51" s="2" t="s">
        <v>16174</v>
      </c>
      <c r="H51" s="2" t="s">
        <v>16175</v>
      </c>
      <c r="I51" s="2" t="s">
        <v>16176</v>
      </c>
      <c r="J51" s="2" t="s">
        <v>16177</v>
      </c>
      <c r="K51" s="2" t="s">
        <v>72</v>
      </c>
      <c r="L51" s="2" t="s">
        <v>16178</v>
      </c>
      <c r="M51" s="2" t="s">
        <v>16179</v>
      </c>
      <c r="N51" s="2" t="s">
        <v>16180</v>
      </c>
      <c r="O51" s="2" t="s">
        <v>16181</v>
      </c>
      <c r="P51" s="2" t="s">
        <v>16182</v>
      </c>
      <c r="Q51" s="2" t="s">
        <v>16183</v>
      </c>
      <c r="R51" s="2" t="s">
        <v>715</v>
      </c>
      <c r="S51" s="2" t="s">
        <v>716</v>
      </c>
      <c r="T51" s="2" t="s">
        <v>717</v>
      </c>
      <c r="U51" s="2" t="s">
        <v>39</v>
      </c>
      <c r="V51" s="2" t="n">
        <v>2</v>
      </c>
    </row>
    <row r="52">
      <c r="A52" s="2" t="n">
        <v>51</v>
      </c>
      <c r="B52" s="2" t="s">
        <v>16184</v>
      </c>
      <c r="C52" s="2" t="n">
        <v>176.010836473</v>
      </c>
      <c r="D52" s="2" t="n">
        <v>8.16743151956928</v>
      </c>
      <c r="E52" s="2" t="s">
        <v>16185</v>
      </c>
      <c r="F52" s="2" t="s">
        <v>15919</v>
      </c>
      <c r="G52" s="2" t="s">
        <v>16186</v>
      </c>
      <c r="H52" s="2" t="s">
        <v>16187</v>
      </c>
      <c r="I52" s="2" t="s">
        <v>16188</v>
      </c>
      <c r="J52" s="2" t="s">
        <v>16189</v>
      </c>
      <c r="K52" s="2" t="s">
        <v>226</v>
      </c>
      <c r="L52" s="2" t="s">
        <v>16190</v>
      </c>
      <c r="M52" s="2" t="s">
        <v>16191</v>
      </c>
      <c r="N52" s="2" t="s">
        <v>16192</v>
      </c>
      <c r="O52" s="2" t="s">
        <v>16193</v>
      </c>
      <c r="P52" s="2" t="s">
        <v>16194</v>
      </c>
      <c r="Q52" s="2" t="s">
        <v>16195</v>
      </c>
      <c r="R52" s="2" t="s">
        <v>16196</v>
      </c>
      <c r="S52" s="2" t="s">
        <v>16197</v>
      </c>
      <c r="T52" s="2" t="s">
        <v>16198</v>
      </c>
      <c r="U52" s="2" t="s">
        <v>39</v>
      </c>
      <c r="V52" s="2" t="n">
        <v>3</v>
      </c>
    </row>
    <row r="53">
      <c r="A53" s="2" t="n">
        <v>52</v>
      </c>
      <c r="B53" s="2" t="s">
        <v>16199</v>
      </c>
      <c r="C53" s="2" t="n">
        <v>176.047221979</v>
      </c>
      <c r="D53" s="2" t="n">
        <v>4.96009313749209</v>
      </c>
      <c r="E53" s="2" t="s">
        <v>16200</v>
      </c>
      <c r="F53" s="2" t="s">
        <v>15919</v>
      </c>
      <c r="G53" s="2" t="s">
        <v>16201</v>
      </c>
      <c r="H53" s="2" t="s">
        <v>16202</v>
      </c>
      <c r="I53" s="2" t="s">
        <v>16203</v>
      </c>
      <c r="J53" s="2" t="s">
        <v>16204</v>
      </c>
      <c r="K53" s="2" t="s">
        <v>72</v>
      </c>
      <c r="L53" s="2" t="s">
        <v>16205</v>
      </c>
      <c r="M53" s="2" t="s">
        <v>16206</v>
      </c>
      <c r="N53" s="2" t="s">
        <v>16207</v>
      </c>
      <c r="O53" s="2" t="s">
        <v>16208</v>
      </c>
      <c r="P53" s="2" t="s">
        <v>16209</v>
      </c>
      <c r="Q53" s="2" t="s">
        <v>16210</v>
      </c>
      <c r="R53" s="2" t="s">
        <v>16211</v>
      </c>
      <c r="S53" s="2" t="s">
        <v>16212</v>
      </c>
      <c r="T53" s="2" t="s">
        <v>16213</v>
      </c>
      <c r="U53" s="2" t="s">
        <v>39</v>
      </c>
      <c r="V53" s="2" t="n">
        <v>2</v>
      </c>
    </row>
    <row r="54">
      <c r="A54" s="2" t="n">
        <v>53</v>
      </c>
      <c r="B54" s="2" t="s">
        <v>16214</v>
      </c>
      <c r="C54" s="2" t="n">
        <v>176.121594249</v>
      </c>
      <c r="D54" s="2" t="n">
        <v>0.381589069359432</v>
      </c>
      <c r="E54" s="2" t="s">
        <v>16215</v>
      </c>
      <c r="F54" s="2" t="s">
        <v>15649</v>
      </c>
      <c r="G54" s="2" t="s">
        <v>16216</v>
      </c>
      <c r="H54" s="2" t="s">
        <v>16217</v>
      </c>
      <c r="I54" s="2" t="s">
        <v>16218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16219</v>
      </c>
      <c r="O54" s="2" t="s">
        <v>29</v>
      </c>
      <c r="P54" s="2" t="s">
        <v>16220</v>
      </c>
      <c r="Q54" s="2" t="s">
        <v>16221</v>
      </c>
      <c r="R54" s="2" t="s">
        <v>638</v>
      </c>
      <c r="S54" s="2" t="s">
        <v>16222</v>
      </c>
      <c r="T54" s="2" t="s">
        <v>205</v>
      </c>
      <c r="U54" s="2" t="s">
        <v>29</v>
      </c>
      <c r="V54" s="2" t="n">
        <v>1</v>
      </c>
    </row>
    <row r="55">
      <c r="A55" s="2" t="n">
        <v>54</v>
      </c>
      <c r="B55" s="2" t="s">
        <v>16223</v>
      </c>
      <c r="C55" s="2" t="n">
        <v>183.05035029</v>
      </c>
      <c r="D55" s="2" t="n">
        <v>6.54294105721477</v>
      </c>
      <c r="E55" s="2" t="s">
        <v>16224</v>
      </c>
      <c r="F55" s="2" t="s">
        <v>16225</v>
      </c>
      <c r="G55" s="2" t="s">
        <v>16226</v>
      </c>
      <c r="H55" s="2" t="s">
        <v>16227</v>
      </c>
      <c r="I55" s="2" t="s">
        <v>16228</v>
      </c>
      <c r="J55" s="2" t="s">
        <v>226</v>
      </c>
      <c r="K55" s="2" t="s">
        <v>226</v>
      </c>
      <c r="L55" s="2" t="s">
        <v>226</v>
      </c>
      <c r="M55" s="2" t="s">
        <v>226</v>
      </c>
      <c r="N55" s="2" t="s">
        <v>16229</v>
      </c>
      <c r="O55" s="2" t="s">
        <v>226</v>
      </c>
      <c r="P55" s="2" t="s">
        <v>16230</v>
      </c>
      <c r="Q55" s="2" t="s">
        <v>16231</v>
      </c>
      <c r="R55" s="2" t="s">
        <v>16232</v>
      </c>
      <c r="S55" s="2" t="s">
        <v>16233</v>
      </c>
      <c r="T55" s="2" t="s">
        <v>16234</v>
      </c>
      <c r="U55" s="2" t="s">
        <v>29</v>
      </c>
      <c r="V55" s="2" t="n">
        <v>3</v>
      </c>
    </row>
    <row r="56">
      <c r="A56" s="2" t="n">
        <v>55</v>
      </c>
      <c r="B56" s="2" t="s">
        <v>16235</v>
      </c>
      <c r="C56" s="2" t="n">
        <v>186.039698339</v>
      </c>
      <c r="D56" s="2" t="n">
        <v>3.15530506711327</v>
      </c>
      <c r="E56" s="2" t="s">
        <v>16236</v>
      </c>
      <c r="F56" s="2" t="s">
        <v>15649</v>
      </c>
      <c r="G56" s="2" t="s">
        <v>16237</v>
      </c>
      <c r="H56" s="2" t="s">
        <v>16238</v>
      </c>
      <c r="I56" s="2" t="s">
        <v>16239</v>
      </c>
      <c r="J56" s="2" t="s">
        <v>16240</v>
      </c>
      <c r="K56" s="2" t="s">
        <v>29</v>
      </c>
      <c r="L56" s="2" t="s">
        <v>16241</v>
      </c>
      <c r="M56" s="2" t="s">
        <v>16242</v>
      </c>
      <c r="N56" s="2" t="s">
        <v>16243</v>
      </c>
      <c r="O56" s="2" t="s">
        <v>16244</v>
      </c>
      <c r="P56" s="2" t="s">
        <v>16245</v>
      </c>
      <c r="Q56" s="2" t="s">
        <v>16246</v>
      </c>
      <c r="R56" s="2" t="s">
        <v>49</v>
      </c>
      <c r="S56" s="2" t="s">
        <v>165</v>
      </c>
      <c r="T56" s="2" t="s">
        <v>166</v>
      </c>
      <c r="U56" s="2" t="s">
        <v>39</v>
      </c>
      <c r="V56" s="2" t="n">
        <v>1</v>
      </c>
    </row>
    <row r="57">
      <c r="A57" s="2" t="n">
        <v>56</v>
      </c>
      <c r="B57" s="2" t="s">
        <v>16247</v>
      </c>
      <c r="C57" s="2" t="n">
        <v>187.042341356</v>
      </c>
      <c r="D57" s="2" t="n">
        <v>5.24017664553691</v>
      </c>
      <c r="E57" s="2" t="s">
        <v>16248</v>
      </c>
      <c r="F57" s="2" t="s">
        <v>15649</v>
      </c>
      <c r="G57" s="2" t="s">
        <v>16249</v>
      </c>
      <c r="H57" s="2" t="s">
        <v>16250</v>
      </c>
      <c r="I57" s="2" t="s">
        <v>16251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16252</v>
      </c>
      <c r="Q57" s="2" t="s">
        <v>16253</v>
      </c>
      <c r="R57" s="2" t="s">
        <v>355</v>
      </c>
      <c r="S57" s="2" t="s">
        <v>1713</v>
      </c>
      <c r="T57" s="2" t="s">
        <v>205</v>
      </c>
      <c r="U57" s="2" t="s">
        <v>29</v>
      </c>
      <c r="V57" s="2" t="n">
        <v>1</v>
      </c>
    </row>
    <row r="58">
      <c r="A58" s="2" t="n">
        <v>57</v>
      </c>
      <c r="B58" s="2" t="s">
        <v>16254</v>
      </c>
      <c r="C58" s="2" t="n">
        <v>187.073102375</v>
      </c>
      <c r="D58" s="2" t="n">
        <v>4.96934383970759</v>
      </c>
      <c r="E58" s="2" t="s">
        <v>16255</v>
      </c>
      <c r="F58" s="2" t="s">
        <v>15919</v>
      </c>
      <c r="G58" s="2" t="s">
        <v>16256</v>
      </c>
      <c r="H58" s="2" t="s">
        <v>16257</v>
      </c>
      <c r="I58" s="2" t="s">
        <v>16258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16259</v>
      </c>
      <c r="Q58" s="2" t="s">
        <v>16260</v>
      </c>
      <c r="R58" s="2" t="s">
        <v>64</v>
      </c>
      <c r="S58" s="2" t="s">
        <v>65</v>
      </c>
      <c r="T58" s="2" t="s">
        <v>10788</v>
      </c>
      <c r="U58" s="2" t="s">
        <v>29</v>
      </c>
      <c r="V58" s="2" t="n">
        <v>1</v>
      </c>
    </row>
    <row r="59">
      <c r="A59" s="2" t="n">
        <v>58</v>
      </c>
      <c r="B59" s="2" t="s">
        <v>16261</v>
      </c>
      <c r="C59" s="2" t="n">
        <v>188.143964235</v>
      </c>
      <c r="D59" s="2" t="n">
        <v>6.29595922057498</v>
      </c>
      <c r="E59" s="2" t="s">
        <v>16262</v>
      </c>
      <c r="F59" s="2" t="s">
        <v>15611</v>
      </c>
      <c r="G59" s="2" t="s">
        <v>16263</v>
      </c>
      <c r="H59" s="2" t="s">
        <v>16264</v>
      </c>
      <c r="I59" s="2" t="s">
        <v>16265</v>
      </c>
      <c r="J59" s="2" t="s">
        <v>16266</v>
      </c>
      <c r="K59" s="2" t="s">
        <v>29</v>
      </c>
      <c r="L59" s="2" t="s">
        <v>16267</v>
      </c>
      <c r="M59" s="2" t="s">
        <v>16268</v>
      </c>
      <c r="N59" s="2" t="s">
        <v>16269</v>
      </c>
      <c r="O59" s="2" t="s">
        <v>16270</v>
      </c>
      <c r="P59" s="2" t="s">
        <v>16271</v>
      </c>
      <c r="Q59" s="2" t="s">
        <v>16272</v>
      </c>
      <c r="R59" s="2" t="s">
        <v>64</v>
      </c>
      <c r="S59" s="2" t="s">
        <v>65</v>
      </c>
      <c r="T59" s="2" t="s">
        <v>91</v>
      </c>
      <c r="U59" s="2" t="s">
        <v>39</v>
      </c>
      <c r="V59" s="2" t="n">
        <v>1</v>
      </c>
    </row>
    <row r="60">
      <c r="A60" s="2" t="n">
        <v>59</v>
      </c>
      <c r="B60" s="2" t="s">
        <v>16273</v>
      </c>
      <c r="C60" s="2" t="n">
        <v>189.052212186</v>
      </c>
      <c r="D60" s="2" t="n">
        <v>5.44986046466908</v>
      </c>
      <c r="E60" s="2" t="s">
        <v>16274</v>
      </c>
      <c r="F60" s="2" t="s">
        <v>15858</v>
      </c>
      <c r="G60" s="2" t="s">
        <v>16275</v>
      </c>
      <c r="H60" s="2" t="s">
        <v>16276</v>
      </c>
      <c r="I60" s="2" t="s">
        <v>16277</v>
      </c>
      <c r="J60" s="2" t="s">
        <v>16278</v>
      </c>
      <c r="K60" s="2" t="s">
        <v>226</v>
      </c>
      <c r="L60" s="2" t="s">
        <v>16279</v>
      </c>
      <c r="M60" s="2" t="s">
        <v>16280</v>
      </c>
      <c r="N60" s="2" t="s">
        <v>16281</v>
      </c>
      <c r="O60" s="2" t="s">
        <v>16282</v>
      </c>
      <c r="P60" s="2" t="s">
        <v>16283</v>
      </c>
      <c r="Q60" s="2" t="s">
        <v>16284</v>
      </c>
      <c r="R60" s="2" t="s">
        <v>5230</v>
      </c>
      <c r="S60" s="2" t="s">
        <v>16285</v>
      </c>
      <c r="T60" s="2" t="s">
        <v>15646</v>
      </c>
      <c r="U60" s="2" t="s">
        <v>39</v>
      </c>
      <c r="V60" s="2" t="n">
        <v>3</v>
      </c>
    </row>
    <row r="61">
      <c r="A61" s="2" t="n">
        <v>60</v>
      </c>
      <c r="B61" s="2" t="s">
        <v>16286</v>
      </c>
      <c r="C61" s="2" t="n">
        <v>189.134601776</v>
      </c>
      <c r="D61" s="2" t="n">
        <v>0.466628638270566</v>
      </c>
      <c r="E61" s="2" t="s">
        <v>16287</v>
      </c>
      <c r="F61" s="2" t="s">
        <v>15649</v>
      </c>
      <c r="G61" s="2" t="s">
        <v>16288</v>
      </c>
      <c r="H61" s="2" t="s">
        <v>16289</v>
      </c>
      <c r="I61" s="2" t="s">
        <v>16290</v>
      </c>
      <c r="J61" s="2" t="s">
        <v>16291</v>
      </c>
      <c r="K61" s="2" t="s">
        <v>72</v>
      </c>
      <c r="L61" s="2" t="s">
        <v>16292</v>
      </c>
      <c r="M61" s="2" t="s">
        <v>16293</v>
      </c>
      <c r="N61" s="2" t="s">
        <v>16294</v>
      </c>
      <c r="O61" s="2" t="s">
        <v>16295</v>
      </c>
      <c r="P61" s="2" t="s">
        <v>16296</v>
      </c>
      <c r="Q61" s="2" t="s">
        <v>16297</v>
      </c>
      <c r="R61" s="2" t="s">
        <v>715</v>
      </c>
      <c r="S61" s="2" t="s">
        <v>716</v>
      </c>
      <c r="T61" s="2" t="s">
        <v>717</v>
      </c>
      <c r="U61" s="2" t="s">
        <v>39</v>
      </c>
      <c r="V61" s="2" t="n">
        <v>2</v>
      </c>
    </row>
    <row r="62">
      <c r="A62" s="2" t="n">
        <v>61</v>
      </c>
      <c r="B62" s="2" t="s">
        <v>16298</v>
      </c>
      <c r="C62" s="2" t="n">
        <v>199.084335766</v>
      </c>
      <c r="D62" s="2" t="n">
        <v>2.60923309585497</v>
      </c>
      <c r="E62" s="2" t="s">
        <v>16299</v>
      </c>
      <c r="F62" s="2" t="s">
        <v>15919</v>
      </c>
      <c r="G62" s="2" t="s">
        <v>16300</v>
      </c>
      <c r="H62" s="2" t="s">
        <v>16301</v>
      </c>
      <c r="I62" s="2" t="s">
        <v>16302</v>
      </c>
      <c r="J62" s="2" t="s">
        <v>16303</v>
      </c>
      <c r="K62" s="2" t="s">
        <v>29</v>
      </c>
      <c r="L62" s="2" t="s">
        <v>16304</v>
      </c>
      <c r="M62" s="2" t="s">
        <v>16305</v>
      </c>
      <c r="N62" s="2" t="s">
        <v>16306</v>
      </c>
      <c r="O62" s="2" t="s">
        <v>16307</v>
      </c>
      <c r="P62" s="2" t="s">
        <v>16308</v>
      </c>
      <c r="Q62" s="2" t="s">
        <v>16309</v>
      </c>
      <c r="R62" s="2" t="s">
        <v>49</v>
      </c>
      <c r="S62" s="2" t="s">
        <v>165</v>
      </c>
      <c r="T62" s="2" t="s">
        <v>166</v>
      </c>
      <c r="U62" s="2" t="s">
        <v>39</v>
      </c>
      <c r="V62" s="2" t="n">
        <v>1</v>
      </c>
    </row>
    <row r="63">
      <c r="A63" s="2" t="n">
        <v>62</v>
      </c>
      <c r="B63" s="2" t="s">
        <v>16310</v>
      </c>
      <c r="C63" s="2" t="n">
        <v>201.088597692</v>
      </c>
      <c r="D63" s="2" t="n">
        <v>2.53600038449552</v>
      </c>
      <c r="E63" s="2" t="s">
        <v>16311</v>
      </c>
      <c r="F63" s="2" t="s">
        <v>15858</v>
      </c>
      <c r="G63" s="2" t="s">
        <v>16312</v>
      </c>
      <c r="H63" s="2" t="s">
        <v>16313</v>
      </c>
      <c r="I63" s="2" t="s">
        <v>16314</v>
      </c>
      <c r="J63" s="2" t="s">
        <v>16315</v>
      </c>
      <c r="K63" s="2" t="s">
        <v>226</v>
      </c>
      <c r="L63" s="2" t="s">
        <v>16316</v>
      </c>
      <c r="M63" s="2" t="s">
        <v>16317</v>
      </c>
      <c r="N63" s="2" t="s">
        <v>16318</v>
      </c>
      <c r="O63" s="2" t="s">
        <v>16319</v>
      </c>
      <c r="P63" s="2" t="s">
        <v>16320</v>
      </c>
      <c r="Q63" s="2" t="s">
        <v>16321</v>
      </c>
      <c r="R63" s="2" t="s">
        <v>3699</v>
      </c>
      <c r="S63" s="2" t="s">
        <v>3700</v>
      </c>
      <c r="T63" s="2" t="s">
        <v>16322</v>
      </c>
      <c r="U63" s="2" t="s">
        <v>39</v>
      </c>
      <c r="V63" s="2" t="n">
        <v>3</v>
      </c>
    </row>
    <row r="64">
      <c r="A64" s="2" t="n">
        <v>63</v>
      </c>
      <c r="B64" s="2" t="s">
        <v>16323</v>
      </c>
      <c r="C64" s="2" t="n">
        <v>203.08150357</v>
      </c>
      <c r="D64" s="2" t="n">
        <v>11.3707422423321</v>
      </c>
      <c r="E64" s="2" t="s">
        <v>16324</v>
      </c>
      <c r="F64" s="2" t="s">
        <v>15649</v>
      </c>
      <c r="G64" s="2" t="s">
        <v>16325</v>
      </c>
      <c r="H64" s="2" t="s">
        <v>16326</v>
      </c>
      <c r="I64" s="2" t="s">
        <v>16327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16328</v>
      </c>
      <c r="O64" s="2" t="s">
        <v>29</v>
      </c>
      <c r="P64" s="2" t="s">
        <v>16329</v>
      </c>
      <c r="Q64" s="2" t="s">
        <v>16330</v>
      </c>
      <c r="R64" s="2" t="s">
        <v>355</v>
      </c>
      <c r="S64" s="2" t="s">
        <v>3533</v>
      </c>
      <c r="T64" s="2" t="s">
        <v>3534</v>
      </c>
      <c r="U64" s="2" t="s">
        <v>29</v>
      </c>
      <c r="V64" s="2" t="n">
        <v>1</v>
      </c>
    </row>
    <row r="65">
      <c r="A65" s="2" t="n">
        <v>64</v>
      </c>
      <c r="B65" s="2" t="s">
        <v>16331</v>
      </c>
      <c r="C65" s="2" t="n">
        <v>204.105864169</v>
      </c>
      <c r="D65" s="2" t="n">
        <v>5.82384228944225</v>
      </c>
      <c r="E65" s="2" t="s">
        <v>16332</v>
      </c>
      <c r="F65" s="2" t="s">
        <v>15611</v>
      </c>
      <c r="G65" s="2" t="s">
        <v>16333</v>
      </c>
      <c r="H65" s="2" t="s">
        <v>16334</v>
      </c>
      <c r="I65" s="2" t="s">
        <v>16335</v>
      </c>
      <c r="J65" s="2" t="s">
        <v>16336</v>
      </c>
      <c r="K65" s="2" t="s">
        <v>29</v>
      </c>
      <c r="L65" s="2" t="s">
        <v>29</v>
      </c>
      <c r="M65" s="2" t="s">
        <v>29</v>
      </c>
      <c r="N65" s="2" t="s">
        <v>16337</v>
      </c>
      <c r="O65" s="2" t="s">
        <v>29</v>
      </c>
      <c r="P65" s="2" t="s">
        <v>16338</v>
      </c>
      <c r="Q65" s="2" t="s">
        <v>16339</v>
      </c>
      <c r="R65" s="2" t="s">
        <v>36</v>
      </c>
      <c r="S65" s="2" t="s">
        <v>37</v>
      </c>
      <c r="T65" s="2" t="s">
        <v>16340</v>
      </c>
      <c r="U65" s="2" t="s">
        <v>29</v>
      </c>
      <c r="V65" s="2" t="n">
        <v>1</v>
      </c>
    </row>
    <row r="66">
      <c r="A66" s="2" t="n">
        <v>65</v>
      </c>
      <c r="B66" s="2" t="s">
        <v>16341</v>
      </c>
      <c r="C66" s="2" t="n">
        <v>205.057613784</v>
      </c>
      <c r="D66" s="2" t="n">
        <v>0.344389012189302</v>
      </c>
      <c r="E66" s="2" t="s">
        <v>16342</v>
      </c>
      <c r="F66" s="2" t="s">
        <v>15778</v>
      </c>
      <c r="G66" s="2" t="s">
        <v>16343</v>
      </c>
      <c r="H66" s="2" t="s">
        <v>16344</v>
      </c>
      <c r="I66" s="2" t="s">
        <v>16345</v>
      </c>
      <c r="J66" s="2" t="s">
        <v>16346</v>
      </c>
      <c r="K66" s="2" t="s">
        <v>29</v>
      </c>
      <c r="L66" s="2" t="s">
        <v>16347</v>
      </c>
      <c r="M66" s="2" t="s">
        <v>29</v>
      </c>
      <c r="N66" s="2" t="s">
        <v>16348</v>
      </c>
      <c r="O66" s="2" t="s">
        <v>16349</v>
      </c>
      <c r="P66" s="2" t="s">
        <v>16350</v>
      </c>
      <c r="Q66" s="2" t="s">
        <v>16351</v>
      </c>
      <c r="R66" s="2" t="s">
        <v>355</v>
      </c>
      <c r="S66" s="2" t="s">
        <v>3110</v>
      </c>
      <c r="T66" s="2" t="s">
        <v>3111</v>
      </c>
      <c r="U66" s="2" t="s">
        <v>39</v>
      </c>
      <c r="V66" s="2" t="n">
        <v>1</v>
      </c>
    </row>
    <row r="67">
      <c r="A67" s="2" t="n">
        <v>66</v>
      </c>
      <c r="B67" s="2" t="s">
        <v>16352</v>
      </c>
      <c r="C67" s="2" t="n">
        <v>208.064393761</v>
      </c>
      <c r="D67" s="2" t="n">
        <v>5.82906009019038</v>
      </c>
      <c r="E67" s="2" t="s">
        <v>16353</v>
      </c>
      <c r="F67" s="2" t="s">
        <v>15611</v>
      </c>
      <c r="G67" s="2" t="s">
        <v>16354</v>
      </c>
      <c r="H67" s="2" t="s">
        <v>16355</v>
      </c>
      <c r="I67" s="2" t="s">
        <v>16356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16357</v>
      </c>
      <c r="O67" s="2" t="s">
        <v>29</v>
      </c>
      <c r="P67" s="2" t="s">
        <v>16358</v>
      </c>
      <c r="Q67" s="2" t="s">
        <v>16359</v>
      </c>
      <c r="R67" s="2" t="s">
        <v>355</v>
      </c>
      <c r="S67" s="2" t="s">
        <v>6690</v>
      </c>
      <c r="T67" s="2" t="s">
        <v>6691</v>
      </c>
      <c r="U67" s="2" t="s">
        <v>29</v>
      </c>
      <c r="V67" s="2" t="n">
        <v>1</v>
      </c>
    </row>
    <row r="68">
      <c r="A68" s="2" t="n">
        <v>67</v>
      </c>
      <c r="B68" s="2" t="s">
        <v>16360</v>
      </c>
      <c r="C68" s="2" t="n">
        <v>208.117948659</v>
      </c>
      <c r="D68" s="2" t="n">
        <v>0.964508073026151</v>
      </c>
      <c r="E68" s="2" t="s">
        <v>16361</v>
      </c>
      <c r="F68" s="2" t="s">
        <v>15649</v>
      </c>
      <c r="G68" s="2" t="s">
        <v>16362</v>
      </c>
      <c r="H68" s="2" t="s">
        <v>16363</v>
      </c>
      <c r="I68" s="2" t="s">
        <v>16364</v>
      </c>
      <c r="J68" s="2" t="s">
        <v>16365</v>
      </c>
      <c r="K68" s="2" t="s">
        <v>29</v>
      </c>
      <c r="L68" s="2" t="s">
        <v>16366</v>
      </c>
      <c r="M68" s="2" t="s">
        <v>16367</v>
      </c>
      <c r="N68" s="2" t="s">
        <v>16368</v>
      </c>
      <c r="O68" s="2" t="s">
        <v>16369</v>
      </c>
      <c r="P68" s="2" t="s">
        <v>16370</v>
      </c>
      <c r="Q68" s="2" t="s">
        <v>16371</v>
      </c>
      <c r="R68" s="2" t="s">
        <v>355</v>
      </c>
      <c r="S68" s="2" t="s">
        <v>1580</v>
      </c>
      <c r="T68" s="2" t="s">
        <v>205</v>
      </c>
      <c r="U68" s="2" t="s">
        <v>39</v>
      </c>
      <c r="V68" s="2" t="n">
        <v>1</v>
      </c>
    </row>
    <row r="69">
      <c r="A69" s="2" t="n">
        <v>68</v>
      </c>
      <c r="B69" s="2" t="s">
        <v>16372</v>
      </c>
      <c r="C69" s="2" t="n">
        <v>208.976615175</v>
      </c>
      <c r="D69" s="2" t="n">
        <v>18.3560830213029</v>
      </c>
      <c r="E69" s="2" t="s">
        <v>16373</v>
      </c>
      <c r="F69" s="2" t="s">
        <v>15919</v>
      </c>
      <c r="G69" s="2" t="s">
        <v>16374</v>
      </c>
      <c r="H69" s="2" t="s">
        <v>16375</v>
      </c>
      <c r="I69" s="2" t="s">
        <v>16376</v>
      </c>
      <c r="J69" s="2" t="s">
        <v>16377</v>
      </c>
      <c r="K69" s="2" t="s">
        <v>29</v>
      </c>
      <c r="L69" s="2" t="s">
        <v>16378</v>
      </c>
      <c r="M69" s="2" t="s">
        <v>16379</v>
      </c>
      <c r="N69" s="2" t="s">
        <v>16380</v>
      </c>
      <c r="O69" s="2" t="s">
        <v>16381</v>
      </c>
      <c r="P69" s="2" t="s">
        <v>16382</v>
      </c>
      <c r="Q69" s="2" t="s">
        <v>16383</v>
      </c>
      <c r="R69" s="2" t="s">
        <v>502</v>
      </c>
      <c r="S69" s="2" t="s">
        <v>503</v>
      </c>
      <c r="T69" s="2" t="s">
        <v>2313</v>
      </c>
      <c r="U69" s="2" t="s">
        <v>39</v>
      </c>
      <c r="V69" s="2" t="n">
        <v>1</v>
      </c>
    </row>
    <row r="70">
      <c r="A70" s="2" t="n">
        <v>69</v>
      </c>
      <c r="B70" s="2" t="s">
        <v>16384</v>
      </c>
      <c r="C70" s="2" t="n">
        <v>209.9596205</v>
      </c>
      <c r="D70" s="2" t="n">
        <v>1.21787391505798</v>
      </c>
      <c r="E70" s="2" t="s">
        <v>16385</v>
      </c>
      <c r="F70" s="2" t="s">
        <v>15858</v>
      </c>
      <c r="G70" s="2" t="s">
        <v>16386</v>
      </c>
      <c r="H70" s="2" t="s">
        <v>16387</v>
      </c>
      <c r="I70" s="2" t="s">
        <v>16388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16389</v>
      </c>
      <c r="O70" s="2" t="s">
        <v>29</v>
      </c>
      <c r="P70" s="2" t="s">
        <v>16390</v>
      </c>
      <c r="Q70" s="2" t="s">
        <v>16391</v>
      </c>
      <c r="R70" s="2" t="s">
        <v>355</v>
      </c>
      <c r="S70" s="2" t="s">
        <v>16392</v>
      </c>
      <c r="T70" s="2" t="s">
        <v>16393</v>
      </c>
      <c r="U70" s="2" t="s">
        <v>29</v>
      </c>
      <c r="V70" s="2" t="n">
        <v>1</v>
      </c>
    </row>
    <row r="71">
      <c r="A71" s="2" t="n">
        <v>70</v>
      </c>
      <c r="B71" s="2" t="s">
        <v>16394</v>
      </c>
      <c r="C71" s="2" t="n">
        <v>210.0680177</v>
      </c>
      <c r="D71" s="2" t="n">
        <v>7.81566819863786</v>
      </c>
      <c r="E71" s="2" t="s">
        <v>16395</v>
      </c>
      <c r="F71" s="2" t="s">
        <v>15649</v>
      </c>
      <c r="G71" s="2" t="s">
        <v>16396</v>
      </c>
      <c r="H71" s="2" t="s">
        <v>16397</v>
      </c>
      <c r="I71" s="2" t="s">
        <v>16398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16399</v>
      </c>
      <c r="O71" s="2" t="s">
        <v>29</v>
      </c>
      <c r="P71" s="2" t="s">
        <v>16400</v>
      </c>
      <c r="Q71" s="2" t="s">
        <v>16401</v>
      </c>
      <c r="R71" s="2" t="s">
        <v>502</v>
      </c>
      <c r="S71" s="2" t="s">
        <v>503</v>
      </c>
      <c r="T71" s="2" t="s">
        <v>2313</v>
      </c>
      <c r="U71" s="2" t="s">
        <v>29</v>
      </c>
      <c r="V71" s="2" t="n">
        <v>1</v>
      </c>
    </row>
    <row r="72">
      <c r="A72" s="2" t="n">
        <v>71</v>
      </c>
      <c r="B72" s="2" t="s">
        <v>16402</v>
      </c>
      <c r="C72" s="2" t="n">
        <v>210.098550614</v>
      </c>
      <c r="D72" s="2" t="n">
        <v>2.29392400558591</v>
      </c>
      <c r="E72" s="2" t="s">
        <v>16403</v>
      </c>
      <c r="F72" s="2" t="s">
        <v>15649</v>
      </c>
      <c r="G72" s="2" t="s">
        <v>16404</v>
      </c>
      <c r="H72" s="2" t="s">
        <v>16405</v>
      </c>
      <c r="I72" s="2" t="s">
        <v>16406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16407</v>
      </c>
      <c r="O72" s="2" t="s">
        <v>29</v>
      </c>
      <c r="P72" s="2" t="s">
        <v>16408</v>
      </c>
      <c r="Q72" s="2" t="s">
        <v>16409</v>
      </c>
      <c r="R72" s="2" t="s">
        <v>355</v>
      </c>
      <c r="S72" s="2" t="s">
        <v>466</v>
      </c>
      <c r="T72" s="2" t="s">
        <v>467</v>
      </c>
      <c r="U72" s="2" t="s">
        <v>29</v>
      </c>
      <c r="V72" s="2" t="n">
        <v>1</v>
      </c>
    </row>
    <row r="73">
      <c r="A73" s="2" t="n">
        <v>72</v>
      </c>
      <c r="B73" s="2" t="s">
        <v>16410</v>
      </c>
      <c r="C73" s="2" t="n">
        <v>211.06009943</v>
      </c>
      <c r="D73" s="2" t="n">
        <v>1.19895713009185</v>
      </c>
      <c r="E73" s="2" t="s">
        <v>16411</v>
      </c>
      <c r="F73" s="2" t="s">
        <v>15649</v>
      </c>
      <c r="G73" s="2" t="s">
        <v>16412</v>
      </c>
      <c r="H73" s="2" t="s">
        <v>16413</v>
      </c>
      <c r="I73" s="2" t="s">
        <v>16414</v>
      </c>
      <c r="J73" s="2" t="s">
        <v>29</v>
      </c>
      <c r="K73" s="2" t="s">
        <v>29</v>
      </c>
      <c r="L73" s="2" t="s">
        <v>16415</v>
      </c>
      <c r="M73" s="2" t="s">
        <v>16416</v>
      </c>
      <c r="N73" s="2" t="s">
        <v>16417</v>
      </c>
      <c r="O73" s="2" t="s">
        <v>16418</v>
      </c>
      <c r="P73" s="2" t="s">
        <v>16419</v>
      </c>
      <c r="Q73" s="2" t="s">
        <v>16420</v>
      </c>
      <c r="R73" s="2" t="s">
        <v>2509</v>
      </c>
      <c r="S73" s="2" t="s">
        <v>4528</v>
      </c>
      <c r="T73" s="2" t="s">
        <v>4529</v>
      </c>
      <c r="U73" s="2" t="s">
        <v>39</v>
      </c>
      <c r="V73" s="2" t="n">
        <v>1</v>
      </c>
    </row>
    <row r="74">
      <c r="A74" s="2" t="n">
        <v>73</v>
      </c>
      <c r="B74" s="2" t="s">
        <v>16421</v>
      </c>
      <c r="C74" s="2" t="n">
        <v>215.052606116</v>
      </c>
      <c r="D74" s="2" t="n">
        <v>0.17386039027269</v>
      </c>
      <c r="E74" s="2" t="s">
        <v>16422</v>
      </c>
      <c r="F74" s="2" t="s">
        <v>15858</v>
      </c>
      <c r="G74" s="2" t="s">
        <v>16423</v>
      </c>
      <c r="H74" s="2" t="s">
        <v>16424</v>
      </c>
      <c r="I74" s="2" t="s">
        <v>16425</v>
      </c>
      <c r="J74" s="2" t="s">
        <v>29</v>
      </c>
      <c r="K74" s="2" t="s">
        <v>29</v>
      </c>
      <c r="L74" s="2" t="s">
        <v>16426</v>
      </c>
      <c r="M74" s="2" t="s">
        <v>16427</v>
      </c>
      <c r="N74" s="2" t="s">
        <v>16428</v>
      </c>
      <c r="O74" s="2" t="s">
        <v>16429</v>
      </c>
      <c r="P74" s="2" t="s">
        <v>16430</v>
      </c>
      <c r="Q74" s="2" t="s">
        <v>16431</v>
      </c>
      <c r="R74" s="2" t="s">
        <v>64</v>
      </c>
      <c r="S74" s="2" t="s">
        <v>65</v>
      </c>
      <c r="T74" s="2" t="s">
        <v>2921</v>
      </c>
      <c r="U74" s="2" t="s">
        <v>39</v>
      </c>
      <c r="V74" s="2" t="n">
        <v>1</v>
      </c>
    </row>
    <row r="75">
      <c r="A75" s="2" t="n">
        <v>74</v>
      </c>
      <c r="B75" s="2" t="s">
        <v>16432</v>
      </c>
      <c r="C75" s="2" t="n">
        <v>222.9922652</v>
      </c>
      <c r="D75" s="2" t="n">
        <v>14.8355560424041</v>
      </c>
      <c r="E75" s="2" t="s">
        <v>16433</v>
      </c>
      <c r="F75" s="2" t="s">
        <v>15919</v>
      </c>
      <c r="G75" s="2" t="s">
        <v>16434</v>
      </c>
      <c r="H75" s="2" t="s">
        <v>16435</v>
      </c>
      <c r="I75" s="2" t="s">
        <v>16436</v>
      </c>
      <c r="J75" s="2" t="s">
        <v>16437</v>
      </c>
      <c r="K75" s="2" t="s">
        <v>29</v>
      </c>
      <c r="L75" s="2" t="s">
        <v>29</v>
      </c>
      <c r="M75" s="2" t="s">
        <v>29</v>
      </c>
      <c r="N75" s="2" t="s">
        <v>16438</v>
      </c>
      <c r="O75" s="2" t="s">
        <v>29</v>
      </c>
      <c r="P75" s="2" t="s">
        <v>16439</v>
      </c>
      <c r="Q75" s="2" t="s">
        <v>16440</v>
      </c>
      <c r="R75" s="2" t="s">
        <v>502</v>
      </c>
      <c r="S75" s="2" t="s">
        <v>503</v>
      </c>
      <c r="T75" s="2" t="s">
        <v>3793</v>
      </c>
      <c r="U75" s="2" t="s">
        <v>29</v>
      </c>
      <c r="V75" s="2" t="n">
        <v>1</v>
      </c>
    </row>
    <row r="76">
      <c r="A76" s="2" t="n">
        <v>75</v>
      </c>
      <c r="B76" s="2" t="s">
        <v>16441</v>
      </c>
      <c r="C76" s="2" t="n">
        <v>223.972081505</v>
      </c>
      <c r="D76" s="2" t="n">
        <v>3.65304645076121</v>
      </c>
      <c r="E76" s="2" t="s">
        <v>16442</v>
      </c>
      <c r="F76" s="2" t="s">
        <v>15919</v>
      </c>
      <c r="G76" s="2" t="s">
        <v>16443</v>
      </c>
      <c r="H76" s="2" t="s">
        <v>16444</v>
      </c>
      <c r="I76" s="2" t="s">
        <v>16445</v>
      </c>
      <c r="J76" s="2" t="s">
        <v>16446</v>
      </c>
      <c r="K76" s="2" t="s">
        <v>29</v>
      </c>
      <c r="L76" s="2" t="s">
        <v>16447</v>
      </c>
      <c r="M76" s="2" t="s">
        <v>16448</v>
      </c>
      <c r="N76" s="2" t="s">
        <v>16449</v>
      </c>
      <c r="O76" s="2" t="s">
        <v>16450</v>
      </c>
      <c r="P76" s="2" t="s">
        <v>16451</v>
      </c>
      <c r="Q76" s="2" t="s">
        <v>16452</v>
      </c>
      <c r="R76" s="2" t="s">
        <v>49</v>
      </c>
      <c r="S76" s="2" t="s">
        <v>165</v>
      </c>
      <c r="T76" s="2" t="s">
        <v>166</v>
      </c>
      <c r="U76" s="2" t="s">
        <v>39</v>
      </c>
      <c r="V76" s="2" t="n">
        <v>1</v>
      </c>
    </row>
    <row r="77">
      <c r="A77" s="2" t="n">
        <v>76</v>
      </c>
      <c r="B77" s="2" t="s">
        <v>16453</v>
      </c>
      <c r="C77" s="2" t="n">
        <v>226.070998467</v>
      </c>
      <c r="D77" s="2" t="n">
        <v>8.7847237412024</v>
      </c>
      <c r="E77" s="2" t="s">
        <v>16454</v>
      </c>
      <c r="F77" s="2" t="s">
        <v>15649</v>
      </c>
      <c r="G77" s="2" t="s">
        <v>16455</v>
      </c>
      <c r="H77" s="2" t="s">
        <v>16456</v>
      </c>
      <c r="I77" s="2" t="s">
        <v>16457</v>
      </c>
      <c r="J77" s="2" t="s">
        <v>16458</v>
      </c>
      <c r="K77" s="2" t="s">
        <v>29</v>
      </c>
      <c r="L77" s="2" t="s">
        <v>16459</v>
      </c>
      <c r="M77" s="2" t="s">
        <v>16460</v>
      </c>
      <c r="N77" s="2" t="s">
        <v>16461</v>
      </c>
      <c r="O77" s="2" t="s">
        <v>16462</v>
      </c>
      <c r="P77" s="2" t="s">
        <v>16463</v>
      </c>
      <c r="Q77" s="2" t="s">
        <v>16464</v>
      </c>
      <c r="R77" s="2" t="s">
        <v>49</v>
      </c>
      <c r="S77" s="2" t="s">
        <v>165</v>
      </c>
      <c r="T77" s="2" t="s">
        <v>179</v>
      </c>
      <c r="U77" s="2" t="s">
        <v>39</v>
      </c>
      <c r="V77" s="2" t="n">
        <v>1</v>
      </c>
    </row>
    <row r="78">
      <c r="A78" s="2" t="n">
        <v>77</v>
      </c>
      <c r="B78" s="2" t="s">
        <v>16465</v>
      </c>
      <c r="C78" s="2" t="n">
        <v>229.122894442</v>
      </c>
      <c r="D78" s="2" t="n">
        <v>0.00110528835474596</v>
      </c>
      <c r="E78" s="2" t="s">
        <v>16466</v>
      </c>
      <c r="F78" s="2" t="s">
        <v>15611</v>
      </c>
      <c r="G78" s="2" t="s">
        <v>16467</v>
      </c>
      <c r="H78" s="2" t="s">
        <v>16468</v>
      </c>
      <c r="I78" s="2" t="s">
        <v>16469</v>
      </c>
      <c r="J78" s="2" t="s">
        <v>16470</v>
      </c>
      <c r="K78" s="2" t="s">
        <v>72</v>
      </c>
      <c r="L78" s="2" t="s">
        <v>16471</v>
      </c>
      <c r="M78" s="2" t="s">
        <v>16472</v>
      </c>
      <c r="N78" s="2" t="s">
        <v>16473</v>
      </c>
      <c r="O78" s="2" t="s">
        <v>16474</v>
      </c>
      <c r="P78" s="2" t="s">
        <v>16475</v>
      </c>
      <c r="Q78" s="2" t="s">
        <v>16476</v>
      </c>
      <c r="R78" s="2" t="s">
        <v>4390</v>
      </c>
      <c r="S78" s="2" t="s">
        <v>16477</v>
      </c>
      <c r="T78" s="2" t="s">
        <v>16478</v>
      </c>
      <c r="U78" s="2" t="s">
        <v>39</v>
      </c>
      <c r="V78" s="2" t="n">
        <v>2</v>
      </c>
    </row>
    <row r="79">
      <c r="A79" s="2" t="n">
        <v>78</v>
      </c>
      <c r="B79" s="2" t="s">
        <v>16479</v>
      </c>
      <c r="C79" s="2" t="n">
        <v>230.032634547</v>
      </c>
      <c r="D79" s="2" t="n">
        <v>5.57829379448558</v>
      </c>
      <c r="E79" s="2" t="s">
        <v>16480</v>
      </c>
      <c r="F79" s="2" t="s">
        <v>15919</v>
      </c>
      <c r="G79" s="2" t="s">
        <v>16481</v>
      </c>
      <c r="H79" s="2" t="s">
        <v>16482</v>
      </c>
      <c r="I79" s="2" t="s">
        <v>16483</v>
      </c>
      <c r="J79" s="2" t="s">
        <v>16484</v>
      </c>
      <c r="K79" s="2" t="s">
        <v>29</v>
      </c>
      <c r="L79" s="2" t="s">
        <v>16485</v>
      </c>
      <c r="M79" s="2" t="s">
        <v>16486</v>
      </c>
      <c r="N79" s="2" t="s">
        <v>16487</v>
      </c>
      <c r="O79" s="2" t="s">
        <v>16488</v>
      </c>
      <c r="P79" s="2" t="s">
        <v>16489</v>
      </c>
      <c r="Q79" s="2" t="s">
        <v>16490</v>
      </c>
      <c r="R79" s="2" t="s">
        <v>355</v>
      </c>
      <c r="S79" s="2" t="s">
        <v>1396</v>
      </c>
      <c r="T79" s="2" t="s">
        <v>5487</v>
      </c>
      <c r="U79" s="2" t="s">
        <v>39</v>
      </c>
      <c r="V79" s="2" t="n">
        <v>1</v>
      </c>
    </row>
    <row r="80">
      <c r="A80" s="2" t="n">
        <v>79</v>
      </c>
      <c r="B80" s="2" t="s">
        <v>16491</v>
      </c>
      <c r="C80" s="2" t="n">
        <v>231.102159</v>
      </c>
      <c r="D80" s="2" t="n">
        <v>9.57222892127746</v>
      </c>
      <c r="E80" s="2" t="s">
        <v>16492</v>
      </c>
      <c r="F80" s="2" t="s">
        <v>15611</v>
      </c>
      <c r="G80" s="2" t="s">
        <v>16493</v>
      </c>
      <c r="H80" s="2" t="s">
        <v>16494</v>
      </c>
      <c r="I80" s="2" t="s">
        <v>16495</v>
      </c>
      <c r="J80" s="2" t="s">
        <v>16496</v>
      </c>
      <c r="K80" s="2" t="s">
        <v>72</v>
      </c>
      <c r="L80" s="2" t="s">
        <v>16497</v>
      </c>
      <c r="M80" s="2" t="s">
        <v>16498</v>
      </c>
      <c r="N80" s="2" t="s">
        <v>16499</v>
      </c>
      <c r="O80" s="2" t="s">
        <v>16500</v>
      </c>
      <c r="P80" s="2" t="s">
        <v>16501</v>
      </c>
      <c r="Q80" s="2" t="s">
        <v>16502</v>
      </c>
      <c r="R80" s="2" t="s">
        <v>4390</v>
      </c>
      <c r="S80" s="2" t="s">
        <v>16503</v>
      </c>
      <c r="T80" s="2" t="s">
        <v>16504</v>
      </c>
      <c r="U80" s="2" t="s">
        <v>39</v>
      </c>
      <c r="V80" s="2" t="n">
        <v>2</v>
      </c>
    </row>
    <row r="81">
      <c r="A81" s="2" t="n">
        <v>80</v>
      </c>
      <c r="B81" s="2" t="s">
        <v>16505</v>
      </c>
      <c r="C81" s="2" t="n">
        <v>232.040422041</v>
      </c>
      <c r="D81" s="2" t="n">
        <v>9.92748039885285</v>
      </c>
      <c r="E81" s="2" t="s">
        <v>16506</v>
      </c>
      <c r="F81" s="2" t="s">
        <v>15919</v>
      </c>
      <c r="G81" s="2" t="s">
        <v>16507</v>
      </c>
      <c r="H81" s="2" t="s">
        <v>16508</v>
      </c>
      <c r="I81" s="2" t="s">
        <v>16509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16510</v>
      </c>
      <c r="O81" s="2" t="s">
        <v>29</v>
      </c>
      <c r="P81" s="2" t="s">
        <v>16511</v>
      </c>
      <c r="Q81" s="2" t="s">
        <v>16512</v>
      </c>
      <c r="R81" s="2" t="s">
        <v>49</v>
      </c>
      <c r="S81" s="2" t="s">
        <v>165</v>
      </c>
      <c r="T81" s="2" t="s">
        <v>166</v>
      </c>
      <c r="U81" s="2" t="s">
        <v>29</v>
      </c>
      <c r="V81" s="2" t="n">
        <v>1</v>
      </c>
    </row>
    <row r="82">
      <c r="A82" s="2" t="n">
        <v>81</v>
      </c>
      <c r="B82" s="2" t="s">
        <v>16513</v>
      </c>
      <c r="C82" s="2" t="n">
        <v>233.081423558</v>
      </c>
      <c r="D82" s="2" t="n">
        <v>2.19503187887847</v>
      </c>
      <c r="E82" s="2" t="s">
        <v>16514</v>
      </c>
      <c r="F82" s="2" t="s">
        <v>15611</v>
      </c>
      <c r="G82" s="2" t="s">
        <v>16515</v>
      </c>
      <c r="H82" s="2" t="s">
        <v>16516</v>
      </c>
      <c r="I82" s="2" t="s">
        <v>16517</v>
      </c>
      <c r="J82" s="2" t="s">
        <v>29</v>
      </c>
      <c r="K82" s="2" t="s">
        <v>29</v>
      </c>
      <c r="L82" s="2" t="s">
        <v>16518</v>
      </c>
      <c r="M82" s="2" t="s">
        <v>16519</v>
      </c>
      <c r="N82" s="2" t="s">
        <v>29</v>
      </c>
      <c r="O82" s="2" t="s">
        <v>16520</v>
      </c>
      <c r="P82" s="2" t="s">
        <v>16521</v>
      </c>
      <c r="Q82" s="2" t="s">
        <v>16522</v>
      </c>
      <c r="R82" s="2" t="s">
        <v>355</v>
      </c>
      <c r="S82" s="2" t="s">
        <v>5537</v>
      </c>
      <c r="T82" s="2" t="s">
        <v>205</v>
      </c>
      <c r="U82" s="2" t="s">
        <v>39</v>
      </c>
      <c r="V82" s="2" t="n">
        <v>1</v>
      </c>
    </row>
    <row r="83">
      <c r="A83" s="2" t="n">
        <v>82</v>
      </c>
      <c r="B83" s="2" t="s">
        <v>16523</v>
      </c>
      <c r="C83" s="2" t="n">
        <v>234.028022052</v>
      </c>
      <c r="D83" s="2" t="n">
        <v>0.057161868315965</v>
      </c>
      <c r="E83" s="2" t="s">
        <v>16524</v>
      </c>
      <c r="F83" s="2" t="s">
        <v>15611</v>
      </c>
      <c r="G83" s="2" t="s">
        <v>16525</v>
      </c>
      <c r="H83" s="2" t="s">
        <v>16526</v>
      </c>
      <c r="I83" s="2" t="s">
        <v>16527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16528</v>
      </c>
      <c r="O83" s="2" t="s">
        <v>29</v>
      </c>
      <c r="P83" s="2" t="s">
        <v>16529</v>
      </c>
      <c r="Q83" s="2" t="s">
        <v>16530</v>
      </c>
      <c r="R83" s="2" t="s">
        <v>355</v>
      </c>
      <c r="S83" s="2" t="s">
        <v>356</v>
      </c>
      <c r="T83" s="2" t="s">
        <v>357</v>
      </c>
      <c r="U83" s="2" t="s">
        <v>29</v>
      </c>
      <c r="V83" s="2" t="n">
        <v>1</v>
      </c>
    </row>
    <row r="84">
      <c r="A84" s="2" t="n">
        <v>83</v>
      </c>
      <c r="B84" s="2" t="s">
        <v>16531</v>
      </c>
      <c r="C84" s="2" t="n">
        <v>242.103635994</v>
      </c>
      <c r="D84" s="2" t="n">
        <v>1.0756389390959</v>
      </c>
      <c r="E84" s="2" t="s">
        <v>16532</v>
      </c>
      <c r="F84" s="2" t="s">
        <v>15649</v>
      </c>
      <c r="G84" s="2" t="s">
        <v>16533</v>
      </c>
      <c r="H84" s="2" t="s">
        <v>16534</v>
      </c>
      <c r="I84" s="2" t="s">
        <v>16535</v>
      </c>
      <c r="J84" s="2" t="s">
        <v>16536</v>
      </c>
      <c r="K84" s="2" t="s">
        <v>226</v>
      </c>
      <c r="L84" s="2" t="s">
        <v>226</v>
      </c>
      <c r="M84" s="2" t="s">
        <v>226</v>
      </c>
      <c r="N84" s="2" t="s">
        <v>16537</v>
      </c>
      <c r="O84" s="2" t="s">
        <v>226</v>
      </c>
      <c r="P84" s="2" t="s">
        <v>16538</v>
      </c>
      <c r="Q84" s="2" t="s">
        <v>16539</v>
      </c>
      <c r="R84" s="2" t="s">
        <v>230</v>
      </c>
      <c r="S84" s="2" t="s">
        <v>16540</v>
      </c>
      <c r="T84" s="2" t="s">
        <v>16541</v>
      </c>
      <c r="U84" s="2" t="s">
        <v>29</v>
      </c>
      <c r="V84" s="2" t="n">
        <v>3</v>
      </c>
    </row>
    <row r="85">
      <c r="A85" s="2" t="n">
        <v>84</v>
      </c>
      <c r="B85" s="2" t="s">
        <v>16542</v>
      </c>
      <c r="C85" s="2" t="n">
        <v>243.109369631</v>
      </c>
      <c r="D85" s="2" t="n">
        <v>8.27581485409383</v>
      </c>
      <c r="E85" s="2" t="s">
        <v>16543</v>
      </c>
      <c r="F85" s="2" t="s">
        <v>15611</v>
      </c>
      <c r="G85" s="2" t="s">
        <v>16544</v>
      </c>
      <c r="H85" s="2" t="s">
        <v>16545</v>
      </c>
      <c r="I85" s="2" t="s">
        <v>16546</v>
      </c>
      <c r="J85" s="2" t="s">
        <v>16547</v>
      </c>
      <c r="K85" s="2" t="s">
        <v>29</v>
      </c>
      <c r="L85" s="2" t="s">
        <v>29</v>
      </c>
      <c r="M85" s="2" t="s">
        <v>16548</v>
      </c>
      <c r="N85" s="2" t="s">
        <v>16549</v>
      </c>
      <c r="O85" s="2" t="s">
        <v>16550</v>
      </c>
      <c r="P85" s="2" t="s">
        <v>16551</v>
      </c>
      <c r="Q85" s="2" t="s">
        <v>16552</v>
      </c>
      <c r="R85" s="2" t="s">
        <v>49</v>
      </c>
      <c r="S85" s="2" t="s">
        <v>165</v>
      </c>
      <c r="T85" s="2" t="s">
        <v>166</v>
      </c>
      <c r="U85" s="2" t="s">
        <v>29</v>
      </c>
      <c r="V85" s="2" t="n">
        <v>1</v>
      </c>
    </row>
    <row r="86">
      <c r="A86" s="2" t="n">
        <v>85</v>
      </c>
      <c r="B86" s="2" t="s">
        <v>16553</v>
      </c>
      <c r="C86" s="2" t="n">
        <v>244.095903505</v>
      </c>
      <c r="D86" s="2" t="n">
        <v>6.79428432356743</v>
      </c>
      <c r="E86" s="2" t="s">
        <v>16554</v>
      </c>
      <c r="F86" s="2" t="s">
        <v>15919</v>
      </c>
      <c r="G86" s="2" t="s">
        <v>16555</v>
      </c>
      <c r="H86" s="2" t="s">
        <v>16556</v>
      </c>
      <c r="I86" s="2" t="s">
        <v>16557</v>
      </c>
      <c r="J86" s="2" t="s">
        <v>16558</v>
      </c>
      <c r="K86" s="2" t="s">
        <v>29</v>
      </c>
      <c r="L86" s="2" t="s">
        <v>16559</v>
      </c>
      <c r="M86" s="2" t="s">
        <v>16560</v>
      </c>
      <c r="N86" s="2" t="s">
        <v>16561</v>
      </c>
      <c r="O86" s="2" t="s">
        <v>16562</v>
      </c>
      <c r="P86" s="2" t="s">
        <v>16563</v>
      </c>
      <c r="Q86" s="2" t="s">
        <v>16564</v>
      </c>
      <c r="R86" s="2" t="s">
        <v>36</v>
      </c>
      <c r="S86" s="2" t="s">
        <v>37</v>
      </c>
      <c r="T86" s="2" t="s">
        <v>16565</v>
      </c>
      <c r="U86" s="2" t="s">
        <v>39</v>
      </c>
      <c r="V86" s="2" t="n">
        <v>1</v>
      </c>
    </row>
    <row r="87">
      <c r="A87" s="2" t="n">
        <v>86</v>
      </c>
      <c r="B87" s="2" t="s">
        <v>16566</v>
      </c>
      <c r="C87" s="2" t="n">
        <v>245.053429559</v>
      </c>
      <c r="D87" s="2" t="n">
        <v>0.259302895534763</v>
      </c>
      <c r="E87" s="2" t="s">
        <v>16567</v>
      </c>
      <c r="F87" s="2" t="s">
        <v>15919</v>
      </c>
      <c r="G87" s="2" t="s">
        <v>16568</v>
      </c>
      <c r="H87" s="2" t="s">
        <v>16569</v>
      </c>
      <c r="I87" s="2" t="s">
        <v>16570</v>
      </c>
      <c r="J87" s="2" t="s">
        <v>16571</v>
      </c>
      <c r="K87" s="2" t="s">
        <v>226</v>
      </c>
      <c r="L87" s="2" t="s">
        <v>226</v>
      </c>
      <c r="M87" s="2" t="s">
        <v>16572</v>
      </c>
      <c r="N87" s="2" t="s">
        <v>16573</v>
      </c>
      <c r="O87" s="2" t="s">
        <v>16574</v>
      </c>
      <c r="P87" s="2" t="s">
        <v>16575</v>
      </c>
      <c r="Q87" s="2" t="s">
        <v>16576</v>
      </c>
      <c r="R87" s="2" t="s">
        <v>312</v>
      </c>
      <c r="S87" s="2" t="s">
        <v>313</v>
      </c>
      <c r="T87" s="2" t="s">
        <v>314</v>
      </c>
      <c r="U87" s="2" t="s">
        <v>29</v>
      </c>
      <c r="V87" s="2" t="n">
        <v>3</v>
      </c>
    </row>
    <row r="88">
      <c r="A88" s="2" t="n">
        <v>87</v>
      </c>
      <c r="B88" s="2" t="s">
        <v>16577</v>
      </c>
      <c r="C88" s="2" t="n">
        <v>245.113786318</v>
      </c>
      <c r="D88" s="2" t="n">
        <v>4.71178128806323</v>
      </c>
      <c r="E88" s="2" t="s">
        <v>16578</v>
      </c>
      <c r="F88" s="2" t="s">
        <v>15611</v>
      </c>
      <c r="G88" s="2" t="s">
        <v>16579</v>
      </c>
      <c r="H88" s="2" t="s">
        <v>16580</v>
      </c>
      <c r="I88" s="2" t="s">
        <v>16581</v>
      </c>
      <c r="J88" s="2" t="s">
        <v>16582</v>
      </c>
      <c r="K88" s="2" t="s">
        <v>29</v>
      </c>
      <c r="L88" s="2" t="s">
        <v>16583</v>
      </c>
      <c r="M88" s="2" t="s">
        <v>16584</v>
      </c>
      <c r="N88" s="2" t="s">
        <v>16585</v>
      </c>
      <c r="O88" s="2" t="s">
        <v>16586</v>
      </c>
      <c r="P88" s="2" t="s">
        <v>16587</v>
      </c>
      <c r="Q88" s="2" t="s">
        <v>16588</v>
      </c>
      <c r="R88" s="2" t="s">
        <v>49</v>
      </c>
      <c r="S88" s="2" t="s">
        <v>165</v>
      </c>
      <c r="T88" s="2" t="s">
        <v>166</v>
      </c>
      <c r="U88" s="2" t="s">
        <v>39</v>
      </c>
      <c r="V88" s="2" t="n">
        <v>1</v>
      </c>
    </row>
    <row r="89">
      <c r="A89" s="2" t="n">
        <v>88</v>
      </c>
      <c r="B89" s="2" t="s">
        <v>16589</v>
      </c>
      <c r="C89" s="2" t="n">
        <v>247.019691161</v>
      </c>
      <c r="D89" s="2" t="n">
        <v>0.872704809223412</v>
      </c>
      <c r="E89" s="2" t="s">
        <v>16590</v>
      </c>
      <c r="F89" s="2" t="s">
        <v>15649</v>
      </c>
      <c r="G89" s="2" t="s">
        <v>16591</v>
      </c>
      <c r="H89" s="2" t="s">
        <v>16592</v>
      </c>
      <c r="I89" s="2" t="s">
        <v>16593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16594</v>
      </c>
      <c r="O89" s="2" t="s">
        <v>29</v>
      </c>
      <c r="P89" s="2" t="s">
        <v>16595</v>
      </c>
      <c r="Q89" s="2" t="s">
        <v>16596</v>
      </c>
      <c r="R89" s="2" t="s">
        <v>49</v>
      </c>
      <c r="S89" s="2" t="s">
        <v>165</v>
      </c>
      <c r="T89" s="2" t="s">
        <v>2001</v>
      </c>
      <c r="U89" s="2" t="s">
        <v>29</v>
      </c>
      <c r="V89" s="2" t="n">
        <v>1</v>
      </c>
    </row>
    <row r="90">
      <c r="A90" s="2" t="n">
        <v>89</v>
      </c>
      <c r="B90" s="2" t="s">
        <v>16597</v>
      </c>
      <c r="C90" s="2" t="n">
        <v>248.0448743</v>
      </c>
      <c r="D90" s="2" t="n">
        <v>15.3832129084131</v>
      </c>
      <c r="E90" s="2" t="s">
        <v>16598</v>
      </c>
      <c r="F90" s="2" t="s">
        <v>15858</v>
      </c>
      <c r="G90" s="2" t="s">
        <v>16599</v>
      </c>
      <c r="H90" s="2" t="s">
        <v>16600</v>
      </c>
      <c r="I90" s="2" t="s">
        <v>16601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16602</v>
      </c>
      <c r="O90" s="2" t="s">
        <v>29</v>
      </c>
      <c r="P90" s="2" t="s">
        <v>16603</v>
      </c>
      <c r="Q90" s="2" t="s">
        <v>16604</v>
      </c>
      <c r="R90" s="2" t="s">
        <v>355</v>
      </c>
      <c r="S90" s="2" t="s">
        <v>6690</v>
      </c>
      <c r="T90" s="2" t="s">
        <v>6691</v>
      </c>
      <c r="U90" s="2" t="s">
        <v>29</v>
      </c>
      <c r="V90" s="2" t="n">
        <v>1</v>
      </c>
    </row>
    <row r="91">
      <c r="A91" s="2" t="n">
        <v>90</v>
      </c>
      <c r="B91" s="2" t="s">
        <v>16605</v>
      </c>
      <c r="C91" s="2" t="n">
        <v>249.06762307</v>
      </c>
      <c r="D91" s="2" t="n">
        <v>3.04745646695782</v>
      </c>
      <c r="E91" s="2" t="s">
        <v>16606</v>
      </c>
      <c r="F91" s="2" t="s">
        <v>15919</v>
      </c>
      <c r="G91" s="2" t="s">
        <v>16607</v>
      </c>
      <c r="H91" s="2" t="s">
        <v>16608</v>
      </c>
      <c r="I91" s="2" t="s">
        <v>16609</v>
      </c>
      <c r="J91" s="2" t="s">
        <v>16610</v>
      </c>
      <c r="K91" s="2" t="s">
        <v>29</v>
      </c>
      <c r="L91" s="2" t="s">
        <v>16611</v>
      </c>
      <c r="M91" s="2" t="s">
        <v>16612</v>
      </c>
      <c r="N91" s="2" t="s">
        <v>16613</v>
      </c>
      <c r="O91" s="2" t="s">
        <v>16614</v>
      </c>
      <c r="P91" s="2" t="s">
        <v>16615</v>
      </c>
      <c r="Q91" s="2" t="s">
        <v>16616</v>
      </c>
      <c r="R91" s="2" t="s">
        <v>1490</v>
      </c>
      <c r="S91" s="2" t="s">
        <v>4971</v>
      </c>
      <c r="T91" s="2" t="s">
        <v>5966</v>
      </c>
      <c r="U91" s="2" t="s">
        <v>39</v>
      </c>
      <c r="V91" s="2" t="n">
        <v>1</v>
      </c>
    </row>
    <row r="92">
      <c r="A92" s="2" t="n">
        <v>91</v>
      </c>
      <c r="B92" s="2" t="s">
        <v>16617</v>
      </c>
      <c r="C92" s="2" t="n">
        <v>250.008728468</v>
      </c>
      <c r="D92" s="2" t="n">
        <v>0.429447464313229</v>
      </c>
      <c r="E92" s="2" t="s">
        <v>16618</v>
      </c>
      <c r="F92" s="2" t="s">
        <v>15919</v>
      </c>
      <c r="G92" s="2" t="s">
        <v>16619</v>
      </c>
      <c r="H92" s="2" t="s">
        <v>16620</v>
      </c>
      <c r="I92" s="2" t="s">
        <v>16621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16622</v>
      </c>
      <c r="O92" s="2" t="s">
        <v>29</v>
      </c>
      <c r="P92" s="2" t="s">
        <v>16623</v>
      </c>
      <c r="Q92" s="2" t="s">
        <v>16624</v>
      </c>
      <c r="R92" s="2" t="s">
        <v>502</v>
      </c>
      <c r="S92" s="2" t="s">
        <v>205</v>
      </c>
      <c r="T92" s="2" t="s">
        <v>205</v>
      </c>
      <c r="U92" s="2" t="s">
        <v>29</v>
      </c>
      <c r="V92" s="2" t="n">
        <v>1</v>
      </c>
    </row>
    <row r="93">
      <c r="A93" s="2" t="n">
        <v>92</v>
      </c>
      <c r="B93" s="2" t="s">
        <v>16625</v>
      </c>
      <c r="C93" s="2" t="n">
        <v>253.121653828</v>
      </c>
      <c r="D93" s="2" t="n">
        <v>1.31402913812962</v>
      </c>
      <c r="E93" s="2" t="s">
        <v>16626</v>
      </c>
      <c r="F93" s="2" t="s">
        <v>15649</v>
      </c>
      <c r="G93" s="2" t="s">
        <v>16627</v>
      </c>
      <c r="H93" s="2" t="s">
        <v>16628</v>
      </c>
      <c r="I93" s="2" t="s">
        <v>16629</v>
      </c>
      <c r="J93" s="2" t="s">
        <v>16630</v>
      </c>
      <c r="K93" s="2" t="s">
        <v>29</v>
      </c>
      <c r="L93" s="2" t="s">
        <v>29</v>
      </c>
      <c r="M93" s="2" t="s">
        <v>16631</v>
      </c>
      <c r="N93" s="2" t="s">
        <v>16632</v>
      </c>
      <c r="O93" s="2" t="s">
        <v>29</v>
      </c>
      <c r="P93" s="2" t="s">
        <v>16633</v>
      </c>
      <c r="Q93" s="2" t="s">
        <v>16634</v>
      </c>
      <c r="R93" s="2" t="s">
        <v>355</v>
      </c>
      <c r="S93" s="2" t="s">
        <v>5131</v>
      </c>
      <c r="T93" s="2" t="s">
        <v>5132</v>
      </c>
      <c r="U93" s="2" t="s">
        <v>29</v>
      </c>
      <c r="V93" s="2" t="n">
        <v>1</v>
      </c>
    </row>
    <row r="94">
      <c r="A94" s="2" t="n">
        <v>93</v>
      </c>
      <c r="B94" s="2" t="s">
        <v>16635</v>
      </c>
      <c r="C94" s="2" t="n">
        <v>255.06573384</v>
      </c>
      <c r="D94" s="2" t="n">
        <v>4.71672468183869</v>
      </c>
      <c r="E94" s="2" t="s">
        <v>16636</v>
      </c>
      <c r="F94" s="2" t="s">
        <v>15624</v>
      </c>
      <c r="G94" s="2" t="s">
        <v>16637</v>
      </c>
      <c r="H94" s="2" t="s">
        <v>16638</v>
      </c>
      <c r="I94" s="2" t="s">
        <v>16639</v>
      </c>
      <c r="J94" s="2" t="s">
        <v>29</v>
      </c>
      <c r="K94" s="2" t="s">
        <v>29</v>
      </c>
      <c r="L94" s="2" t="s">
        <v>16640</v>
      </c>
      <c r="M94" s="2" t="s">
        <v>16641</v>
      </c>
      <c r="N94" s="2" t="s">
        <v>16642</v>
      </c>
      <c r="O94" s="2" t="s">
        <v>29</v>
      </c>
      <c r="P94" s="2" t="s">
        <v>16643</v>
      </c>
      <c r="Q94" s="2" t="s">
        <v>16644</v>
      </c>
      <c r="R94" s="2" t="s">
        <v>2509</v>
      </c>
      <c r="S94" s="2" t="s">
        <v>5520</v>
      </c>
      <c r="T94" s="2" t="s">
        <v>16645</v>
      </c>
      <c r="U94" s="2" t="s">
        <v>39</v>
      </c>
      <c r="V94" s="2" t="n">
        <v>1</v>
      </c>
    </row>
    <row r="95">
      <c r="A95" s="2" t="n">
        <v>94</v>
      </c>
      <c r="B95" s="2" t="s">
        <v>16646</v>
      </c>
      <c r="C95" s="2" t="n">
        <v>255.135547884</v>
      </c>
      <c r="D95" s="2" t="n">
        <v>1.70861600221692</v>
      </c>
      <c r="E95" s="2" t="s">
        <v>16647</v>
      </c>
      <c r="F95" s="2" t="s">
        <v>15858</v>
      </c>
      <c r="G95" s="2" t="s">
        <v>16648</v>
      </c>
      <c r="H95" s="2" t="s">
        <v>16649</v>
      </c>
      <c r="I95" s="2" t="s">
        <v>16650</v>
      </c>
      <c r="J95" s="2" t="s">
        <v>226</v>
      </c>
      <c r="K95" s="2" t="s">
        <v>226</v>
      </c>
      <c r="L95" s="2" t="s">
        <v>16651</v>
      </c>
      <c r="M95" s="2" t="s">
        <v>16652</v>
      </c>
      <c r="N95" s="2" t="s">
        <v>16653</v>
      </c>
      <c r="O95" s="2" t="s">
        <v>16654</v>
      </c>
      <c r="P95" s="2" t="s">
        <v>16655</v>
      </c>
      <c r="Q95" s="2" t="s">
        <v>16656</v>
      </c>
      <c r="R95" s="2" t="s">
        <v>105</v>
      </c>
      <c r="S95" s="2" t="s">
        <v>1614</v>
      </c>
      <c r="T95" s="2" t="s">
        <v>16657</v>
      </c>
      <c r="U95" s="2" t="s">
        <v>39</v>
      </c>
      <c r="V95" s="2" t="n">
        <v>3</v>
      </c>
    </row>
    <row r="96">
      <c r="A96" s="2" t="n">
        <v>95</v>
      </c>
      <c r="B96" s="2" t="s">
        <v>16658</v>
      </c>
      <c r="C96" s="2" t="n">
        <v>257.040426606</v>
      </c>
      <c r="D96" s="2" t="n">
        <v>4.18916284266817</v>
      </c>
      <c r="E96" s="2" t="s">
        <v>16659</v>
      </c>
      <c r="F96" s="2" t="s">
        <v>15649</v>
      </c>
      <c r="G96" s="2" t="s">
        <v>16660</v>
      </c>
      <c r="H96" s="2" t="s">
        <v>16661</v>
      </c>
      <c r="I96" s="2" t="s">
        <v>16662</v>
      </c>
      <c r="J96" s="2" t="s">
        <v>72</v>
      </c>
      <c r="K96" s="2" t="s">
        <v>72</v>
      </c>
      <c r="L96" s="2" t="s">
        <v>72</v>
      </c>
      <c r="M96" s="2" t="s">
        <v>72</v>
      </c>
      <c r="N96" s="2" t="s">
        <v>16663</v>
      </c>
      <c r="O96" s="2" t="s">
        <v>72</v>
      </c>
      <c r="P96" s="2" t="s">
        <v>16664</v>
      </c>
      <c r="Q96" s="2" t="s">
        <v>16665</v>
      </c>
      <c r="R96" s="2" t="s">
        <v>537</v>
      </c>
      <c r="S96" s="2" t="s">
        <v>16666</v>
      </c>
      <c r="T96" s="2" t="s">
        <v>16667</v>
      </c>
      <c r="U96" s="2" t="s">
        <v>29</v>
      </c>
      <c r="V96" s="2" t="n">
        <v>2</v>
      </c>
    </row>
    <row r="97">
      <c r="A97" s="2" t="n">
        <v>96</v>
      </c>
      <c r="B97" s="2" t="s">
        <v>16668</v>
      </c>
      <c r="C97" s="2" t="n">
        <v>257.080834872</v>
      </c>
      <c r="D97" s="2" t="n">
        <v>0.692762158617481</v>
      </c>
      <c r="E97" s="2" t="s">
        <v>16669</v>
      </c>
      <c r="F97" s="2" t="s">
        <v>15649</v>
      </c>
      <c r="G97" s="2" t="s">
        <v>16670</v>
      </c>
      <c r="H97" s="2" t="s">
        <v>16671</v>
      </c>
      <c r="I97" s="2" t="s">
        <v>16672</v>
      </c>
      <c r="J97" s="2" t="s">
        <v>16673</v>
      </c>
      <c r="K97" s="2" t="s">
        <v>16674</v>
      </c>
      <c r="L97" s="2" t="s">
        <v>16675</v>
      </c>
      <c r="M97" s="2" t="s">
        <v>16676</v>
      </c>
      <c r="N97" s="2" t="s">
        <v>16677</v>
      </c>
      <c r="O97" s="2" t="s">
        <v>16678</v>
      </c>
      <c r="P97" s="2" t="s">
        <v>16679</v>
      </c>
      <c r="Q97" s="2" t="s">
        <v>16680</v>
      </c>
      <c r="R97" s="2" t="s">
        <v>5230</v>
      </c>
      <c r="S97" s="2" t="s">
        <v>16681</v>
      </c>
      <c r="T97" s="2" t="s">
        <v>16682</v>
      </c>
      <c r="U97" s="2" t="s">
        <v>39</v>
      </c>
      <c r="V97" s="2" t="n">
        <v>3</v>
      </c>
    </row>
    <row r="98">
      <c r="A98" s="2" t="n">
        <v>97</v>
      </c>
      <c r="B98" s="2" t="s">
        <v>16683</v>
      </c>
      <c r="C98" s="2" t="n">
        <v>259.085937024</v>
      </c>
      <c r="D98" s="2" t="n">
        <v>1.61943315300901</v>
      </c>
      <c r="E98" s="2" t="s">
        <v>16684</v>
      </c>
      <c r="F98" s="2" t="s">
        <v>15649</v>
      </c>
      <c r="G98" s="2" t="s">
        <v>16685</v>
      </c>
      <c r="H98" s="2" t="s">
        <v>16686</v>
      </c>
      <c r="I98" s="2" t="s">
        <v>16687</v>
      </c>
      <c r="J98" s="2" t="s">
        <v>16688</v>
      </c>
      <c r="K98" s="2" t="s">
        <v>226</v>
      </c>
      <c r="L98" s="2" t="s">
        <v>226</v>
      </c>
      <c r="M98" s="2" t="s">
        <v>16689</v>
      </c>
      <c r="N98" s="2" t="s">
        <v>16690</v>
      </c>
      <c r="O98" s="2" t="s">
        <v>16691</v>
      </c>
      <c r="P98" s="2" t="s">
        <v>16692</v>
      </c>
      <c r="Q98" s="2" t="s">
        <v>16693</v>
      </c>
      <c r="R98" s="2" t="s">
        <v>312</v>
      </c>
      <c r="S98" s="2" t="s">
        <v>313</v>
      </c>
      <c r="T98" s="2" t="s">
        <v>314</v>
      </c>
      <c r="U98" s="2" t="s">
        <v>29</v>
      </c>
      <c r="V98" s="2" t="n">
        <v>3</v>
      </c>
    </row>
    <row r="99">
      <c r="A99" s="2" t="n">
        <v>98</v>
      </c>
      <c r="B99" s="2" t="s">
        <v>16694</v>
      </c>
      <c r="C99" s="2" t="n">
        <v>260.043463087</v>
      </c>
      <c r="D99" s="2" t="n">
        <v>5.09330298562812</v>
      </c>
      <c r="E99" s="2" t="s">
        <v>16695</v>
      </c>
      <c r="F99" s="2" t="s">
        <v>15649</v>
      </c>
      <c r="G99" s="2" t="s">
        <v>16696</v>
      </c>
      <c r="H99" s="2" t="s">
        <v>16697</v>
      </c>
      <c r="I99" s="2" t="s">
        <v>16698</v>
      </c>
      <c r="J99" s="2" t="s">
        <v>16699</v>
      </c>
      <c r="K99" s="2" t="s">
        <v>72</v>
      </c>
      <c r="L99" s="2" t="s">
        <v>16700</v>
      </c>
      <c r="M99" s="2" t="s">
        <v>16701</v>
      </c>
      <c r="N99" s="2" t="s">
        <v>16702</v>
      </c>
      <c r="O99" s="2" t="s">
        <v>16703</v>
      </c>
      <c r="P99" s="2" t="s">
        <v>16704</v>
      </c>
      <c r="Q99" s="2" t="s">
        <v>16705</v>
      </c>
      <c r="R99" s="2" t="s">
        <v>150</v>
      </c>
      <c r="S99" s="2" t="s">
        <v>151</v>
      </c>
      <c r="T99" s="2" t="s">
        <v>288</v>
      </c>
      <c r="U99" s="2" t="s">
        <v>39</v>
      </c>
      <c r="V99" s="2" t="n">
        <v>2</v>
      </c>
    </row>
    <row r="100">
      <c r="A100" s="2" t="n">
        <v>99</v>
      </c>
      <c r="B100" s="2" t="s">
        <v>16706</v>
      </c>
      <c r="C100" s="2" t="n">
        <v>261.091594311</v>
      </c>
      <c r="D100" s="2" t="n">
        <v>0.62003022375747</v>
      </c>
      <c r="E100" s="2" t="s">
        <v>16707</v>
      </c>
      <c r="F100" s="2" t="s">
        <v>15611</v>
      </c>
      <c r="G100" s="2" t="s">
        <v>16708</v>
      </c>
      <c r="H100" s="2" t="s">
        <v>16709</v>
      </c>
      <c r="I100" s="2" t="s">
        <v>16710</v>
      </c>
      <c r="J100" s="2" t="s">
        <v>16711</v>
      </c>
      <c r="K100" s="2" t="s">
        <v>226</v>
      </c>
      <c r="L100" s="2" t="s">
        <v>226</v>
      </c>
      <c r="M100" s="2" t="s">
        <v>226</v>
      </c>
      <c r="N100" s="2" t="s">
        <v>16712</v>
      </c>
      <c r="O100" s="2" t="s">
        <v>16713</v>
      </c>
      <c r="P100" s="2" t="s">
        <v>16714</v>
      </c>
      <c r="Q100" s="2" t="s">
        <v>16715</v>
      </c>
      <c r="R100" s="2" t="s">
        <v>105</v>
      </c>
      <c r="S100" s="2" t="s">
        <v>1614</v>
      </c>
      <c r="T100" s="2" t="s">
        <v>16716</v>
      </c>
      <c r="U100" s="2" t="s">
        <v>29</v>
      </c>
      <c r="V100" s="2" t="n">
        <v>3</v>
      </c>
    </row>
    <row r="101">
      <c r="A101" s="2" t="n">
        <v>100</v>
      </c>
      <c r="B101" s="2" t="s">
        <v>16717</v>
      </c>
      <c r="C101" s="2" t="n">
        <v>263.0429252</v>
      </c>
      <c r="D101" s="2" t="n">
        <v>3.4426141243033</v>
      </c>
      <c r="E101" s="2" t="s">
        <v>16718</v>
      </c>
      <c r="F101" s="2" t="s">
        <v>15649</v>
      </c>
      <c r="G101" s="2" t="s">
        <v>16719</v>
      </c>
      <c r="H101" s="2" t="s">
        <v>16720</v>
      </c>
      <c r="I101" s="2" t="s">
        <v>16721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16722</v>
      </c>
      <c r="O101" s="2" t="s">
        <v>29</v>
      </c>
      <c r="P101" s="2" t="s">
        <v>16723</v>
      </c>
      <c r="Q101" s="2" t="s">
        <v>16724</v>
      </c>
      <c r="R101" s="2" t="s">
        <v>2590</v>
      </c>
      <c r="S101" s="2" t="s">
        <v>2591</v>
      </c>
      <c r="T101" s="2" t="s">
        <v>2592</v>
      </c>
      <c r="U101" s="2" t="s">
        <v>29</v>
      </c>
      <c r="V101" s="2" t="n">
        <v>1</v>
      </c>
    </row>
    <row r="102">
      <c r="A102" s="2" t="n">
        <v>101</v>
      </c>
      <c r="B102" s="2" t="s">
        <v>16725</v>
      </c>
      <c r="C102" s="2" t="n">
        <v>266.161739556</v>
      </c>
      <c r="D102" s="2" t="n">
        <v>0.0960221350327262</v>
      </c>
      <c r="E102" s="2" t="s">
        <v>16726</v>
      </c>
      <c r="F102" s="2" t="s">
        <v>15611</v>
      </c>
      <c r="G102" s="2" t="s">
        <v>16727</v>
      </c>
      <c r="H102" s="2" t="s">
        <v>16728</v>
      </c>
      <c r="I102" s="2" t="s">
        <v>16729</v>
      </c>
      <c r="J102" s="2" t="s">
        <v>16730</v>
      </c>
      <c r="K102" s="2" t="s">
        <v>226</v>
      </c>
      <c r="L102" s="2" t="s">
        <v>226</v>
      </c>
      <c r="M102" s="2" t="s">
        <v>16731</v>
      </c>
      <c r="N102" s="2" t="s">
        <v>16732</v>
      </c>
      <c r="O102" s="2" t="s">
        <v>16733</v>
      </c>
      <c r="P102" s="2" t="s">
        <v>16734</v>
      </c>
      <c r="Q102" s="2" t="s">
        <v>16735</v>
      </c>
      <c r="R102" s="2" t="s">
        <v>16736</v>
      </c>
      <c r="S102" s="2" t="s">
        <v>16737</v>
      </c>
      <c r="T102" s="2" t="s">
        <v>16738</v>
      </c>
      <c r="U102" s="2" t="s">
        <v>29</v>
      </c>
      <c r="V102" s="2" t="n">
        <v>3</v>
      </c>
    </row>
    <row r="103">
      <c r="A103" s="2" t="n">
        <v>102</v>
      </c>
      <c r="B103" s="2" t="s">
        <v>16739</v>
      </c>
      <c r="C103" s="2" t="n">
        <v>268.108052671</v>
      </c>
      <c r="D103" s="2" t="n">
        <v>4.7470004634486</v>
      </c>
      <c r="E103" s="2" t="s">
        <v>16740</v>
      </c>
      <c r="F103" s="2" t="s">
        <v>15649</v>
      </c>
      <c r="G103" s="2" t="s">
        <v>16741</v>
      </c>
      <c r="H103" s="2" t="s">
        <v>16742</v>
      </c>
      <c r="I103" s="2" t="s">
        <v>16743</v>
      </c>
      <c r="J103" s="2" t="s">
        <v>16744</v>
      </c>
      <c r="K103" s="2" t="s">
        <v>29</v>
      </c>
      <c r="L103" s="2" t="s">
        <v>16745</v>
      </c>
      <c r="M103" s="2" t="s">
        <v>16746</v>
      </c>
      <c r="N103" s="2" t="s">
        <v>16747</v>
      </c>
      <c r="O103" s="2" t="s">
        <v>16748</v>
      </c>
      <c r="P103" s="2" t="s">
        <v>16749</v>
      </c>
      <c r="Q103" s="2" t="s">
        <v>16750</v>
      </c>
      <c r="R103" s="2" t="s">
        <v>502</v>
      </c>
      <c r="S103" s="2" t="s">
        <v>503</v>
      </c>
      <c r="T103" s="2" t="s">
        <v>2651</v>
      </c>
      <c r="U103" s="2" t="s">
        <v>39</v>
      </c>
      <c r="V103" s="2" t="n">
        <v>1</v>
      </c>
    </row>
    <row r="104">
      <c r="A104" s="2" t="n">
        <v>103</v>
      </c>
      <c r="B104" s="2" t="s">
        <v>16751</v>
      </c>
      <c r="C104" s="2" t="n">
        <v>271.060648462</v>
      </c>
      <c r="D104" s="2" t="n">
        <v>4.00228120900745</v>
      </c>
      <c r="E104" s="2" t="s">
        <v>16752</v>
      </c>
      <c r="F104" s="2" t="s">
        <v>15624</v>
      </c>
      <c r="G104" s="2" t="s">
        <v>16753</v>
      </c>
      <c r="H104" s="2" t="s">
        <v>16754</v>
      </c>
      <c r="I104" s="2" t="s">
        <v>16755</v>
      </c>
      <c r="J104" s="2" t="s">
        <v>16756</v>
      </c>
      <c r="K104" s="2" t="s">
        <v>16757</v>
      </c>
      <c r="L104" s="2" t="s">
        <v>16758</v>
      </c>
      <c r="M104" s="2" t="s">
        <v>16759</v>
      </c>
      <c r="N104" s="2" t="s">
        <v>16760</v>
      </c>
      <c r="O104" s="2" t="s">
        <v>16761</v>
      </c>
      <c r="P104" s="2" t="s">
        <v>16762</v>
      </c>
      <c r="Q104" s="2" t="s">
        <v>16763</v>
      </c>
      <c r="R104" s="2" t="s">
        <v>3167</v>
      </c>
      <c r="S104" s="2" t="s">
        <v>4213</v>
      </c>
      <c r="T104" s="2" t="s">
        <v>16764</v>
      </c>
      <c r="U104" s="2" t="s">
        <v>39</v>
      </c>
      <c r="V104" s="2" t="n">
        <v>2</v>
      </c>
    </row>
    <row r="105">
      <c r="A105" s="2" t="n">
        <v>104</v>
      </c>
      <c r="B105" s="2" t="s">
        <v>16765</v>
      </c>
      <c r="C105" s="2" t="n">
        <v>271.130185095</v>
      </c>
      <c r="D105" s="2" t="n">
        <v>1.2737075760287</v>
      </c>
      <c r="E105" s="2" t="s">
        <v>16766</v>
      </c>
      <c r="F105" s="2" t="s">
        <v>15649</v>
      </c>
      <c r="G105" s="2" t="s">
        <v>16767</v>
      </c>
      <c r="H105" s="2" t="s">
        <v>16768</v>
      </c>
      <c r="I105" s="2" t="s">
        <v>16769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16770</v>
      </c>
      <c r="Q105" s="2" t="s">
        <v>16771</v>
      </c>
      <c r="R105" s="2" t="s">
        <v>355</v>
      </c>
      <c r="S105" s="2" t="s">
        <v>1316</v>
      </c>
      <c r="T105" s="2" t="s">
        <v>16772</v>
      </c>
      <c r="U105" s="2" t="s">
        <v>29</v>
      </c>
      <c r="V105" s="2" t="n">
        <v>1</v>
      </c>
    </row>
    <row r="106">
      <c r="A106" s="2" t="n">
        <v>105</v>
      </c>
      <c r="B106" s="2" t="s">
        <v>16773</v>
      </c>
      <c r="C106" s="2" t="n">
        <v>272.162096985</v>
      </c>
      <c r="D106" s="2" t="n">
        <v>2.29199979528478</v>
      </c>
      <c r="E106" s="2" t="s">
        <v>16774</v>
      </c>
      <c r="F106" s="2" t="s">
        <v>15858</v>
      </c>
      <c r="G106" s="2" t="s">
        <v>16775</v>
      </c>
      <c r="H106" s="2" t="s">
        <v>16776</v>
      </c>
      <c r="I106" s="2" t="s">
        <v>16777</v>
      </c>
      <c r="J106" s="2" t="s">
        <v>16778</v>
      </c>
      <c r="K106" s="2" t="s">
        <v>226</v>
      </c>
      <c r="L106" s="2" t="s">
        <v>226</v>
      </c>
      <c r="M106" s="2" t="s">
        <v>16779</v>
      </c>
      <c r="N106" s="2" t="s">
        <v>16780</v>
      </c>
      <c r="O106" s="2" t="s">
        <v>16781</v>
      </c>
      <c r="P106" s="2" t="s">
        <v>16782</v>
      </c>
      <c r="Q106" s="2" t="s">
        <v>16783</v>
      </c>
      <c r="R106" s="2" t="s">
        <v>16784</v>
      </c>
      <c r="S106" s="2" t="s">
        <v>16785</v>
      </c>
      <c r="T106" s="2" t="s">
        <v>16786</v>
      </c>
      <c r="U106" s="2" t="s">
        <v>29</v>
      </c>
      <c r="V106" s="2" t="n">
        <v>3</v>
      </c>
    </row>
    <row r="107">
      <c r="A107" s="2" t="n">
        <v>106</v>
      </c>
      <c r="B107" s="2" t="s">
        <v>16787</v>
      </c>
      <c r="C107" s="2" t="n">
        <v>273.080458196</v>
      </c>
      <c r="D107" s="2" t="n">
        <v>7.71007013431572</v>
      </c>
      <c r="E107" s="2" t="s">
        <v>16788</v>
      </c>
      <c r="F107" s="2" t="s">
        <v>15649</v>
      </c>
      <c r="G107" s="2" t="s">
        <v>16789</v>
      </c>
      <c r="H107" s="2" t="s">
        <v>16790</v>
      </c>
      <c r="I107" s="2" t="s">
        <v>16791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16792</v>
      </c>
      <c r="O107" s="2" t="s">
        <v>29</v>
      </c>
      <c r="P107" s="2" t="s">
        <v>16793</v>
      </c>
      <c r="Q107" s="2" t="s">
        <v>16794</v>
      </c>
      <c r="R107" s="2" t="s">
        <v>355</v>
      </c>
      <c r="S107" s="2" t="s">
        <v>2424</v>
      </c>
      <c r="T107" s="2" t="s">
        <v>11439</v>
      </c>
      <c r="U107" s="2" t="s">
        <v>29</v>
      </c>
      <c r="V107" s="2" t="n">
        <v>1</v>
      </c>
    </row>
    <row r="108">
      <c r="A108" s="2" t="n">
        <v>107</v>
      </c>
      <c r="B108" s="2" t="s">
        <v>16795</v>
      </c>
      <c r="C108" s="2" t="n">
        <v>275.055602738</v>
      </c>
      <c r="D108" s="2" t="n">
        <v>0.40147312420728</v>
      </c>
      <c r="E108" s="2" t="s">
        <v>16796</v>
      </c>
      <c r="F108" s="2" t="s">
        <v>15611</v>
      </c>
      <c r="G108" s="2" t="s">
        <v>16797</v>
      </c>
      <c r="H108" s="2" t="s">
        <v>16798</v>
      </c>
      <c r="I108" s="2" t="s">
        <v>16799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16800</v>
      </c>
      <c r="P108" s="2" t="s">
        <v>16801</v>
      </c>
      <c r="Q108" s="2" t="s">
        <v>16802</v>
      </c>
      <c r="R108" s="2" t="s">
        <v>49</v>
      </c>
      <c r="S108" s="2" t="s">
        <v>16803</v>
      </c>
      <c r="T108" s="2" t="s">
        <v>205</v>
      </c>
      <c r="U108" s="2" t="s">
        <v>29</v>
      </c>
      <c r="V108" s="2" t="n">
        <v>1</v>
      </c>
    </row>
    <row r="109">
      <c r="A109" s="2" t="n">
        <v>108</v>
      </c>
      <c r="B109" s="2" t="s">
        <v>16804</v>
      </c>
      <c r="C109" s="2" t="n">
        <v>276.0552601</v>
      </c>
      <c r="D109" s="2" t="n">
        <v>0.979583121061844</v>
      </c>
      <c r="E109" s="2" t="s">
        <v>16805</v>
      </c>
      <c r="F109" s="2" t="s">
        <v>15649</v>
      </c>
      <c r="G109" s="2" t="s">
        <v>16806</v>
      </c>
      <c r="H109" s="2" t="s">
        <v>16807</v>
      </c>
      <c r="I109" s="2" t="s">
        <v>16808</v>
      </c>
      <c r="J109" s="2" t="s">
        <v>16809</v>
      </c>
      <c r="K109" s="2" t="s">
        <v>29</v>
      </c>
      <c r="L109" s="2" t="s">
        <v>29</v>
      </c>
      <c r="M109" s="2" t="s">
        <v>29</v>
      </c>
      <c r="N109" s="2" t="s">
        <v>16810</v>
      </c>
      <c r="O109" s="2" t="s">
        <v>16811</v>
      </c>
      <c r="P109" s="2" t="s">
        <v>16812</v>
      </c>
      <c r="Q109" s="2" t="s">
        <v>16813</v>
      </c>
      <c r="R109" s="2" t="s">
        <v>36</v>
      </c>
      <c r="S109" s="2" t="s">
        <v>37</v>
      </c>
      <c r="T109" s="2" t="s">
        <v>12811</v>
      </c>
      <c r="U109" s="2" t="s">
        <v>29</v>
      </c>
      <c r="V109" s="2" t="n">
        <v>1</v>
      </c>
    </row>
    <row r="110">
      <c r="A110" s="2" t="n">
        <v>109</v>
      </c>
      <c r="B110" s="2" t="s">
        <v>16814</v>
      </c>
      <c r="C110" s="2" t="n">
        <v>277.058514946</v>
      </c>
      <c r="D110" s="2" t="n">
        <v>1.20146394373979</v>
      </c>
      <c r="E110" s="2" t="s">
        <v>16815</v>
      </c>
      <c r="F110" s="2" t="s">
        <v>15919</v>
      </c>
      <c r="G110" s="2" t="s">
        <v>16816</v>
      </c>
      <c r="H110" s="2" t="s">
        <v>16817</v>
      </c>
      <c r="I110" s="2" t="s">
        <v>16818</v>
      </c>
      <c r="J110" s="2" t="s">
        <v>16819</v>
      </c>
      <c r="K110" s="2" t="s">
        <v>29</v>
      </c>
      <c r="L110" s="2" t="s">
        <v>16820</v>
      </c>
      <c r="M110" s="2" t="s">
        <v>16821</v>
      </c>
      <c r="N110" s="2" t="s">
        <v>16822</v>
      </c>
      <c r="O110" s="2" t="s">
        <v>16823</v>
      </c>
      <c r="P110" s="2" t="s">
        <v>16824</v>
      </c>
      <c r="Q110" s="2" t="s">
        <v>16825</v>
      </c>
      <c r="R110" s="2" t="s">
        <v>502</v>
      </c>
      <c r="S110" s="2" t="s">
        <v>503</v>
      </c>
      <c r="T110" s="2" t="s">
        <v>205</v>
      </c>
      <c r="U110" s="2" t="s">
        <v>39</v>
      </c>
      <c r="V110" s="2" t="n">
        <v>1</v>
      </c>
    </row>
    <row r="111">
      <c r="A111" s="2" t="n">
        <v>110</v>
      </c>
      <c r="B111" s="2" t="s">
        <v>16826</v>
      </c>
      <c r="C111" s="2" t="n">
        <v>277.110156586</v>
      </c>
      <c r="D111" s="2" t="n">
        <v>1.10183948542223</v>
      </c>
      <c r="E111" s="2" t="s">
        <v>16827</v>
      </c>
      <c r="F111" s="2" t="s">
        <v>15919</v>
      </c>
      <c r="G111" s="2" t="s">
        <v>16828</v>
      </c>
      <c r="H111" s="2" t="s">
        <v>16829</v>
      </c>
      <c r="I111" s="2" t="s">
        <v>16830</v>
      </c>
      <c r="J111" s="2" t="s">
        <v>16831</v>
      </c>
      <c r="K111" s="2" t="s">
        <v>226</v>
      </c>
      <c r="L111" s="2" t="s">
        <v>226</v>
      </c>
      <c r="M111" s="2" t="s">
        <v>16832</v>
      </c>
      <c r="N111" s="2" t="s">
        <v>16833</v>
      </c>
      <c r="O111" s="2" t="s">
        <v>16834</v>
      </c>
      <c r="P111" s="2" t="s">
        <v>16835</v>
      </c>
      <c r="Q111" s="2" t="s">
        <v>16836</v>
      </c>
      <c r="R111" s="2" t="s">
        <v>517</v>
      </c>
      <c r="S111" s="2" t="s">
        <v>16837</v>
      </c>
      <c r="T111" s="2" t="s">
        <v>16838</v>
      </c>
      <c r="U111" s="2" t="s">
        <v>29</v>
      </c>
      <c r="V111" s="2" t="n">
        <v>3</v>
      </c>
    </row>
    <row r="112">
      <c r="A112" s="2" t="n">
        <v>111</v>
      </c>
      <c r="B112" s="2" t="s">
        <v>16839</v>
      </c>
      <c r="C112" s="2" t="n">
        <v>279.05051736</v>
      </c>
      <c r="D112" s="2" t="n">
        <v>4.17120156463982</v>
      </c>
      <c r="E112" s="2" t="s">
        <v>16840</v>
      </c>
      <c r="F112" s="2" t="s">
        <v>15611</v>
      </c>
      <c r="G112" s="2" t="s">
        <v>16841</v>
      </c>
      <c r="H112" s="2" t="s">
        <v>16842</v>
      </c>
      <c r="I112" s="2" t="s">
        <v>16843</v>
      </c>
      <c r="J112" s="2" t="s">
        <v>16844</v>
      </c>
      <c r="K112" s="2" t="s">
        <v>226</v>
      </c>
      <c r="L112" s="2" t="s">
        <v>226</v>
      </c>
      <c r="M112" s="2" t="s">
        <v>16845</v>
      </c>
      <c r="N112" s="2" t="s">
        <v>16846</v>
      </c>
      <c r="O112" s="2" t="s">
        <v>16847</v>
      </c>
      <c r="P112" s="2" t="s">
        <v>16848</v>
      </c>
      <c r="Q112" s="2" t="s">
        <v>16849</v>
      </c>
      <c r="R112" s="2" t="s">
        <v>5230</v>
      </c>
      <c r="S112" s="2" t="s">
        <v>16850</v>
      </c>
      <c r="T112" s="2" t="s">
        <v>16851</v>
      </c>
      <c r="U112" s="2" t="s">
        <v>29</v>
      </c>
      <c r="V112" s="2" t="n">
        <v>3</v>
      </c>
    </row>
    <row r="113">
      <c r="A113" s="2" t="n">
        <v>112</v>
      </c>
      <c r="B113" s="2" t="s">
        <v>16852</v>
      </c>
      <c r="C113" s="2" t="n">
        <v>283.133459128</v>
      </c>
      <c r="D113" s="2" t="n">
        <v>1.65867497734126</v>
      </c>
      <c r="E113" s="2" t="s">
        <v>16853</v>
      </c>
      <c r="F113" s="2" t="s">
        <v>15611</v>
      </c>
      <c r="G113" s="2" t="s">
        <v>16854</v>
      </c>
      <c r="H113" s="2" t="s">
        <v>16855</v>
      </c>
      <c r="I113" s="2" t="s">
        <v>16856</v>
      </c>
      <c r="J113" s="2" t="s">
        <v>16857</v>
      </c>
      <c r="K113" s="2" t="s">
        <v>16858</v>
      </c>
      <c r="L113" s="2" t="s">
        <v>226</v>
      </c>
      <c r="M113" s="2" t="s">
        <v>226</v>
      </c>
      <c r="N113" s="2" t="s">
        <v>16859</v>
      </c>
      <c r="O113" s="2" t="s">
        <v>16860</v>
      </c>
      <c r="P113" s="2" t="s">
        <v>16861</v>
      </c>
      <c r="Q113" s="2" t="s">
        <v>16862</v>
      </c>
      <c r="R113" s="2" t="s">
        <v>16863</v>
      </c>
      <c r="S113" s="2" t="s">
        <v>16864</v>
      </c>
      <c r="T113" s="2" t="s">
        <v>16865</v>
      </c>
      <c r="U113" s="2" t="s">
        <v>29</v>
      </c>
      <c r="V113" s="2" t="n">
        <v>3</v>
      </c>
    </row>
    <row r="114">
      <c r="A114" s="2" t="n">
        <v>113</v>
      </c>
      <c r="B114" s="2" t="s">
        <v>16866</v>
      </c>
      <c r="C114" s="2" t="n">
        <v>284.135330047</v>
      </c>
      <c r="D114" s="2" t="n">
        <v>0.443466289248329</v>
      </c>
      <c r="E114" s="2" t="s">
        <v>16867</v>
      </c>
      <c r="F114" s="2" t="s">
        <v>15649</v>
      </c>
      <c r="G114" s="2" t="s">
        <v>16868</v>
      </c>
      <c r="H114" s="2" t="s">
        <v>16869</v>
      </c>
      <c r="I114" s="2" t="s">
        <v>16870</v>
      </c>
      <c r="J114" s="2" t="s">
        <v>16871</v>
      </c>
      <c r="K114" s="2" t="s">
        <v>226</v>
      </c>
      <c r="L114" s="2" t="s">
        <v>226</v>
      </c>
      <c r="M114" s="2" t="s">
        <v>16872</v>
      </c>
      <c r="N114" s="2" t="s">
        <v>16873</v>
      </c>
      <c r="O114" s="2" t="s">
        <v>16874</v>
      </c>
      <c r="P114" s="2" t="s">
        <v>16875</v>
      </c>
      <c r="Q114" s="2" t="s">
        <v>16876</v>
      </c>
      <c r="R114" s="2" t="s">
        <v>312</v>
      </c>
      <c r="S114" s="2" t="s">
        <v>313</v>
      </c>
      <c r="T114" s="2" t="s">
        <v>314</v>
      </c>
      <c r="U114" s="2" t="s">
        <v>29</v>
      </c>
      <c r="V114" s="2" t="n">
        <v>3</v>
      </c>
    </row>
    <row r="115">
      <c r="A115" s="2" t="n">
        <v>114</v>
      </c>
      <c r="B115" s="2" t="s">
        <v>16877</v>
      </c>
      <c r="C115" s="2" t="n">
        <v>285.145835159</v>
      </c>
      <c r="D115" s="2" t="n">
        <v>3.54022283225687</v>
      </c>
      <c r="E115" s="2" t="s">
        <v>16878</v>
      </c>
      <c r="F115" s="2" t="s">
        <v>15649</v>
      </c>
      <c r="G115" s="2" t="s">
        <v>16879</v>
      </c>
      <c r="H115" s="2" t="s">
        <v>16880</v>
      </c>
      <c r="I115" s="2" t="s">
        <v>16881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16882</v>
      </c>
      <c r="Q115" s="2" t="s">
        <v>16883</v>
      </c>
      <c r="R115" s="2" t="s">
        <v>355</v>
      </c>
      <c r="S115" s="2" t="s">
        <v>3687</v>
      </c>
      <c r="T115" s="2" t="s">
        <v>10186</v>
      </c>
      <c r="U115" s="2" t="s">
        <v>29</v>
      </c>
      <c r="V115" s="2" t="n">
        <v>1</v>
      </c>
    </row>
    <row r="116">
      <c r="A116" s="2" t="n">
        <v>115</v>
      </c>
      <c r="B116" s="2" t="s">
        <v>16884</v>
      </c>
      <c r="C116" s="2" t="n">
        <v>285.184906012</v>
      </c>
      <c r="D116" s="2" t="n">
        <v>2.9251409706498</v>
      </c>
      <c r="E116" s="2" t="s">
        <v>16885</v>
      </c>
      <c r="F116" s="2" t="s">
        <v>15649</v>
      </c>
      <c r="G116" s="2" t="s">
        <v>16886</v>
      </c>
      <c r="H116" s="2" t="s">
        <v>16887</v>
      </c>
      <c r="I116" s="2" t="s">
        <v>16888</v>
      </c>
      <c r="J116" s="2" t="s">
        <v>16889</v>
      </c>
      <c r="K116" s="2" t="s">
        <v>29</v>
      </c>
      <c r="L116" s="2" t="s">
        <v>16890</v>
      </c>
      <c r="M116" s="2" t="s">
        <v>16891</v>
      </c>
      <c r="N116" s="2" t="s">
        <v>16892</v>
      </c>
      <c r="O116" s="2" t="s">
        <v>16893</v>
      </c>
      <c r="P116" s="2" t="s">
        <v>16894</v>
      </c>
      <c r="Q116" s="2" t="s">
        <v>16895</v>
      </c>
      <c r="R116" s="2" t="s">
        <v>1490</v>
      </c>
      <c r="S116" s="2" t="s">
        <v>3546</v>
      </c>
      <c r="T116" s="2" t="s">
        <v>5462</v>
      </c>
      <c r="U116" s="2" t="s">
        <v>39</v>
      </c>
      <c r="V116" s="2" t="n">
        <v>1</v>
      </c>
    </row>
    <row r="117">
      <c r="A117" s="2" t="n">
        <v>116</v>
      </c>
      <c r="B117" s="2" t="s">
        <v>16896</v>
      </c>
      <c r="C117" s="2" t="n">
        <v>286.094608049</v>
      </c>
      <c r="D117" s="2" t="n">
        <v>2.65317542691796</v>
      </c>
      <c r="E117" s="2" t="s">
        <v>16897</v>
      </c>
      <c r="F117" s="2" t="s">
        <v>15649</v>
      </c>
      <c r="G117" s="2" t="s">
        <v>16898</v>
      </c>
      <c r="H117" s="2" t="s">
        <v>16899</v>
      </c>
      <c r="I117" s="2" t="s">
        <v>16900</v>
      </c>
      <c r="J117" s="2" t="s">
        <v>72</v>
      </c>
      <c r="K117" s="2" t="s">
        <v>72</v>
      </c>
      <c r="L117" s="2" t="s">
        <v>72</v>
      </c>
      <c r="M117" s="2" t="s">
        <v>72</v>
      </c>
      <c r="N117" s="2" t="s">
        <v>16901</v>
      </c>
      <c r="O117" s="2" t="s">
        <v>72</v>
      </c>
      <c r="P117" s="2" t="s">
        <v>16902</v>
      </c>
      <c r="Q117" s="2" t="s">
        <v>16903</v>
      </c>
      <c r="R117" s="2" t="s">
        <v>16904</v>
      </c>
      <c r="S117" s="2" t="s">
        <v>16905</v>
      </c>
      <c r="T117" s="2" t="s">
        <v>16906</v>
      </c>
      <c r="U117" s="2" t="s">
        <v>29</v>
      </c>
      <c r="V117" s="2" t="n">
        <v>2</v>
      </c>
    </row>
    <row r="118">
      <c r="A118" s="2" t="n">
        <v>117</v>
      </c>
      <c r="B118" s="2" t="s">
        <v>16907</v>
      </c>
      <c r="C118" s="2" t="n">
        <v>287.161485228</v>
      </c>
      <c r="D118" s="2" t="n">
        <v>10.2956249165346</v>
      </c>
      <c r="E118" s="2" t="s">
        <v>16908</v>
      </c>
      <c r="F118" s="2" t="s">
        <v>15649</v>
      </c>
      <c r="G118" s="2" t="s">
        <v>16909</v>
      </c>
      <c r="H118" s="2" t="s">
        <v>16910</v>
      </c>
      <c r="I118" s="2" t="s">
        <v>16911</v>
      </c>
      <c r="J118" s="2" t="s">
        <v>16912</v>
      </c>
      <c r="K118" s="2" t="s">
        <v>29</v>
      </c>
      <c r="L118" s="2" t="s">
        <v>16913</v>
      </c>
      <c r="M118" s="2" t="s">
        <v>16914</v>
      </c>
      <c r="N118" s="2" t="s">
        <v>16915</v>
      </c>
      <c r="O118" s="2" t="s">
        <v>16916</v>
      </c>
      <c r="P118" s="2" t="s">
        <v>16917</v>
      </c>
      <c r="Q118" s="2" t="s">
        <v>16918</v>
      </c>
      <c r="R118" s="2" t="s">
        <v>2590</v>
      </c>
      <c r="S118" s="2" t="s">
        <v>3200</v>
      </c>
      <c r="T118" s="2" t="s">
        <v>16919</v>
      </c>
      <c r="U118" s="2" t="s">
        <v>39</v>
      </c>
      <c r="V118" s="2" t="n">
        <v>1</v>
      </c>
    </row>
    <row r="119">
      <c r="A119" s="2" t="n">
        <v>118</v>
      </c>
      <c r="B119" s="2" t="s">
        <v>16920</v>
      </c>
      <c r="C119" s="2" t="n">
        <v>289.13749913</v>
      </c>
      <c r="D119" s="2" t="n">
        <v>4.00571535864741</v>
      </c>
      <c r="E119" s="2" t="s">
        <v>16921</v>
      </c>
      <c r="F119" s="2" t="s">
        <v>15611</v>
      </c>
      <c r="G119" s="2" t="s">
        <v>16922</v>
      </c>
      <c r="H119" s="2" t="s">
        <v>16923</v>
      </c>
      <c r="I119" s="2" t="s">
        <v>16924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16925</v>
      </c>
      <c r="O119" s="2" t="s">
        <v>29</v>
      </c>
      <c r="P119" s="2" t="s">
        <v>16926</v>
      </c>
      <c r="Q119" s="2" t="s">
        <v>16927</v>
      </c>
      <c r="R119" s="2" t="s">
        <v>502</v>
      </c>
      <c r="S119" s="2" t="s">
        <v>2413</v>
      </c>
      <c r="T119" s="2" t="s">
        <v>16928</v>
      </c>
      <c r="U119" s="2" t="s">
        <v>29</v>
      </c>
      <c r="V119" s="2" t="n">
        <v>1</v>
      </c>
    </row>
    <row r="120">
      <c r="A120" s="2" t="n">
        <v>119</v>
      </c>
      <c r="B120" s="2" t="s">
        <v>16929</v>
      </c>
      <c r="C120" s="2" t="n">
        <v>290.132748102</v>
      </c>
      <c r="D120" s="2" t="n">
        <v>1.92124128177903</v>
      </c>
      <c r="E120" s="2" t="s">
        <v>16930</v>
      </c>
      <c r="F120" s="2" t="s">
        <v>15611</v>
      </c>
      <c r="G120" s="2" t="s">
        <v>16931</v>
      </c>
      <c r="H120" s="2" t="s">
        <v>16932</v>
      </c>
      <c r="I120" s="2" t="s">
        <v>16933</v>
      </c>
      <c r="J120" s="2" t="s">
        <v>16934</v>
      </c>
      <c r="K120" s="2" t="s">
        <v>29</v>
      </c>
      <c r="L120" s="2" t="s">
        <v>29</v>
      </c>
      <c r="M120" s="2" t="s">
        <v>29</v>
      </c>
      <c r="N120" s="2" t="s">
        <v>16935</v>
      </c>
      <c r="O120" s="2" t="s">
        <v>29</v>
      </c>
      <c r="P120" s="2" t="s">
        <v>16936</v>
      </c>
      <c r="Q120" s="2" t="s">
        <v>16937</v>
      </c>
      <c r="R120" s="2" t="s">
        <v>355</v>
      </c>
      <c r="S120" s="2" t="s">
        <v>1396</v>
      </c>
      <c r="T120" s="2" t="s">
        <v>205</v>
      </c>
      <c r="U120" s="2" t="s">
        <v>29</v>
      </c>
      <c r="V120" s="2" t="n">
        <v>1</v>
      </c>
    </row>
    <row r="121">
      <c r="A121" s="2" t="n">
        <v>120</v>
      </c>
      <c r="B121" s="2" t="s">
        <v>16938</v>
      </c>
      <c r="C121" s="2" t="n">
        <v>291.13795582</v>
      </c>
      <c r="D121" s="2" t="n">
        <v>0.752891742187995</v>
      </c>
      <c r="E121" s="2" t="s">
        <v>16939</v>
      </c>
      <c r="F121" s="2" t="s">
        <v>15649</v>
      </c>
      <c r="G121" s="2" t="s">
        <v>16940</v>
      </c>
      <c r="H121" s="2" t="s">
        <v>16941</v>
      </c>
      <c r="I121" s="2" t="s">
        <v>16942</v>
      </c>
      <c r="J121" s="2" t="s">
        <v>16943</v>
      </c>
      <c r="K121" s="2" t="s">
        <v>72</v>
      </c>
      <c r="L121" s="2" t="s">
        <v>16944</v>
      </c>
      <c r="M121" s="2" t="s">
        <v>16945</v>
      </c>
      <c r="N121" s="2" t="s">
        <v>16946</v>
      </c>
      <c r="O121" s="2" t="s">
        <v>16947</v>
      </c>
      <c r="P121" s="2" t="s">
        <v>16948</v>
      </c>
      <c r="Q121" s="2" t="s">
        <v>16949</v>
      </c>
      <c r="R121" s="2" t="s">
        <v>480</v>
      </c>
      <c r="S121" s="2" t="s">
        <v>16950</v>
      </c>
      <c r="T121" s="2" t="s">
        <v>16951</v>
      </c>
      <c r="U121" s="2" t="s">
        <v>39</v>
      </c>
      <c r="V121" s="2" t="n">
        <v>2</v>
      </c>
    </row>
    <row r="122">
      <c r="A122" s="2" t="n">
        <v>121</v>
      </c>
      <c r="B122" s="2" t="s">
        <v>16952</v>
      </c>
      <c r="C122" s="2" t="n">
        <v>295.073102378</v>
      </c>
      <c r="D122" s="2" t="n">
        <v>1.05103201007004</v>
      </c>
      <c r="E122" s="2" t="s">
        <v>16953</v>
      </c>
      <c r="F122" s="2" t="s">
        <v>15919</v>
      </c>
      <c r="G122" s="2" t="s">
        <v>16954</v>
      </c>
      <c r="H122" s="2" t="s">
        <v>16955</v>
      </c>
      <c r="I122" s="2" t="s">
        <v>16956</v>
      </c>
      <c r="J122" s="2" t="s">
        <v>16957</v>
      </c>
      <c r="K122" s="2" t="s">
        <v>29</v>
      </c>
      <c r="L122" s="2" t="s">
        <v>16958</v>
      </c>
      <c r="M122" s="2" t="s">
        <v>16959</v>
      </c>
      <c r="N122" s="2" t="s">
        <v>16960</v>
      </c>
      <c r="O122" s="2" t="s">
        <v>16961</v>
      </c>
      <c r="P122" s="2" t="s">
        <v>16962</v>
      </c>
      <c r="Q122" s="2" t="s">
        <v>16963</v>
      </c>
      <c r="R122" s="2" t="s">
        <v>2509</v>
      </c>
      <c r="S122" s="2" t="s">
        <v>8835</v>
      </c>
      <c r="T122" s="2" t="s">
        <v>16964</v>
      </c>
      <c r="U122" s="2" t="s">
        <v>39</v>
      </c>
      <c r="V122" s="2" t="n">
        <v>1</v>
      </c>
    </row>
    <row r="123">
      <c r="A123" s="2" t="n">
        <v>122</v>
      </c>
      <c r="B123" s="2" t="s">
        <v>16965</v>
      </c>
      <c r="C123" s="2" t="n">
        <v>295.226770826</v>
      </c>
      <c r="D123" s="2" t="n">
        <v>3.88961223170258</v>
      </c>
      <c r="E123" s="2" t="s">
        <v>16966</v>
      </c>
      <c r="F123" s="2" t="s">
        <v>15649</v>
      </c>
      <c r="G123" s="2" t="s">
        <v>16967</v>
      </c>
      <c r="H123" s="2" t="s">
        <v>16968</v>
      </c>
      <c r="I123" s="2" t="s">
        <v>16969</v>
      </c>
      <c r="J123" s="2" t="s">
        <v>16970</v>
      </c>
      <c r="K123" s="2" t="s">
        <v>16971</v>
      </c>
      <c r="L123" s="2" t="s">
        <v>16972</v>
      </c>
      <c r="M123" s="2" t="s">
        <v>16973</v>
      </c>
      <c r="N123" s="2" t="s">
        <v>16974</v>
      </c>
      <c r="O123" s="2" t="s">
        <v>16975</v>
      </c>
      <c r="P123" s="2" t="s">
        <v>16976</v>
      </c>
      <c r="Q123" s="2" t="s">
        <v>16977</v>
      </c>
      <c r="R123" s="2" t="s">
        <v>105</v>
      </c>
      <c r="S123" s="2" t="s">
        <v>106</v>
      </c>
      <c r="T123" s="2" t="s">
        <v>16978</v>
      </c>
      <c r="U123" s="2" t="s">
        <v>39</v>
      </c>
      <c r="V123" s="2" t="n">
        <v>3</v>
      </c>
    </row>
    <row r="124">
      <c r="A124" s="2" t="n">
        <v>123</v>
      </c>
      <c r="B124" s="2" t="s">
        <v>16979</v>
      </c>
      <c r="C124" s="2" t="n">
        <v>296.071567419</v>
      </c>
      <c r="D124" s="2" t="n">
        <v>1.63069861313361</v>
      </c>
      <c r="E124" s="2" t="s">
        <v>16980</v>
      </c>
      <c r="F124" s="2" t="s">
        <v>15858</v>
      </c>
      <c r="G124" s="2" t="s">
        <v>16981</v>
      </c>
      <c r="H124" s="2" t="s">
        <v>16982</v>
      </c>
      <c r="I124" s="2" t="s">
        <v>16983</v>
      </c>
      <c r="J124" s="2" t="s">
        <v>16984</v>
      </c>
      <c r="K124" s="2" t="s">
        <v>29</v>
      </c>
      <c r="L124" s="2" t="s">
        <v>29</v>
      </c>
      <c r="M124" s="2" t="s">
        <v>16985</v>
      </c>
      <c r="N124" s="2" t="s">
        <v>16986</v>
      </c>
      <c r="O124" s="2" t="s">
        <v>16987</v>
      </c>
      <c r="P124" s="2" t="s">
        <v>16988</v>
      </c>
      <c r="Q124" s="2" t="s">
        <v>16989</v>
      </c>
      <c r="R124" s="2" t="s">
        <v>502</v>
      </c>
      <c r="S124" s="2" t="s">
        <v>503</v>
      </c>
      <c r="T124" s="2" t="s">
        <v>5166</v>
      </c>
      <c r="U124" s="2" t="s">
        <v>29</v>
      </c>
      <c r="V124" s="2" t="n">
        <v>1</v>
      </c>
    </row>
    <row r="125">
      <c r="A125" s="2" t="n">
        <v>124</v>
      </c>
      <c r="B125" s="2" t="s">
        <v>16990</v>
      </c>
      <c r="C125" s="2" t="n">
        <v>297.148520506</v>
      </c>
      <c r="D125" s="2" t="n">
        <v>1.10966509663563</v>
      </c>
      <c r="E125" s="2" t="s">
        <v>16991</v>
      </c>
      <c r="F125" s="2" t="s">
        <v>15649</v>
      </c>
      <c r="G125" s="2" t="s">
        <v>16992</v>
      </c>
      <c r="H125" s="2" t="s">
        <v>16993</v>
      </c>
      <c r="I125" s="2" t="s">
        <v>16994</v>
      </c>
      <c r="J125" s="2" t="s">
        <v>16995</v>
      </c>
      <c r="K125" s="2" t="s">
        <v>226</v>
      </c>
      <c r="L125" s="2" t="s">
        <v>226</v>
      </c>
      <c r="M125" s="2" t="s">
        <v>16996</v>
      </c>
      <c r="N125" s="2" t="s">
        <v>16997</v>
      </c>
      <c r="O125" s="2" t="s">
        <v>16998</v>
      </c>
      <c r="P125" s="2" t="s">
        <v>16999</v>
      </c>
      <c r="Q125" s="2" t="s">
        <v>17000</v>
      </c>
      <c r="R125" s="2" t="s">
        <v>16863</v>
      </c>
      <c r="S125" s="2" t="s">
        <v>17001</v>
      </c>
      <c r="T125" s="2" t="s">
        <v>17002</v>
      </c>
      <c r="U125" s="2" t="s">
        <v>29</v>
      </c>
      <c r="V125" s="2" t="n">
        <v>3</v>
      </c>
    </row>
    <row r="126">
      <c r="A126" s="2" t="n">
        <v>125</v>
      </c>
      <c r="B126" s="2" t="s">
        <v>17003</v>
      </c>
      <c r="C126" s="2" t="n">
        <v>298.152594931</v>
      </c>
      <c r="D126" s="2" t="n">
        <v>2.76866280382466</v>
      </c>
      <c r="E126" s="2" t="s">
        <v>17004</v>
      </c>
      <c r="F126" s="2" t="s">
        <v>15858</v>
      </c>
      <c r="G126" s="2" t="s">
        <v>17005</v>
      </c>
      <c r="H126" s="2" t="s">
        <v>17006</v>
      </c>
      <c r="I126" s="2" t="s">
        <v>17007</v>
      </c>
      <c r="J126" s="2" t="s">
        <v>17008</v>
      </c>
      <c r="K126" s="2" t="s">
        <v>29</v>
      </c>
      <c r="L126" s="2" t="s">
        <v>17009</v>
      </c>
      <c r="M126" s="2" t="s">
        <v>17010</v>
      </c>
      <c r="N126" s="2" t="s">
        <v>17011</v>
      </c>
      <c r="O126" s="2" t="s">
        <v>17012</v>
      </c>
      <c r="P126" s="2" t="s">
        <v>17013</v>
      </c>
      <c r="Q126" s="2" t="s">
        <v>17014</v>
      </c>
      <c r="R126" s="2" t="s">
        <v>355</v>
      </c>
      <c r="S126" s="2" t="s">
        <v>2424</v>
      </c>
      <c r="T126" s="2" t="s">
        <v>4246</v>
      </c>
      <c r="U126" s="2" t="s">
        <v>39</v>
      </c>
      <c r="V126" s="2" t="n">
        <v>1</v>
      </c>
    </row>
    <row r="127">
      <c r="A127" s="2" t="n">
        <v>126</v>
      </c>
      <c r="B127" s="2" t="s">
        <v>17015</v>
      </c>
      <c r="C127" s="2" t="n">
        <v>299.171930244</v>
      </c>
      <c r="D127" s="2" t="n">
        <v>1.27530597728354</v>
      </c>
      <c r="E127" s="2" t="s">
        <v>17016</v>
      </c>
      <c r="F127" s="2" t="s">
        <v>15624</v>
      </c>
      <c r="G127" s="2" t="s">
        <v>17017</v>
      </c>
      <c r="H127" s="2" t="s">
        <v>17018</v>
      </c>
      <c r="I127" s="2" t="s">
        <v>17019</v>
      </c>
      <c r="J127" s="2" t="s">
        <v>17020</v>
      </c>
      <c r="K127" s="2" t="s">
        <v>72</v>
      </c>
      <c r="L127" s="2" t="s">
        <v>72</v>
      </c>
      <c r="M127" s="2" t="s">
        <v>72</v>
      </c>
      <c r="N127" s="2" t="s">
        <v>17021</v>
      </c>
      <c r="O127" s="2" t="s">
        <v>72</v>
      </c>
      <c r="P127" s="2" t="s">
        <v>17022</v>
      </c>
      <c r="Q127" s="2" t="s">
        <v>17023</v>
      </c>
      <c r="R127" s="2" t="s">
        <v>715</v>
      </c>
      <c r="S127" s="2" t="s">
        <v>716</v>
      </c>
      <c r="T127" s="2" t="s">
        <v>717</v>
      </c>
      <c r="U127" s="2" t="s">
        <v>29</v>
      </c>
      <c r="V127" s="2" t="n">
        <v>2</v>
      </c>
    </row>
    <row r="128">
      <c r="A128" s="2" t="n">
        <v>127</v>
      </c>
      <c r="B128" s="2" t="s">
        <v>17024</v>
      </c>
      <c r="C128" s="2" t="n">
        <v>302.305355952</v>
      </c>
      <c r="D128" s="2" t="n">
        <v>3.44353080493274</v>
      </c>
      <c r="E128" s="2" t="s">
        <v>17025</v>
      </c>
      <c r="F128" s="2" t="s">
        <v>15624</v>
      </c>
      <c r="G128" s="2" t="s">
        <v>17026</v>
      </c>
      <c r="H128" s="2" t="s">
        <v>17027</v>
      </c>
      <c r="I128" s="2" t="s">
        <v>17028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17029</v>
      </c>
      <c r="O128" s="2" t="s">
        <v>29</v>
      </c>
      <c r="P128" s="2" t="s">
        <v>17030</v>
      </c>
      <c r="Q128" s="2" t="s">
        <v>17031</v>
      </c>
      <c r="R128" s="2" t="s">
        <v>36</v>
      </c>
      <c r="S128" s="2" t="s">
        <v>37</v>
      </c>
      <c r="T128" s="2" t="s">
        <v>679</v>
      </c>
      <c r="U128" s="2" t="s">
        <v>29</v>
      </c>
      <c r="V128" s="2" t="n">
        <v>1</v>
      </c>
    </row>
    <row r="129">
      <c r="A129" s="2" t="n">
        <v>128</v>
      </c>
      <c r="B129" s="2" t="s">
        <v>17032</v>
      </c>
      <c r="C129" s="2" t="n">
        <v>303.214686824</v>
      </c>
      <c r="D129" s="2" t="n">
        <v>8.27217249069272</v>
      </c>
      <c r="E129" s="2" t="s">
        <v>17033</v>
      </c>
      <c r="F129" s="2" t="s">
        <v>15611</v>
      </c>
      <c r="G129" s="2" t="s">
        <v>17034</v>
      </c>
      <c r="H129" s="2" t="s">
        <v>17035</v>
      </c>
      <c r="I129" s="2" t="s">
        <v>17036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17037</v>
      </c>
      <c r="O129" s="2" t="s">
        <v>29</v>
      </c>
      <c r="P129" s="2" t="s">
        <v>17038</v>
      </c>
      <c r="Q129" s="2" t="s">
        <v>17039</v>
      </c>
      <c r="R129" s="2" t="s">
        <v>1490</v>
      </c>
      <c r="S129" s="2" t="s">
        <v>3546</v>
      </c>
      <c r="T129" s="2" t="s">
        <v>8741</v>
      </c>
      <c r="U129" s="2" t="s">
        <v>29</v>
      </c>
      <c r="V129" s="2" t="n">
        <v>1</v>
      </c>
    </row>
    <row r="130">
      <c r="A130" s="2" t="n">
        <v>129</v>
      </c>
      <c r="B130" s="2" t="s">
        <v>17040</v>
      </c>
      <c r="C130" s="2" t="n">
        <v>305.22235415</v>
      </c>
      <c r="D130" s="2" t="n">
        <v>2.80046205797923</v>
      </c>
      <c r="E130" s="2" t="s">
        <v>17041</v>
      </c>
      <c r="F130" s="2" t="s">
        <v>15649</v>
      </c>
      <c r="G130" s="2" t="s">
        <v>17042</v>
      </c>
      <c r="H130" s="2" t="s">
        <v>17043</v>
      </c>
      <c r="I130" s="2" t="s">
        <v>17044</v>
      </c>
      <c r="J130" s="2" t="s">
        <v>17045</v>
      </c>
      <c r="K130" s="2" t="s">
        <v>72</v>
      </c>
      <c r="L130" s="2" t="s">
        <v>72</v>
      </c>
      <c r="M130" s="2" t="s">
        <v>72</v>
      </c>
      <c r="N130" s="2" t="s">
        <v>17046</v>
      </c>
      <c r="O130" s="2" t="s">
        <v>17047</v>
      </c>
      <c r="P130" s="2" t="s">
        <v>17048</v>
      </c>
      <c r="Q130" s="2" t="s">
        <v>17049</v>
      </c>
      <c r="R130" s="2" t="s">
        <v>715</v>
      </c>
      <c r="S130" s="2" t="s">
        <v>716</v>
      </c>
      <c r="T130" s="2" t="s">
        <v>717</v>
      </c>
      <c r="U130" s="2" t="s">
        <v>29</v>
      </c>
      <c r="V130" s="2" t="n">
        <v>2</v>
      </c>
    </row>
    <row r="131">
      <c r="A131" s="2" t="n">
        <v>130</v>
      </c>
      <c r="B131" s="2" t="s">
        <v>17050</v>
      </c>
      <c r="C131" s="2" t="n">
        <v>307.044843296</v>
      </c>
      <c r="D131" s="2" t="n">
        <v>0.47388430083887</v>
      </c>
      <c r="E131" s="2" t="s">
        <v>17051</v>
      </c>
      <c r="F131" s="2" t="s">
        <v>15649</v>
      </c>
      <c r="G131" s="2" t="s">
        <v>17052</v>
      </c>
      <c r="H131" s="2" t="s">
        <v>17053</v>
      </c>
      <c r="I131" s="2" t="s">
        <v>17054</v>
      </c>
      <c r="J131" s="2" t="s">
        <v>29</v>
      </c>
      <c r="K131" s="2" t="s">
        <v>29</v>
      </c>
      <c r="L131" s="2" t="s">
        <v>17055</v>
      </c>
      <c r="M131" s="2" t="s">
        <v>17056</v>
      </c>
      <c r="N131" s="2" t="s">
        <v>17057</v>
      </c>
      <c r="O131" s="2" t="s">
        <v>29</v>
      </c>
      <c r="P131" s="2" t="s">
        <v>17058</v>
      </c>
      <c r="Q131" s="2" t="s">
        <v>17059</v>
      </c>
      <c r="R131" s="2" t="s">
        <v>2509</v>
      </c>
      <c r="S131" s="2" t="s">
        <v>5392</v>
      </c>
      <c r="T131" s="2" t="s">
        <v>205</v>
      </c>
      <c r="U131" s="2" t="s">
        <v>39</v>
      </c>
      <c r="V131" s="2" t="n">
        <v>1</v>
      </c>
    </row>
    <row r="132">
      <c r="A132" s="2" t="n">
        <v>131</v>
      </c>
      <c r="B132" s="2" t="s">
        <v>17060</v>
      </c>
      <c r="C132" s="2" t="n">
        <v>308.065666002</v>
      </c>
      <c r="D132" s="2" t="n">
        <v>0.274041869023526</v>
      </c>
      <c r="E132" s="2" t="s">
        <v>17061</v>
      </c>
      <c r="F132" s="2" t="s">
        <v>15919</v>
      </c>
      <c r="G132" s="2" t="s">
        <v>17062</v>
      </c>
      <c r="H132" s="2" t="s">
        <v>17063</v>
      </c>
      <c r="I132" s="2" t="s">
        <v>17064</v>
      </c>
      <c r="J132" s="2" t="s">
        <v>17065</v>
      </c>
      <c r="K132" s="2" t="s">
        <v>29</v>
      </c>
      <c r="L132" s="2" t="s">
        <v>29</v>
      </c>
      <c r="M132" s="2" t="s">
        <v>29</v>
      </c>
      <c r="N132" s="2" t="s">
        <v>17066</v>
      </c>
      <c r="O132" s="2" t="s">
        <v>17067</v>
      </c>
      <c r="P132" s="2" t="s">
        <v>17068</v>
      </c>
      <c r="Q132" s="2" t="s">
        <v>17069</v>
      </c>
      <c r="R132" s="2" t="s">
        <v>355</v>
      </c>
      <c r="S132" s="2" t="s">
        <v>1477</v>
      </c>
      <c r="T132" s="2" t="s">
        <v>205</v>
      </c>
      <c r="U132" s="2" t="s">
        <v>29</v>
      </c>
      <c r="V132" s="2" t="n">
        <v>1</v>
      </c>
    </row>
    <row r="133">
      <c r="A133" s="2" t="n">
        <v>132</v>
      </c>
      <c r="B133" s="2" t="s">
        <v>17070</v>
      </c>
      <c r="C133" s="2" t="n">
        <v>313.274309704</v>
      </c>
      <c r="D133" s="2" t="n">
        <v>3.15496848944659</v>
      </c>
      <c r="E133" s="2" t="s">
        <v>17071</v>
      </c>
      <c r="F133" s="2" t="s">
        <v>15611</v>
      </c>
      <c r="G133" s="2" t="s">
        <v>17072</v>
      </c>
      <c r="H133" s="2" t="s">
        <v>17073</v>
      </c>
      <c r="I133" s="2" t="s">
        <v>17074</v>
      </c>
      <c r="J133" s="2" t="s">
        <v>17075</v>
      </c>
      <c r="K133" s="2" t="s">
        <v>17076</v>
      </c>
      <c r="L133" s="2" t="s">
        <v>226</v>
      </c>
      <c r="M133" s="2" t="s">
        <v>17077</v>
      </c>
      <c r="N133" s="2" t="s">
        <v>17078</v>
      </c>
      <c r="O133" s="2" t="s">
        <v>17079</v>
      </c>
      <c r="P133" s="2" t="s">
        <v>17080</v>
      </c>
      <c r="Q133" s="2" t="s">
        <v>17081</v>
      </c>
      <c r="R133" s="2" t="s">
        <v>105</v>
      </c>
      <c r="S133" s="2" t="s">
        <v>17082</v>
      </c>
      <c r="T133" s="2" t="s">
        <v>17083</v>
      </c>
      <c r="U133" s="2" t="s">
        <v>29</v>
      </c>
      <c r="V133" s="2" t="n">
        <v>3</v>
      </c>
    </row>
    <row r="134">
      <c r="A134" s="2" t="n">
        <v>133</v>
      </c>
      <c r="B134" s="2" t="s">
        <v>17084</v>
      </c>
      <c r="C134" s="2" t="n">
        <v>315.1122256</v>
      </c>
      <c r="D134" s="2" t="n">
        <v>0.563671709925779</v>
      </c>
      <c r="E134" s="2" t="s">
        <v>17085</v>
      </c>
      <c r="F134" s="2" t="s">
        <v>15858</v>
      </c>
      <c r="G134" s="2" t="s">
        <v>17086</v>
      </c>
      <c r="H134" s="2" t="s">
        <v>17087</v>
      </c>
      <c r="I134" s="2" t="s">
        <v>17088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17089</v>
      </c>
      <c r="O134" s="2" t="s">
        <v>29</v>
      </c>
      <c r="P134" s="2" t="s">
        <v>17090</v>
      </c>
      <c r="Q134" s="2" t="s">
        <v>17091</v>
      </c>
      <c r="R134" s="2" t="s">
        <v>502</v>
      </c>
      <c r="S134" s="2" t="s">
        <v>503</v>
      </c>
      <c r="T134" s="2" t="s">
        <v>17092</v>
      </c>
      <c r="U134" s="2" t="s">
        <v>29</v>
      </c>
      <c r="V134" s="2" t="n">
        <v>1</v>
      </c>
    </row>
    <row r="135">
      <c r="A135" s="2" t="n">
        <v>134</v>
      </c>
      <c r="B135" s="2" t="s">
        <v>17093</v>
      </c>
      <c r="C135" s="2" t="n">
        <v>317.11780906</v>
      </c>
      <c r="D135" s="2" t="n">
        <v>3.03140439082492</v>
      </c>
      <c r="E135" s="2" t="s">
        <v>17094</v>
      </c>
      <c r="F135" s="2" t="s">
        <v>15611</v>
      </c>
      <c r="G135" s="2" t="s">
        <v>17095</v>
      </c>
      <c r="H135" s="2" t="s">
        <v>17096</v>
      </c>
      <c r="I135" s="2" t="s">
        <v>17097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17098</v>
      </c>
      <c r="Q135" s="2" t="s">
        <v>17099</v>
      </c>
      <c r="R135" s="2" t="s">
        <v>2509</v>
      </c>
      <c r="S135" s="2" t="s">
        <v>2840</v>
      </c>
      <c r="T135" s="2" t="s">
        <v>8768</v>
      </c>
      <c r="U135" s="2" t="s">
        <v>29</v>
      </c>
      <c r="V135" s="2" t="n">
        <v>1</v>
      </c>
    </row>
    <row r="136">
      <c r="A136" s="2" t="n">
        <v>135</v>
      </c>
      <c r="B136" s="2" t="s">
        <v>17100</v>
      </c>
      <c r="C136" s="2" t="n">
        <v>319.115206372</v>
      </c>
      <c r="D136" s="2" t="n">
        <v>1.35198848538437</v>
      </c>
      <c r="E136" s="2" t="s">
        <v>17101</v>
      </c>
      <c r="F136" s="2" t="s">
        <v>15858</v>
      </c>
      <c r="G136" s="2" t="s">
        <v>17102</v>
      </c>
      <c r="H136" s="2" t="s">
        <v>17103</v>
      </c>
      <c r="I136" s="2" t="s">
        <v>17104</v>
      </c>
      <c r="J136" s="2" t="s">
        <v>29</v>
      </c>
      <c r="K136" s="2" t="s">
        <v>29</v>
      </c>
      <c r="L136" s="2" t="s">
        <v>17105</v>
      </c>
      <c r="M136" s="2" t="s">
        <v>29</v>
      </c>
      <c r="N136" s="2" t="s">
        <v>17106</v>
      </c>
      <c r="O136" s="2" t="s">
        <v>17107</v>
      </c>
      <c r="P136" s="2" t="s">
        <v>17108</v>
      </c>
      <c r="Q136" s="2" t="s">
        <v>17109</v>
      </c>
      <c r="R136" s="2" t="s">
        <v>1490</v>
      </c>
      <c r="S136" s="2" t="s">
        <v>4971</v>
      </c>
      <c r="T136" s="2" t="s">
        <v>5966</v>
      </c>
      <c r="U136" s="2" t="s">
        <v>39</v>
      </c>
      <c r="V136" s="2" t="n">
        <v>1</v>
      </c>
    </row>
    <row r="137">
      <c r="A137" s="2" t="n">
        <v>136</v>
      </c>
      <c r="B137" s="2" t="s">
        <v>17110</v>
      </c>
      <c r="C137" s="2" t="n">
        <v>321.129241626</v>
      </c>
      <c r="D137" s="2" t="n">
        <v>5.2665357478791</v>
      </c>
      <c r="E137" s="2" t="s">
        <v>17111</v>
      </c>
      <c r="F137" s="2" t="s">
        <v>15649</v>
      </c>
      <c r="G137" s="2" t="s">
        <v>17112</v>
      </c>
      <c r="H137" s="2" t="s">
        <v>17113</v>
      </c>
      <c r="I137" s="2" t="s">
        <v>17114</v>
      </c>
      <c r="J137" s="2" t="s">
        <v>17115</v>
      </c>
      <c r="K137" s="2" t="s">
        <v>72</v>
      </c>
      <c r="L137" s="2" t="s">
        <v>72</v>
      </c>
      <c r="M137" s="2" t="s">
        <v>17116</v>
      </c>
      <c r="N137" s="2" t="s">
        <v>17117</v>
      </c>
      <c r="O137" s="2" t="s">
        <v>17118</v>
      </c>
      <c r="P137" s="2" t="s">
        <v>17119</v>
      </c>
      <c r="Q137" s="2" t="s">
        <v>17120</v>
      </c>
      <c r="R137" s="2" t="s">
        <v>1408</v>
      </c>
      <c r="S137" s="2" t="s">
        <v>17121</v>
      </c>
      <c r="T137" s="2" t="s">
        <v>17122</v>
      </c>
      <c r="U137" s="2" t="s">
        <v>29</v>
      </c>
      <c r="V137" s="2" t="n">
        <v>2</v>
      </c>
    </row>
    <row r="138">
      <c r="A138" s="2" t="n">
        <v>137</v>
      </c>
      <c r="B138" s="2" t="s">
        <v>17123</v>
      </c>
      <c r="C138" s="2" t="n">
        <v>325.107049622</v>
      </c>
      <c r="D138" s="2" t="n">
        <v>3.7129043504009</v>
      </c>
      <c r="E138" s="2" t="s">
        <v>17124</v>
      </c>
      <c r="F138" s="2" t="s">
        <v>15649</v>
      </c>
      <c r="G138" s="2" t="s">
        <v>17125</v>
      </c>
      <c r="H138" s="2" t="s">
        <v>17126</v>
      </c>
      <c r="I138" s="2" t="s">
        <v>17127</v>
      </c>
      <c r="J138" s="2" t="s">
        <v>226</v>
      </c>
      <c r="K138" s="2" t="s">
        <v>226</v>
      </c>
      <c r="L138" s="2" t="s">
        <v>226</v>
      </c>
      <c r="M138" s="2" t="s">
        <v>226</v>
      </c>
      <c r="N138" s="2" t="s">
        <v>17128</v>
      </c>
      <c r="O138" s="2" t="s">
        <v>226</v>
      </c>
      <c r="P138" s="2" t="s">
        <v>17129</v>
      </c>
      <c r="Q138" s="2" t="s">
        <v>17130</v>
      </c>
      <c r="R138" s="2" t="s">
        <v>5230</v>
      </c>
      <c r="S138" s="2" t="s">
        <v>17131</v>
      </c>
      <c r="T138" s="2" t="s">
        <v>17132</v>
      </c>
      <c r="U138" s="2" t="s">
        <v>29</v>
      </c>
      <c r="V138" s="2" t="n">
        <v>3</v>
      </c>
    </row>
    <row r="139">
      <c r="A139" s="2" t="n">
        <v>138</v>
      </c>
      <c r="B139" s="2" t="s">
        <v>17133</v>
      </c>
      <c r="C139" s="2" t="n">
        <v>325.179820634</v>
      </c>
      <c r="D139" s="2" t="n">
        <v>3.16630142267133</v>
      </c>
      <c r="E139" s="2" t="s">
        <v>17134</v>
      </c>
      <c r="F139" s="2" t="s">
        <v>15649</v>
      </c>
      <c r="G139" s="2" t="s">
        <v>17135</v>
      </c>
      <c r="H139" s="2" t="s">
        <v>17136</v>
      </c>
      <c r="I139" s="2" t="s">
        <v>17137</v>
      </c>
      <c r="J139" s="2" t="s">
        <v>29</v>
      </c>
      <c r="K139" s="2" t="s">
        <v>29</v>
      </c>
      <c r="L139" s="2" t="s">
        <v>17138</v>
      </c>
      <c r="M139" s="2" t="s">
        <v>29</v>
      </c>
      <c r="N139" s="2" t="s">
        <v>17139</v>
      </c>
      <c r="O139" s="2" t="s">
        <v>29</v>
      </c>
      <c r="P139" s="2" t="s">
        <v>17140</v>
      </c>
      <c r="Q139" s="2" t="s">
        <v>17141</v>
      </c>
      <c r="R139" s="2" t="s">
        <v>1490</v>
      </c>
      <c r="S139" s="2" t="s">
        <v>4971</v>
      </c>
      <c r="T139" s="2" t="s">
        <v>5979</v>
      </c>
      <c r="U139" s="2" t="s">
        <v>39</v>
      </c>
      <c r="V139" s="2" t="n">
        <v>1</v>
      </c>
    </row>
    <row r="140">
      <c r="A140" s="2" t="n">
        <v>139</v>
      </c>
      <c r="B140" s="2" t="s">
        <v>17142</v>
      </c>
      <c r="C140" s="2" t="n">
        <v>326.111124039</v>
      </c>
      <c r="D140" s="2" t="n">
        <v>0.969537567556508</v>
      </c>
      <c r="E140" s="2" t="s">
        <v>17143</v>
      </c>
      <c r="F140" s="2" t="s">
        <v>15858</v>
      </c>
      <c r="G140" s="2" t="s">
        <v>17144</v>
      </c>
      <c r="H140" s="2" t="s">
        <v>17145</v>
      </c>
      <c r="I140" s="2" t="s">
        <v>17146</v>
      </c>
      <c r="J140" s="2" t="s">
        <v>72</v>
      </c>
      <c r="K140" s="2" t="s">
        <v>72</v>
      </c>
      <c r="L140" s="2" t="s">
        <v>72</v>
      </c>
      <c r="M140" s="2" t="s">
        <v>17147</v>
      </c>
      <c r="N140" s="2" t="s">
        <v>17148</v>
      </c>
      <c r="O140" s="2" t="s">
        <v>17149</v>
      </c>
      <c r="P140" s="2" t="s">
        <v>17150</v>
      </c>
      <c r="Q140" s="2" t="s">
        <v>17151</v>
      </c>
      <c r="R140" s="2" t="s">
        <v>4057</v>
      </c>
      <c r="S140" s="2" t="s">
        <v>17152</v>
      </c>
      <c r="T140" s="2" t="s">
        <v>17153</v>
      </c>
      <c r="U140" s="2" t="s">
        <v>29</v>
      </c>
      <c r="V140" s="2" t="n">
        <v>2</v>
      </c>
    </row>
    <row r="141">
      <c r="A141" s="2" t="n">
        <v>140</v>
      </c>
      <c r="B141" s="2" t="s">
        <v>17154</v>
      </c>
      <c r="C141" s="2" t="n">
        <v>327.179144029</v>
      </c>
      <c r="D141" s="2" t="n">
        <v>1.93887827600068</v>
      </c>
      <c r="E141" s="2" t="s">
        <v>17155</v>
      </c>
      <c r="F141" s="2" t="s">
        <v>15858</v>
      </c>
      <c r="G141" s="2" t="s">
        <v>17156</v>
      </c>
      <c r="H141" s="2" t="s">
        <v>17157</v>
      </c>
      <c r="I141" s="2" t="s">
        <v>17158</v>
      </c>
      <c r="J141" s="2" t="s">
        <v>17159</v>
      </c>
      <c r="K141" s="2" t="s">
        <v>29</v>
      </c>
      <c r="L141" s="2" t="s">
        <v>17160</v>
      </c>
      <c r="M141" s="2" t="s">
        <v>17161</v>
      </c>
      <c r="N141" s="2" t="s">
        <v>5138</v>
      </c>
      <c r="O141" s="2" t="s">
        <v>17162</v>
      </c>
      <c r="P141" s="2" t="s">
        <v>17163</v>
      </c>
      <c r="Q141" s="2" t="s">
        <v>17164</v>
      </c>
      <c r="R141" s="2" t="s">
        <v>355</v>
      </c>
      <c r="S141" s="2" t="s">
        <v>466</v>
      </c>
      <c r="T141" s="2" t="s">
        <v>467</v>
      </c>
      <c r="U141" s="2" t="s">
        <v>39</v>
      </c>
      <c r="V141" s="2" t="n">
        <v>1</v>
      </c>
    </row>
    <row r="142">
      <c r="A142" s="2" t="n">
        <v>141</v>
      </c>
      <c r="B142" s="2" t="s">
        <v>17165</v>
      </c>
      <c r="C142" s="2" t="n">
        <v>328.203567873</v>
      </c>
      <c r="D142" s="2" t="n">
        <v>0.0687096268777119</v>
      </c>
      <c r="E142" s="2" t="s">
        <v>17166</v>
      </c>
      <c r="F142" s="2" t="s">
        <v>15858</v>
      </c>
      <c r="G142" s="2" t="s">
        <v>17167</v>
      </c>
      <c r="H142" s="2" t="s">
        <v>17168</v>
      </c>
      <c r="I142" s="2" t="s">
        <v>17169</v>
      </c>
      <c r="J142" s="2" t="s">
        <v>72</v>
      </c>
      <c r="K142" s="2" t="s">
        <v>72</v>
      </c>
      <c r="L142" s="2" t="s">
        <v>72</v>
      </c>
      <c r="M142" s="2" t="s">
        <v>72</v>
      </c>
      <c r="N142" s="2" t="s">
        <v>17170</v>
      </c>
      <c r="O142" s="2" t="s">
        <v>72</v>
      </c>
      <c r="P142" s="2" t="s">
        <v>17171</v>
      </c>
      <c r="Q142" s="2" t="s">
        <v>17172</v>
      </c>
      <c r="R142" s="2" t="s">
        <v>1541</v>
      </c>
      <c r="S142" s="2" t="s">
        <v>17173</v>
      </c>
      <c r="T142" s="2" t="s">
        <v>17174</v>
      </c>
      <c r="U142" s="2" t="s">
        <v>29</v>
      </c>
      <c r="V142" s="2" t="n">
        <v>2</v>
      </c>
    </row>
    <row r="143">
      <c r="A143" s="2" t="n">
        <v>142</v>
      </c>
      <c r="B143" s="2" t="s">
        <v>17175</v>
      </c>
      <c r="C143" s="2" t="n">
        <v>329.168211027</v>
      </c>
      <c r="D143" s="2" t="n">
        <v>12.7785997129522</v>
      </c>
      <c r="E143" s="2" t="s">
        <v>17176</v>
      </c>
      <c r="F143" s="2" t="s">
        <v>15624</v>
      </c>
      <c r="G143" s="2" t="s">
        <v>17177</v>
      </c>
      <c r="H143" s="2" t="s">
        <v>17178</v>
      </c>
      <c r="I143" s="2" t="s">
        <v>17179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17180</v>
      </c>
      <c r="P143" s="2" t="s">
        <v>17181</v>
      </c>
      <c r="Q143" s="2" t="s">
        <v>17182</v>
      </c>
      <c r="R143" s="2" t="s">
        <v>355</v>
      </c>
      <c r="S143" s="2" t="s">
        <v>13040</v>
      </c>
      <c r="T143" s="2" t="s">
        <v>17183</v>
      </c>
      <c r="U143" s="2" t="s">
        <v>29</v>
      </c>
      <c r="V143" s="2" t="n">
        <v>1</v>
      </c>
    </row>
    <row r="144">
      <c r="A144" s="2" t="n">
        <v>143</v>
      </c>
      <c r="B144" s="2" t="s">
        <v>17184</v>
      </c>
      <c r="C144" s="2" t="n">
        <v>329.20630589</v>
      </c>
      <c r="D144" s="2" t="n">
        <v>1.53628506148698</v>
      </c>
      <c r="E144" s="2" t="s">
        <v>17185</v>
      </c>
      <c r="F144" s="2" t="s">
        <v>15691</v>
      </c>
      <c r="G144" s="2" t="s">
        <v>17186</v>
      </c>
      <c r="H144" s="2" t="s">
        <v>17187</v>
      </c>
      <c r="I144" s="2" t="s">
        <v>17188</v>
      </c>
      <c r="J144" s="2" t="s">
        <v>17189</v>
      </c>
      <c r="K144" s="2" t="s">
        <v>17190</v>
      </c>
      <c r="L144" s="2" t="s">
        <v>226</v>
      </c>
      <c r="M144" s="2" t="s">
        <v>226</v>
      </c>
      <c r="N144" s="2" t="s">
        <v>17191</v>
      </c>
      <c r="O144" s="2" t="s">
        <v>17192</v>
      </c>
      <c r="P144" s="2" t="s">
        <v>17193</v>
      </c>
      <c r="Q144" s="2" t="s">
        <v>17194</v>
      </c>
      <c r="R144" s="2" t="s">
        <v>105</v>
      </c>
      <c r="S144" s="2" t="s">
        <v>106</v>
      </c>
      <c r="T144" s="2" t="s">
        <v>17195</v>
      </c>
      <c r="U144" s="2" t="s">
        <v>29</v>
      </c>
      <c r="V144" s="2" t="n">
        <v>3</v>
      </c>
    </row>
    <row r="145">
      <c r="A145" s="2" t="n">
        <v>144</v>
      </c>
      <c r="B145" s="2" t="s">
        <v>17196</v>
      </c>
      <c r="C145" s="2" t="n">
        <v>331.100444918</v>
      </c>
      <c r="D145" s="2" t="n">
        <v>6.10127981575982</v>
      </c>
      <c r="E145" s="2" t="s">
        <v>17197</v>
      </c>
      <c r="F145" s="2" t="s">
        <v>15611</v>
      </c>
      <c r="G145" s="2" t="s">
        <v>17198</v>
      </c>
      <c r="H145" s="2" t="s">
        <v>17199</v>
      </c>
      <c r="I145" s="2" t="s">
        <v>17200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17201</v>
      </c>
      <c r="O145" s="2" t="s">
        <v>29</v>
      </c>
      <c r="P145" s="2" t="s">
        <v>17202</v>
      </c>
      <c r="Q145" s="2" t="s">
        <v>17203</v>
      </c>
      <c r="R145" s="2" t="s">
        <v>1490</v>
      </c>
      <c r="S145" s="2" t="s">
        <v>3546</v>
      </c>
      <c r="T145" s="2" t="s">
        <v>17204</v>
      </c>
      <c r="U145" s="2" t="s">
        <v>29</v>
      </c>
      <c r="V145" s="2" t="n">
        <v>1</v>
      </c>
    </row>
    <row r="146">
      <c r="A146" s="2" t="n">
        <v>145</v>
      </c>
      <c r="B146" s="2" t="s">
        <v>17205</v>
      </c>
      <c r="C146" s="2" t="n">
        <v>333.175553431</v>
      </c>
      <c r="D146" s="2" t="n">
        <v>1.54587630976219</v>
      </c>
      <c r="E146" s="2" t="s">
        <v>17206</v>
      </c>
      <c r="F146" s="2" t="s">
        <v>15919</v>
      </c>
      <c r="G146" s="2" t="s">
        <v>17207</v>
      </c>
      <c r="H146" s="2" t="s">
        <v>17208</v>
      </c>
      <c r="I146" s="2" t="s">
        <v>17209</v>
      </c>
      <c r="J146" s="2" t="s">
        <v>17210</v>
      </c>
      <c r="K146" s="2" t="s">
        <v>29</v>
      </c>
      <c r="L146" s="2" t="s">
        <v>29</v>
      </c>
      <c r="M146" s="2" t="s">
        <v>29</v>
      </c>
      <c r="N146" s="2" t="s">
        <v>17211</v>
      </c>
      <c r="O146" s="2" t="s">
        <v>17212</v>
      </c>
      <c r="P146" s="2" t="s">
        <v>17213</v>
      </c>
      <c r="Q146" s="2" t="s">
        <v>17214</v>
      </c>
      <c r="R146" s="2" t="s">
        <v>49</v>
      </c>
      <c r="S146" s="2" t="s">
        <v>782</v>
      </c>
      <c r="T146" s="2" t="s">
        <v>17215</v>
      </c>
      <c r="U146" s="2" t="s">
        <v>29</v>
      </c>
      <c r="V146" s="2" t="n">
        <v>1</v>
      </c>
    </row>
    <row r="147">
      <c r="A147" s="2" t="n">
        <v>146</v>
      </c>
      <c r="B147" s="2" t="s">
        <v>17216</v>
      </c>
      <c r="C147" s="2" t="n">
        <v>336.054217559</v>
      </c>
      <c r="D147" s="2" t="n">
        <v>3.75659138537511</v>
      </c>
      <c r="E147" s="2" t="s">
        <v>17217</v>
      </c>
      <c r="F147" s="2" t="s">
        <v>15858</v>
      </c>
      <c r="G147" s="2" t="s">
        <v>17218</v>
      </c>
      <c r="H147" s="2" t="s">
        <v>17219</v>
      </c>
      <c r="I147" s="2" t="s">
        <v>17220</v>
      </c>
      <c r="J147" s="2" t="s">
        <v>17221</v>
      </c>
      <c r="K147" s="2" t="s">
        <v>29</v>
      </c>
      <c r="L147" s="2" t="s">
        <v>17222</v>
      </c>
      <c r="M147" s="2" t="s">
        <v>17223</v>
      </c>
      <c r="N147" s="2" t="s">
        <v>17224</v>
      </c>
      <c r="O147" s="2" t="s">
        <v>17225</v>
      </c>
      <c r="P147" s="2" t="s">
        <v>17226</v>
      </c>
      <c r="Q147" s="2" t="s">
        <v>17227</v>
      </c>
      <c r="R147" s="2" t="s">
        <v>355</v>
      </c>
      <c r="S147" s="2" t="s">
        <v>356</v>
      </c>
      <c r="T147" s="2" t="s">
        <v>17228</v>
      </c>
      <c r="U147" s="2" t="s">
        <v>39</v>
      </c>
      <c r="V147" s="2" t="n">
        <v>1</v>
      </c>
    </row>
    <row r="148">
      <c r="A148" s="2" t="n">
        <v>147</v>
      </c>
      <c r="B148" s="2" t="s">
        <v>17229</v>
      </c>
      <c r="C148" s="2" t="n">
        <v>336.948755526</v>
      </c>
      <c r="D148" s="2" t="n">
        <v>3.41317412465668</v>
      </c>
      <c r="E148" s="2" t="s">
        <v>17230</v>
      </c>
      <c r="F148" s="2" t="s">
        <v>15722</v>
      </c>
      <c r="G148" s="2" t="s">
        <v>17231</v>
      </c>
      <c r="H148" s="2" t="s">
        <v>17232</v>
      </c>
      <c r="I148" s="2" t="s">
        <v>17233</v>
      </c>
      <c r="J148" s="2" t="s">
        <v>17234</v>
      </c>
      <c r="K148" s="2" t="s">
        <v>226</v>
      </c>
      <c r="L148" s="2" t="s">
        <v>17235</v>
      </c>
      <c r="M148" s="2" t="s">
        <v>17236</v>
      </c>
      <c r="N148" s="2" t="s">
        <v>17237</v>
      </c>
      <c r="O148" s="2" t="s">
        <v>17238</v>
      </c>
      <c r="P148" s="2" t="s">
        <v>17239</v>
      </c>
      <c r="Q148" s="2" t="s">
        <v>17240</v>
      </c>
      <c r="R148" s="2" t="s">
        <v>967</v>
      </c>
      <c r="S148" s="2" t="s">
        <v>968</v>
      </c>
      <c r="T148" s="2" t="s">
        <v>17241</v>
      </c>
      <c r="U148" s="2" t="s">
        <v>39</v>
      </c>
      <c r="V148" s="2" t="n">
        <v>3</v>
      </c>
    </row>
    <row r="149">
      <c r="A149" s="2" t="n">
        <v>148</v>
      </c>
      <c r="B149" s="2" t="s">
        <v>17242</v>
      </c>
      <c r="C149" s="2" t="n">
        <v>337.110420918</v>
      </c>
      <c r="D149" s="2" t="n">
        <v>3.95959453709402</v>
      </c>
      <c r="E149" s="2" t="s">
        <v>17243</v>
      </c>
      <c r="F149" s="2" t="s">
        <v>15649</v>
      </c>
      <c r="G149" s="2" t="s">
        <v>17244</v>
      </c>
      <c r="H149" s="2" t="s">
        <v>17245</v>
      </c>
      <c r="I149" s="2" t="s">
        <v>17246</v>
      </c>
      <c r="J149" s="2" t="s">
        <v>17247</v>
      </c>
      <c r="K149" s="2" t="s">
        <v>29</v>
      </c>
      <c r="L149" s="2" t="s">
        <v>17248</v>
      </c>
      <c r="M149" s="2" t="s">
        <v>17249</v>
      </c>
      <c r="N149" s="2" t="s">
        <v>17250</v>
      </c>
      <c r="O149" s="2" t="s">
        <v>17251</v>
      </c>
      <c r="P149" s="2" t="s">
        <v>17252</v>
      </c>
      <c r="Q149" s="2" t="s">
        <v>17253</v>
      </c>
      <c r="R149" s="2" t="s">
        <v>502</v>
      </c>
      <c r="S149" s="2" t="s">
        <v>503</v>
      </c>
      <c r="T149" s="2" t="s">
        <v>5710</v>
      </c>
      <c r="U149" s="2" t="s">
        <v>39</v>
      </c>
      <c r="V149" s="2" t="n">
        <v>1</v>
      </c>
    </row>
    <row r="150">
      <c r="A150" s="2" t="n">
        <v>149</v>
      </c>
      <c r="B150" s="2" t="s">
        <v>17254</v>
      </c>
      <c r="C150" s="2" t="n">
        <v>337.273721018</v>
      </c>
      <c r="D150" s="2" t="n">
        <v>3.23778768996385</v>
      </c>
      <c r="E150" s="2" t="s">
        <v>17255</v>
      </c>
      <c r="F150" s="2" t="s">
        <v>15649</v>
      </c>
      <c r="G150" s="2" t="s">
        <v>17256</v>
      </c>
      <c r="H150" s="2" t="s">
        <v>17257</v>
      </c>
      <c r="I150" s="2" t="s">
        <v>17258</v>
      </c>
      <c r="J150" s="2" t="s">
        <v>17259</v>
      </c>
      <c r="K150" s="2" t="s">
        <v>17260</v>
      </c>
      <c r="L150" s="2" t="s">
        <v>226</v>
      </c>
      <c r="M150" s="2" t="s">
        <v>226</v>
      </c>
      <c r="N150" s="2" t="s">
        <v>17261</v>
      </c>
      <c r="O150" s="2" t="s">
        <v>17262</v>
      </c>
      <c r="P150" s="2" t="s">
        <v>17263</v>
      </c>
      <c r="Q150" s="2" t="s">
        <v>17264</v>
      </c>
      <c r="R150" s="2" t="s">
        <v>105</v>
      </c>
      <c r="S150" s="2" t="s">
        <v>106</v>
      </c>
      <c r="T150" s="2" t="s">
        <v>107</v>
      </c>
      <c r="U150" s="2" t="s">
        <v>29</v>
      </c>
      <c r="V150" s="2" t="n">
        <v>3</v>
      </c>
    </row>
    <row r="151">
      <c r="A151" s="2" t="n">
        <v>150</v>
      </c>
      <c r="B151" s="2" t="s">
        <v>17265</v>
      </c>
      <c r="C151" s="2" t="n">
        <v>338.342329689</v>
      </c>
      <c r="D151" s="2" t="n">
        <v>4.8033797353367</v>
      </c>
      <c r="E151" s="2" t="s">
        <v>17266</v>
      </c>
      <c r="F151" s="2" t="s">
        <v>15611</v>
      </c>
      <c r="G151" s="2" t="s">
        <v>17267</v>
      </c>
      <c r="H151" s="2" t="s">
        <v>17268</v>
      </c>
      <c r="I151" s="2" t="s">
        <v>17269</v>
      </c>
      <c r="J151" s="2" t="s">
        <v>17270</v>
      </c>
      <c r="K151" s="2" t="s">
        <v>17271</v>
      </c>
      <c r="L151" s="2" t="s">
        <v>29</v>
      </c>
      <c r="M151" s="2" t="s">
        <v>17272</v>
      </c>
      <c r="N151" s="2" t="s">
        <v>17273</v>
      </c>
      <c r="O151" s="2" t="s">
        <v>17274</v>
      </c>
      <c r="P151" s="2" t="s">
        <v>17275</v>
      </c>
      <c r="Q151" s="2" t="s">
        <v>17276</v>
      </c>
      <c r="R151" s="2" t="s">
        <v>36</v>
      </c>
      <c r="S151" s="2" t="s">
        <v>37</v>
      </c>
      <c r="T151" s="2" t="s">
        <v>679</v>
      </c>
      <c r="U151" s="2" t="s">
        <v>29</v>
      </c>
      <c r="V151" s="2" t="n">
        <v>1</v>
      </c>
    </row>
    <row r="152">
      <c r="A152" s="2" t="n">
        <v>151</v>
      </c>
      <c r="B152" s="2" t="s">
        <v>17277</v>
      </c>
      <c r="C152" s="2" t="n">
        <v>343.222748074</v>
      </c>
      <c r="D152" s="2" t="n">
        <v>0.855062377845943</v>
      </c>
      <c r="E152" s="2" t="s">
        <v>17278</v>
      </c>
      <c r="F152" s="2" t="s">
        <v>15649</v>
      </c>
      <c r="G152" s="2" t="s">
        <v>17279</v>
      </c>
      <c r="H152" s="2" t="s">
        <v>17280</v>
      </c>
      <c r="I152" s="2" t="s">
        <v>17281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17282</v>
      </c>
      <c r="O152" s="2" t="s">
        <v>29</v>
      </c>
      <c r="P152" s="2" t="s">
        <v>17283</v>
      </c>
      <c r="Q152" s="2" t="s">
        <v>17284</v>
      </c>
      <c r="R152" s="2" t="s">
        <v>49</v>
      </c>
      <c r="S152" s="2" t="s">
        <v>165</v>
      </c>
      <c r="T152" s="2" t="s">
        <v>166</v>
      </c>
      <c r="U152" s="2" t="s">
        <v>29</v>
      </c>
      <c r="V152" s="2" t="n">
        <v>1</v>
      </c>
    </row>
    <row r="153">
      <c r="A153" s="2" t="n">
        <v>152</v>
      </c>
      <c r="B153" s="2" t="s">
        <v>17285</v>
      </c>
      <c r="C153" s="2" t="n">
        <v>347.133658302</v>
      </c>
      <c r="D153" s="2" t="n">
        <v>3.34599629800665</v>
      </c>
      <c r="E153" s="2" t="s">
        <v>17286</v>
      </c>
      <c r="F153" s="2" t="s">
        <v>15649</v>
      </c>
      <c r="G153" s="2" t="s">
        <v>17287</v>
      </c>
      <c r="H153" s="2" t="s">
        <v>17288</v>
      </c>
      <c r="I153" s="2" t="s">
        <v>17289</v>
      </c>
      <c r="J153" s="2" t="s">
        <v>29</v>
      </c>
      <c r="K153" s="2" t="s">
        <v>29</v>
      </c>
      <c r="L153" s="2" t="s">
        <v>17290</v>
      </c>
      <c r="M153" s="2" t="s">
        <v>29</v>
      </c>
      <c r="N153" s="2" t="s">
        <v>17291</v>
      </c>
      <c r="O153" s="2" t="s">
        <v>17292</v>
      </c>
      <c r="P153" s="2" t="s">
        <v>17293</v>
      </c>
      <c r="Q153" s="2" t="s">
        <v>17294</v>
      </c>
      <c r="R153" s="2" t="s">
        <v>1490</v>
      </c>
      <c r="S153" s="2" t="s">
        <v>4971</v>
      </c>
      <c r="T153" s="2" t="s">
        <v>5010</v>
      </c>
      <c r="U153" s="2" t="s">
        <v>39</v>
      </c>
      <c r="V153" s="2" t="n">
        <v>1</v>
      </c>
    </row>
    <row r="154">
      <c r="A154" s="2" t="n">
        <v>153</v>
      </c>
      <c r="B154" s="2" t="s">
        <v>17295</v>
      </c>
      <c r="C154" s="2" t="n">
        <v>347.187226029</v>
      </c>
      <c r="D154" s="2" t="n">
        <v>12.2360635376474</v>
      </c>
      <c r="E154" s="2" t="s">
        <v>17296</v>
      </c>
      <c r="F154" s="2" t="s">
        <v>15611</v>
      </c>
      <c r="G154" s="2" t="s">
        <v>17297</v>
      </c>
      <c r="H154" s="2" t="s">
        <v>17298</v>
      </c>
      <c r="I154" s="2" t="s">
        <v>17299</v>
      </c>
      <c r="J154" s="2" t="s">
        <v>17300</v>
      </c>
      <c r="K154" s="2" t="s">
        <v>29</v>
      </c>
      <c r="L154" s="2" t="s">
        <v>29</v>
      </c>
      <c r="M154" s="2" t="s">
        <v>29</v>
      </c>
      <c r="N154" s="2" t="s">
        <v>17301</v>
      </c>
      <c r="O154" s="2" t="s">
        <v>17302</v>
      </c>
      <c r="P154" s="2" t="s">
        <v>17303</v>
      </c>
      <c r="Q154" s="2" t="s">
        <v>17304</v>
      </c>
      <c r="R154" s="2" t="s">
        <v>355</v>
      </c>
      <c r="S154" s="2" t="s">
        <v>17305</v>
      </c>
      <c r="T154" s="2" t="s">
        <v>205</v>
      </c>
      <c r="U154" s="2" t="s">
        <v>29</v>
      </c>
      <c r="V154" s="2" t="n">
        <v>1</v>
      </c>
    </row>
    <row r="155">
      <c r="A155" s="2" t="n">
        <v>154</v>
      </c>
      <c r="B155" s="2" t="s">
        <v>17306</v>
      </c>
      <c r="C155" s="2" t="n">
        <v>349.180409317</v>
      </c>
      <c r="D155" s="2" t="n">
        <v>2.39396792224937</v>
      </c>
      <c r="E155" s="2" t="s">
        <v>17307</v>
      </c>
      <c r="F155" s="2" t="s">
        <v>15611</v>
      </c>
      <c r="G155" s="2" t="s">
        <v>17308</v>
      </c>
      <c r="H155" s="2" t="s">
        <v>17309</v>
      </c>
      <c r="I155" s="2" t="s">
        <v>17310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17311</v>
      </c>
      <c r="O155" s="2" t="s">
        <v>29</v>
      </c>
      <c r="P155" s="2" t="s">
        <v>17312</v>
      </c>
      <c r="Q155" s="2" t="s">
        <v>17313</v>
      </c>
      <c r="R155" s="2" t="s">
        <v>502</v>
      </c>
      <c r="S155" s="2" t="s">
        <v>503</v>
      </c>
      <c r="T155" s="2" t="s">
        <v>5917</v>
      </c>
      <c r="U155" s="2" t="s">
        <v>29</v>
      </c>
      <c r="V155" s="2" t="n">
        <v>1</v>
      </c>
    </row>
    <row r="156">
      <c r="A156" s="2" t="n">
        <v>155</v>
      </c>
      <c r="B156" s="2" t="s">
        <v>17314</v>
      </c>
      <c r="C156" s="2" t="n">
        <v>350.075328433</v>
      </c>
      <c r="D156" s="2" t="n">
        <v>2.91575694076603</v>
      </c>
      <c r="E156" s="2" t="s">
        <v>17315</v>
      </c>
      <c r="F156" s="2" t="s">
        <v>15919</v>
      </c>
      <c r="G156" s="2" t="s">
        <v>17316</v>
      </c>
      <c r="H156" s="2" t="s">
        <v>17317</v>
      </c>
      <c r="I156" s="2" t="s">
        <v>17318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17319</v>
      </c>
      <c r="O156" s="2" t="s">
        <v>29</v>
      </c>
      <c r="P156" s="2" t="s">
        <v>17320</v>
      </c>
      <c r="Q156" s="2" t="s">
        <v>17321</v>
      </c>
      <c r="R156" s="2" t="s">
        <v>355</v>
      </c>
      <c r="S156" s="2" t="s">
        <v>1580</v>
      </c>
      <c r="T156" s="2" t="s">
        <v>17322</v>
      </c>
      <c r="U156" s="2" t="s">
        <v>29</v>
      </c>
      <c r="V156" s="2" t="n">
        <v>1</v>
      </c>
    </row>
    <row r="157">
      <c r="A157" s="2" t="n">
        <v>156</v>
      </c>
      <c r="B157" s="2" t="s">
        <v>17323</v>
      </c>
      <c r="C157" s="2" t="n">
        <v>351.191447945</v>
      </c>
      <c r="D157" s="2" t="n">
        <v>0.274402258508317</v>
      </c>
      <c r="E157" s="2" t="s">
        <v>17324</v>
      </c>
      <c r="F157" s="2" t="s">
        <v>15649</v>
      </c>
      <c r="G157" s="2" t="s">
        <v>17325</v>
      </c>
      <c r="H157" s="2" t="s">
        <v>17326</v>
      </c>
      <c r="I157" s="2" t="s">
        <v>17327</v>
      </c>
      <c r="J157" s="2" t="s">
        <v>17328</v>
      </c>
      <c r="K157" s="2" t="s">
        <v>29</v>
      </c>
      <c r="L157" s="2" t="s">
        <v>29</v>
      </c>
      <c r="M157" s="2" t="s">
        <v>29</v>
      </c>
      <c r="N157" s="2" t="s">
        <v>17329</v>
      </c>
      <c r="O157" s="2" t="s">
        <v>29</v>
      </c>
      <c r="P157" s="2" t="s">
        <v>17330</v>
      </c>
      <c r="Q157" s="2" t="s">
        <v>17331</v>
      </c>
      <c r="R157" s="2" t="s">
        <v>49</v>
      </c>
      <c r="S157" s="2" t="s">
        <v>165</v>
      </c>
      <c r="T157" s="2" t="s">
        <v>166</v>
      </c>
      <c r="U157" s="2" t="s">
        <v>29</v>
      </c>
      <c r="V157" s="2" t="n">
        <v>1</v>
      </c>
    </row>
    <row r="158">
      <c r="A158" s="2" t="n">
        <v>157</v>
      </c>
      <c r="B158" s="2" t="s">
        <v>17332</v>
      </c>
      <c r="C158" s="2" t="n">
        <v>352.0404828</v>
      </c>
      <c r="D158" s="2" t="n">
        <v>1.90831013518542</v>
      </c>
      <c r="E158" s="2" t="s">
        <v>17333</v>
      </c>
      <c r="F158" s="2" t="s">
        <v>15649</v>
      </c>
      <c r="G158" s="2" t="s">
        <v>17334</v>
      </c>
      <c r="H158" s="2" t="s">
        <v>17335</v>
      </c>
      <c r="I158" s="2" t="s">
        <v>17336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17337</v>
      </c>
      <c r="O158" s="2" t="s">
        <v>29</v>
      </c>
      <c r="P158" s="2" t="s">
        <v>17338</v>
      </c>
      <c r="Q158" s="2" t="s">
        <v>17339</v>
      </c>
      <c r="R158" s="2" t="s">
        <v>49</v>
      </c>
      <c r="S158" s="2" t="s">
        <v>165</v>
      </c>
      <c r="T158" s="2" t="s">
        <v>166</v>
      </c>
      <c r="U158" s="2" t="s">
        <v>29</v>
      </c>
      <c r="V158" s="2" t="n">
        <v>1</v>
      </c>
    </row>
    <row r="159">
      <c r="A159" s="2" t="n">
        <v>158</v>
      </c>
      <c r="B159" s="2" t="s">
        <v>17340</v>
      </c>
      <c r="C159" s="2" t="n">
        <v>353.076160665</v>
      </c>
      <c r="D159" s="2" t="n">
        <v>3.06233551679429</v>
      </c>
      <c r="E159" s="2" t="s">
        <v>17341</v>
      </c>
      <c r="F159" s="2" t="s">
        <v>15649</v>
      </c>
      <c r="G159" s="2" t="s">
        <v>17342</v>
      </c>
      <c r="H159" s="2" t="s">
        <v>17343</v>
      </c>
      <c r="I159" s="2" t="s">
        <v>17344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17345</v>
      </c>
      <c r="O159" s="2" t="s">
        <v>29</v>
      </c>
      <c r="P159" s="2" t="s">
        <v>17346</v>
      </c>
      <c r="Q159" s="2" t="s">
        <v>17347</v>
      </c>
      <c r="R159" s="2" t="s">
        <v>49</v>
      </c>
      <c r="S159" s="2" t="s">
        <v>165</v>
      </c>
      <c r="T159" s="2" t="s">
        <v>166</v>
      </c>
      <c r="U159" s="2" t="s">
        <v>29</v>
      </c>
      <c r="V159" s="2" t="n">
        <v>1</v>
      </c>
    </row>
    <row r="160">
      <c r="A160" s="2" t="n">
        <v>159</v>
      </c>
      <c r="B160" s="2" t="s">
        <v>17348</v>
      </c>
      <c r="C160" s="2" t="n">
        <v>354.106095115</v>
      </c>
      <c r="D160" s="2" t="n">
        <v>5.95342934037126</v>
      </c>
      <c r="E160" s="2" t="s">
        <v>17349</v>
      </c>
      <c r="F160" s="2" t="s">
        <v>15624</v>
      </c>
      <c r="G160" s="2" t="s">
        <v>17350</v>
      </c>
      <c r="H160" s="2" t="s">
        <v>17351</v>
      </c>
      <c r="I160" s="2" t="s">
        <v>17352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17353</v>
      </c>
      <c r="O160" s="2" t="s">
        <v>29</v>
      </c>
      <c r="P160" s="2" t="s">
        <v>17354</v>
      </c>
      <c r="Q160" s="2" t="s">
        <v>17355</v>
      </c>
      <c r="R160" s="2" t="s">
        <v>64</v>
      </c>
      <c r="S160" s="2" t="s">
        <v>65</v>
      </c>
      <c r="T160" s="2" t="s">
        <v>91</v>
      </c>
      <c r="U160" s="2" t="s">
        <v>29</v>
      </c>
      <c r="V160" s="2" t="n">
        <v>1</v>
      </c>
    </row>
    <row r="161">
      <c r="A161" s="2" t="n">
        <v>160</v>
      </c>
      <c r="B161" s="2" t="s">
        <v>17356</v>
      </c>
      <c r="C161" s="2" t="n">
        <v>362.088316623</v>
      </c>
      <c r="D161" s="2" t="n">
        <v>2.15575037291032</v>
      </c>
      <c r="E161" s="2" t="s">
        <v>17357</v>
      </c>
      <c r="F161" s="2" t="s">
        <v>15611</v>
      </c>
      <c r="G161" s="2" t="s">
        <v>17358</v>
      </c>
      <c r="H161" s="2" t="s">
        <v>17359</v>
      </c>
      <c r="I161" s="2" t="s">
        <v>17360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17361</v>
      </c>
      <c r="O161" s="2" t="s">
        <v>17362</v>
      </c>
      <c r="P161" s="2" t="s">
        <v>17363</v>
      </c>
      <c r="Q161" s="2" t="s">
        <v>17364</v>
      </c>
      <c r="R161" s="2" t="s">
        <v>2509</v>
      </c>
      <c r="S161" s="2" t="s">
        <v>4495</v>
      </c>
      <c r="T161" s="2" t="s">
        <v>205</v>
      </c>
      <c r="U161" s="2" t="s">
        <v>29</v>
      </c>
      <c r="V161" s="2" t="n">
        <v>1</v>
      </c>
    </row>
    <row r="162">
      <c r="A162" s="2" t="n">
        <v>161</v>
      </c>
      <c r="B162" s="2" t="s">
        <v>17365</v>
      </c>
      <c r="C162" s="2" t="n">
        <v>363.191447945</v>
      </c>
      <c r="D162" s="2" t="n">
        <v>2.46706880629859</v>
      </c>
      <c r="E162" s="2" t="s">
        <v>17366</v>
      </c>
      <c r="F162" s="2" t="s">
        <v>15649</v>
      </c>
      <c r="G162" s="2" t="s">
        <v>17367</v>
      </c>
      <c r="H162" s="2" t="s">
        <v>17368</v>
      </c>
      <c r="I162" s="2" t="s">
        <v>17369</v>
      </c>
      <c r="J162" s="2" t="s">
        <v>17370</v>
      </c>
      <c r="K162" s="2" t="s">
        <v>29</v>
      </c>
      <c r="L162" s="2" t="s">
        <v>29</v>
      </c>
      <c r="M162" s="2" t="s">
        <v>29</v>
      </c>
      <c r="N162" s="2" t="s">
        <v>17371</v>
      </c>
      <c r="O162" s="2" t="s">
        <v>29</v>
      </c>
      <c r="P162" s="2" t="s">
        <v>17372</v>
      </c>
      <c r="Q162" s="2" t="s">
        <v>17373</v>
      </c>
      <c r="R162" s="2" t="s">
        <v>49</v>
      </c>
      <c r="S162" s="2" t="s">
        <v>165</v>
      </c>
      <c r="T162" s="2" t="s">
        <v>166</v>
      </c>
      <c r="U162" s="2" t="s">
        <v>29</v>
      </c>
      <c r="V162" s="2" t="n">
        <v>1</v>
      </c>
    </row>
    <row r="163">
      <c r="A163" s="2" t="n">
        <v>162</v>
      </c>
      <c r="B163" s="2" t="s">
        <v>17374</v>
      </c>
      <c r="C163" s="2" t="n">
        <v>364.966416456</v>
      </c>
      <c r="D163" s="2" t="n">
        <v>2.63339071380395</v>
      </c>
      <c r="E163" s="2" t="s">
        <v>17375</v>
      </c>
      <c r="F163" s="2" t="s">
        <v>15649</v>
      </c>
      <c r="G163" s="2" t="s">
        <v>17376</v>
      </c>
      <c r="H163" s="2" t="s">
        <v>17377</v>
      </c>
      <c r="I163" s="2" t="s">
        <v>17378</v>
      </c>
      <c r="J163" s="2" t="s">
        <v>17379</v>
      </c>
      <c r="K163" s="2" t="s">
        <v>29</v>
      </c>
      <c r="L163" s="2" t="s">
        <v>17380</v>
      </c>
      <c r="M163" s="2" t="s">
        <v>29</v>
      </c>
      <c r="N163" s="2" t="s">
        <v>17381</v>
      </c>
      <c r="O163" s="2" t="s">
        <v>17382</v>
      </c>
      <c r="P163" s="2" t="s">
        <v>17383</v>
      </c>
      <c r="Q163" s="2" t="s">
        <v>17384</v>
      </c>
      <c r="R163" s="2" t="s">
        <v>502</v>
      </c>
      <c r="S163" s="2" t="s">
        <v>503</v>
      </c>
      <c r="T163" s="2" t="s">
        <v>5166</v>
      </c>
      <c r="U163" s="2" t="s">
        <v>39</v>
      </c>
      <c r="V163" s="2" t="n">
        <v>1</v>
      </c>
    </row>
    <row r="164">
      <c r="A164" s="2" t="n">
        <v>163</v>
      </c>
      <c r="B164" s="2" t="s">
        <v>17385</v>
      </c>
      <c r="C164" s="2" t="n">
        <v>365.154748699</v>
      </c>
      <c r="D164" s="2" t="n">
        <v>0.109173284651462</v>
      </c>
      <c r="E164" s="2" t="s">
        <v>17386</v>
      </c>
      <c r="F164" s="2" t="s">
        <v>15649</v>
      </c>
      <c r="G164" s="2" t="s">
        <v>17387</v>
      </c>
      <c r="H164" s="2" t="s">
        <v>17388</v>
      </c>
      <c r="I164" s="2" t="s">
        <v>17389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17390</v>
      </c>
      <c r="Q164" s="2" t="s">
        <v>17391</v>
      </c>
      <c r="R164" s="2" t="s">
        <v>502</v>
      </c>
      <c r="S164" s="2" t="s">
        <v>503</v>
      </c>
      <c r="T164" s="2" t="s">
        <v>3450</v>
      </c>
      <c r="U164" s="2" t="s">
        <v>29</v>
      </c>
      <c r="V164" s="2" t="n">
        <v>1</v>
      </c>
    </row>
    <row r="165">
      <c r="A165" s="2" t="n">
        <v>164</v>
      </c>
      <c r="B165" s="2" t="s">
        <v>17392</v>
      </c>
      <c r="C165" s="2" t="n">
        <v>366.064199001</v>
      </c>
      <c r="D165" s="2" t="n">
        <v>0.575898149957306</v>
      </c>
      <c r="E165" s="2" t="s">
        <v>17393</v>
      </c>
      <c r="F165" s="2" t="s">
        <v>15649</v>
      </c>
      <c r="G165" s="2" t="s">
        <v>17394</v>
      </c>
      <c r="H165" s="2" t="s">
        <v>17395</v>
      </c>
      <c r="I165" s="2" t="s">
        <v>17396</v>
      </c>
      <c r="J165" s="2" t="s">
        <v>29</v>
      </c>
      <c r="K165" s="2" t="s">
        <v>29</v>
      </c>
      <c r="L165" s="2" t="s">
        <v>29</v>
      </c>
      <c r="M165" s="2" t="s">
        <v>17397</v>
      </c>
      <c r="N165" s="2" t="s">
        <v>17398</v>
      </c>
      <c r="O165" s="2" t="s">
        <v>29</v>
      </c>
      <c r="P165" s="2" t="s">
        <v>17399</v>
      </c>
      <c r="Q165" s="2" t="s">
        <v>17400</v>
      </c>
      <c r="R165" s="2" t="s">
        <v>502</v>
      </c>
      <c r="S165" s="2" t="s">
        <v>503</v>
      </c>
      <c r="T165" s="2" t="s">
        <v>2174</v>
      </c>
      <c r="U165" s="2" t="s">
        <v>29</v>
      </c>
      <c r="V165" s="2" t="n">
        <v>1</v>
      </c>
    </row>
    <row r="166">
      <c r="A166" s="2" t="n">
        <v>165</v>
      </c>
      <c r="B166" s="2" t="s">
        <v>17401</v>
      </c>
      <c r="C166" s="2" t="n">
        <v>366.958535326</v>
      </c>
      <c r="D166" s="2" t="n">
        <v>0.662043133614658</v>
      </c>
      <c r="E166" s="2" t="s">
        <v>17402</v>
      </c>
      <c r="F166" s="2" t="s">
        <v>15722</v>
      </c>
      <c r="G166" s="2" t="s">
        <v>17403</v>
      </c>
      <c r="H166" s="2" t="s">
        <v>17404</v>
      </c>
      <c r="I166" s="2" t="s">
        <v>17405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17406</v>
      </c>
      <c r="Q166" s="2" t="s">
        <v>17407</v>
      </c>
      <c r="R166" s="2" t="s">
        <v>502</v>
      </c>
      <c r="S166" s="2" t="s">
        <v>503</v>
      </c>
      <c r="T166" s="2" t="s">
        <v>6053</v>
      </c>
      <c r="U166" s="2" t="s">
        <v>29</v>
      </c>
      <c r="V166" s="2" t="n">
        <v>1</v>
      </c>
    </row>
    <row r="167">
      <c r="A167" s="2" t="n">
        <v>166</v>
      </c>
      <c r="B167" s="2" t="s">
        <v>17408</v>
      </c>
      <c r="C167" s="2" t="n">
        <v>369.1364316</v>
      </c>
      <c r="D167" s="2" t="n">
        <v>0.818629520935721</v>
      </c>
      <c r="E167" s="2" t="s">
        <v>17409</v>
      </c>
      <c r="F167" s="2" t="s">
        <v>15649</v>
      </c>
      <c r="G167" s="2" t="s">
        <v>17410</v>
      </c>
      <c r="H167" s="2" t="s">
        <v>17411</v>
      </c>
      <c r="I167" s="2" t="s">
        <v>17412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17413</v>
      </c>
      <c r="O167" s="2" t="s">
        <v>29</v>
      </c>
      <c r="P167" s="2" t="s">
        <v>17414</v>
      </c>
      <c r="Q167" s="2" t="s">
        <v>17415</v>
      </c>
      <c r="R167" s="2" t="s">
        <v>502</v>
      </c>
      <c r="S167" s="2" t="s">
        <v>503</v>
      </c>
      <c r="T167" s="2" t="s">
        <v>2174</v>
      </c>
      <c r="U167" s="2" t="s">
        <v>29</v>
      </c>
      <c r="V167" s="2" t="n">
        <v>1</v>
      </c>
    </row>
    <row r="168">
      <c r="A168" s="2" t="n">
        <v>167</v>
      </c>
      <c r="B168" s="2" t="s">
        <v>17416</v>
      </c>
      <c r="C168" s="2" t="n">
        <v>369.24242089</v>
      </c>
      <c r="D168" s="2" t="n">
        <v>6.2821450108362</v>
      </c>
      <c r="E168" s="2" t="s">
        <v>17417</v>
      </c>
      <c r="F168" s="2" t="s">
        <v>15649</v>
      </c>
      <c r="G168" s="2" t="s">
        <v>17418</v>
      </c>
      <c r="H168" s="2" t="s">
        <v>17419</v>
      </c>
      <c r="I168" s="2" t="s">
        <v>17420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17421</v>
      </c>
      <c r="O168" s="2" t="s">
        <v>29</v>
      </c>
      <c r="P168" s="2" t="s">
        <v>17422</v>
      </c>
      <c r="Q168" s="2" t="s">
        <v>17423</v>
      </c>
      <c r="R168" s="2" t="s">
        <v>502</v>
      </c>
      <c r="S168" s="2" t="s">
        <v>2413</v>
      </c>
      <c r="T168" s="2" t="s">
        <v>3372</v>
      </c>
      <c r="U168" s="2" t="s">
        <v>29</v>
      </c>
      <c r="V168" s="2" t="n">
        <v>1</v>
      </c>
    </row>
    <row r="169">
      <c r="A169" s="2" t="n">
        <v>168</v>
      </c>
      <c r="B169" s="2" t="s">
        <v>17424</v>
      </c>
      <c r="C169" s="2" t="n">
        <v>370.057200379</v>
      </c>
      <c r="D169" s="2" t="n">
        <v>4.19650956052303</v>
      </c>
      <c r="E169" s="2" t="s">
        <v>17425</v>
      </c>
      <c r="F169" s="2" t="s">
        <v>15611</v>
      </c>
      <c r="G169" s="2" t="s">
        <v>17426</v>
      </c>
      <c r="H169" s="2" t="s">
        <v>17427</v>
      </c>
      <c r="I169" s="2" t="s">
        <v>17428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17429</v>
      </c>
      <c r="O169" s="2" t="s">
        <v>29</v>
      </c>
      <c r="P169" s="2" t="s">
        <v>17430</v>
      </c>
      <c r="Q169" s="2" t="s">
        <v>17431</v>
      </c>
      <c r="R169" s="2" t="s">
        <v>502</v>
      </c>
      <c r="S169" s="2" t="s">
        <v>503</v>
      </c>
      <c r="T169" s="2" t="s">
        <v>5917</v>
      </c>
      <c r="U169" s="2" t="s">
        <v>29</v>
      </c>
      <c r="V169" s="2" t="n">
        <v>1</v>
      </c>
    </row>
    <row r="170">
      <c r="A170" s="2" t="n">
        <v>169</v>
      </c>
      <c r="B170" s="2" t="s">
        <v>17432</v>
      </c>
      <c r="C170" s="2" t="n">
        <v>379.07566748</v>
      </c>
      <c r="D170" s="2" t="n">
        <v>2.06833759843311</v>
      </c>
      <c r="E170" s="2" t="s">
        <v>17433</v>
      </c>
      <c r="F170" s="2" t="s">
        <v>15858</v>
      </c>
      <c r="G170" s="2" t="s">
        <v>17434</v>
      </c>
      <c r="H170" s="2" t="s">
        <v>17435</v>
      </c>
      <c r="I170" s="2" t="s">
        <v>17436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17437</v>
      </c>
      <c r="O170" s="2" t="s">
        <v>29</v>
      </c>
      <c r="P170" s="2" t="s">
        <v>17438</v>
      </c>
      <c r="Q170" s="2" t="s">
        <v>17439</v>
      </c>
      <c r="R170" s="2" t="s">
        <v>49</v>
      </c>
      <c r="S170" s="2" t="s">
        <v>165</v>
      </c>
      <c r="T170" s="2" t="s">
        <v>166</v>
      </c>
      <c r="U170" s="2" t="s">
        <v>29</v>
      </c>
      <c r="V170" s="2" t="n">
        <v>1</v>
      </c>
    </row>
    <row r="171">
      <c r="A171" s="2" t="n">
        <v>170</v>
      </c>
      <c r="B171" s="2" t="s">
        <v>17440</v>
      </c>
      <c r="C171" s="2" t="n">
        <v>381.079369546</v>
      </c>
      <c r="D171" s="2" t="n">
        <v>4.23109019268883</v>
      </c>
      <c r="E171" s="2" t="s">
        <v>17441</v>
      </c>
      <c r="F171" s="2" t="s">
        <v>15919</v>
      </c>
      <c r="G171" s="2" t="s">
        <v>17442</v>
      </c>
      <c r="H171" s="2" t="s">
        <v>17443</v>
      </c>
      <c r="I171" s="2" t="s">
        <v>17444</v>
      </c>
      <c r="J171" s="2" t="s">
        <v>17445</v>
      </c>
      <c r="K171" s="2" t="s">
        <v>29</v>
      </c>
      <c r="L171" s="2" t="s">
        <v>17446</v>
      </c>
      <c r="M171" s="2" t="s">
        <v>17447</v>
      </c>
      <c r="N171" s="2" t="s">
        <v>17448</v>
      </c>
      <c r="O171" s="2" t="s">
        <v>17449</v>
      </c>
      <c r="P171" s="2" t="s">
        <v>17450</v>
      </c>
      <c r="Q171" s="2" t="s">
        <v>17451</v>
      </c>
      <c r="R171" s="2" t="s">
        <v>64</v>
      </c>
      <c r="S171" s="2" t="s">
        <v>65</v>
      </c>
      <c r="T171" s="2" t="s">
        <v>66</v>
      </c>
      <c r="U171" s="2" t="s">
        <v>39</v>
      </c>
      <c r="V171" s="2" t="n">
        <v>1</v>
      </c>
    </row>
    <row r="172">
      <c r="A172" s="2" t="n">
        <v>171</v>
      </c>
      <c r="B172" s="2" t="s">
        <v>17452</v>
      </c>
      <c r="C172" s="2" t="n">
        <v>385.213798206</v>
      </c>
      <c r="D172" s="2" t="n">
        <v>2.54608371571164</v>
      </c>
      <c r="E172" s="2" t="s">
        <v>17453</v>
      </c>
      <c r="F172" s="2" t="s">
        <v>15858</v>
      </c>
      <c r="G172" s="2" t="s">
        <v>17454</v>
      </c>
      <c r="H172" s="2" t="s">
        <v>17455</v>
      </c>
      <c r="I172" s="2" t="s">
        <v>17456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17457</v>
      </c>
      <c r="Q172" s="2" t="s">
        <v>17458</v>
      </c>
      <c r="R172" s="2" t="s">
        <v>1490</v>
      </c>
      <c r="S172" s="2" t="s">
        <v>3546</v>
      </c>
      <c r="T172" s="2" t="s">
        <v>8741</v>
      </c>
      <c r="U172" s="2" t="s">
        <v>29</v>
      </c>
      <c r="V172" s="2" t="n">
        <v>1</v>
      </c>
    </row>
    <row r="173">
      <c r="A173" s="2" t="n">
        <v>172</v>
      </c>
      <c r="B173" s="2" t="s">
        <v>17459</v>
      </c>
      <c r="C173" s="2" t="n">
        <v>389.134326992</v>
      </c>
      <c r="D173" s="2" t="n">
        <v>2.42304311303665</v>
      </c>
      <c r="E173" s="2" t="s">
        <v>17460</v>
      </c>
      <c r="F173" s="2" t="s">
        <v>15649</v>
      </c>
      <c r="G173" s="2" t="s">
        <v>17461</v>
      </c>
      <c r="H173" s="2" t="s">
        <v>17462</v>
      </c>
      <c r="I173" s="2" t="s">
        <v>17463</v>
      </c>
      <c r="J173" s="2" t="s">
        <v>17464</v>
      </c>
      <c r="K173" s="2" t="s">
        <v>72</v>
      </c>
      <c r="L173" s="2" t="s">
        <v>72</v>
      </c>
      <c r="M173" s="2" t="s">
        <v>72</v>
      </c>
      <c r="N173" s="2" t="s">
        <v>17465</v>
      </c>
      <c r="O173" s="2" t="s">
        <v>72</v>
      </c>
      <c r="P173" s="2" t="s">
        <v>17466</v>
      </c>
      <c r="Q173" s="2" t="s">
        <v>17467</v>
      </c>
      <c r="R173" s="2" t="s">
        <v>537</v>
      </c>
      <c r="S173" s="2" t="s">
        <v>538</v>
      </c>
      <c r="T173" s="2" t="s">
        <v>17468</v>
      </c>
      <c r="U173" s="2" t="s">
        <v>29</v>
      </c>
      <c r="V173" s="2" t="n">
        <v>2</v>
      </c>
    </row>
    <row r="174">
      <c r="A174" s="2" t="n">
        <v>173</v>
      </c>
      <c r="B174" s="2" t="s">
        <v>17469</v>
      </c>
      <c r="C174" s="2" t="n">
        <v>389.175323942</v>
      </c>
      <c r="D174" s="2" t="n">
        <v>3.94491964368217</v>
      </c>
      <c r="E174" s="2" t="s">
        <v>17470</v>
      </c>
      <c r="F174" s="2" t="s">
        <v>15611</v>
      </c>
      <c r="G174" s="2" t="s">
        <v>17471</v>
      </c>
      <c r="H174" s="2" t="s">
        <v>17472</v>
      </c>
      <c r="I174" s="2" t="s">
        <v>17473</v>
      </c>
      <c r="J174" s="2" t="s">
        <v>17474</v>
      </c>
      <c r="K174" s="2" t="s">
        <v>17475</v>
      </c>
      <c r="L174" s="2" t="s">
        <v>17476</v>
      </c>
      <c r="M174" s="2" t="s">
        <v>29</v>
      </c>
      <c r="N174" s="2" t="s">
        <v>17477</v>
      </c>
      <c r="O174" s="2" t="s">
        <v>17478</v>
      </c>
      <c r="P174" s="2" t="s">
        <v>17479</v>
      </c>
      <c r="Q174" s="2" t="s">
        <v>17480</v>
      </c>
      <c r="R174" s="2" t="s">
        <v>2509</v>
      </c>
      <c r="S174" s="2" t="s">
        <v>17481</v>
      </c>
      <c r="T174" s="2" t="s">
        <v>17482</v>
      </c>
      <c r="U174" s="2" t="s">
        <v>39</v>
      </c>
      <c r="V174" s="2" t="n">
        <v>1</v>
      </c>
    </row>
    <row r="175">
      <c r="A175" s="2" t="n">
        <v>174</v>
      </c>
      <c r="B175" s="2" t="s">
        <v>17483</v>
      </c>
      <c r="C175" s="2" t="n">
        <v>392.28012336</v>
      </c>
      <c r="D175" s="2" t="n">
        <v>11.8832597960724</v>
      </c>
      <c r="E175" s="2" t="s">
        <v>17484</v>
      </c>
      <c r="F175" s="2" t="s">
        <v>15611</v>
      </c>
      <c r="G175" s="2" t="s">
        <v>17485</v>
      </c>
      <c r="H175" s="2" t="s">
        <v>17486</v>
      </c>
      <c r="I175" s="2" t="s">
        <v>17487</v>
      </c>
      <c r="J175" s="2" t="s">
        <v>226</v>
      </c>
      <c r="K175" s="2" t="s">
        <v>226</v>
      </c>
      <c r="L175" s="2" t="s">
        <v>226</v>
      </c>
      <c r="M175" s="2" t="s">
        <v>226</v>
      </c>
      <c r="N175" s="2" t="s">
        <v>226</v>
      </c>
      <c r="O175" s="2" t="s">
        <v>226</v>
      </c>
      <c r="P175" s="2" t="s">
        <v>17488</v>
      </c>
      <c r="Q175" s="2" t="s">
        <v>17489</v>
      </c>
      <c r="R175" s="2" t="s">
        <v>105</v>
      </c>
      <c r="S175" s="2" t="s">
        <v>106</v>
      </c>
      <c r="T175" s="2" t="s">
        <v>5339</v>
      </c>
      <c r="U175" s="2" t="s">
        <v>29</v>
      </c>
      <c r="V175" s="2" t="n">
        <v>3</v>
      </c>
    </row>
    <row r="176">
      <c r="A176" s="2" t="n">
        <v>175</v>
      </c>
      <c r="B176" s="2" t="s">
        <v>17490</v>
      </c>
      <c r="C176" s="2" t="n">
        <v>393.240167704</v>
      </c>
      <c r="D176" s="2" t="n">
        <v>1.72061050657747</v>
      </c>
      <c r="E176" s="2" t="s">
        <v>17491</v>
      </c>
      <c r="F176" s="2" t="s">
        <v>15919</v>
      </c>
      <c r="G176" s="2" t="s">
        <v>17492</v>
      </c>
      <c r="H176" s="2" t="s">
        <v>17493</v>
      </c>
      <c r="I176" s="2" t="s">
        <v>17494</v>
      </c>
      <c r="J176" s="2" t="s">
        <v>17495</v>
      </c>
      <c r="K176" s="2" t="s">
        <v>17496</v>
      </c>
      <c r="L176" s="2" t="s">
        <v>72</v>
      </c>
      <c r="M176" s="2" t="s">
        <v>17497</v>
      </c>
      <c r="N176" s="2" t="s">
        <v>17498</v>
      </c>
      <c r="O176" s="2" t="s">
        <v>17499</v>
      </c>
      <c r="P176" s="2" t="s">
        <v>17500</v>
      </c>
      <c r="Q176" s="2" t="s">
        <v>17501</v>
      </c>
      <c r="R176" s="2" t="s">
        <v>575</v>
      </c>
      <c r="S176" s="2" t="s">
        <v>576</v>
      </c>
      <c r="T176" s="2" t="s">
        <v>2062</v>
      </c>
      <c r="U176" s="2" t="s">
        <v>29</v>
      </c>
      <c r="V176" s="2" t="n">
        <v>2</v>
      </c>
    </row>
    <row r="177">
      <c r="A177" s="2" t="n">
        <v>176</v>
      </c>
      <c r="B177" s="2" t="s">
        <v>17502</v>
      </c>
      <c r="C177" s="2" t="n">
        <v>395.06154946</v>
      </c>
      <c r="D177" s="2" t="n">
        <v>4.02416580727837</v>
      </c>
      <c r="E177" s="2" t="s">
        <v>17503</v>
      </c>
      <c r="F177" s="2" t="s">
        <v>15919</v>
      </c>
      <c r="G177" s="2" t="s">
        <v>17504</v>
      </c>
      <c r="H177" s="2" t="s">
        <v>17505</v>
      </c>
      <c r="I177" s="2" t="s">
        <v>17506</v>
      </c>
      <c r="J177" s="2" t="s">
        <v>17507</v>
      </c>
      <c r="K177" s="2" t="s">
        <v>29</v>
      </c>
      <c r="L177" s="2" t="s">
        <v>17508</v>
      </c>
      <c r="M177" s="2" t="s">
        <v>17509</v>
      </c>
      <c r="N177" s="2" t="s">
        <v>17510</v>
      </c>
      <c r="O177" s="2" t="s">
        <v>17511</v>
      </c>
      <c r="P177" s="2" t="s">
        <v>17512</v>
      </c>
      <c r="Q177" s="2" t="s">
        <v>17513</v>
      </c>
      <c r="R177" s="2" t="s">
        <v>502</v>
      </c>
      <c r="S177" s="2" t="s">
        <v>503</v>
      </c>
      <c r="T177" s="2" t="s">
        <v>1421</v>
      </c>
      <c r="U177" s="2" t="s">
        <v>39</v>
      </c>
      <c r="V177" s="2" t="n">
        <v>1</v>
      </c>
    </row>
    <row r="178">
      <c r="A178" s="2" t="n">
        <v>177</v>
      </c>
      <c r="B178" s="2" t="s">
        <v>17514</v>
      </c>
      <c r="C178" s="2" t="n">
        <v>396.069139196</v>
      </c>
      <c r="D178" s="2" t="n">
        <v>4.64555713127999</v>
      </c>
      <c r="E178" s="2" t="s">
        <v>17515</v>
      </c>
      <c r="F178" s="2" t="s">
        <v>15919</v>
      </c>
      <c r="G178" s="2" t="s">
        <v>17516</v>
      </c>
      <c r="H178" s="2" t="s">
        <v>17517</v>
      </c>
      <c r="I178" s="2" t="s">
        <v>17518</v>
      </c>
      <c r="J178" s="2" t="s">
        <v>17519</v>
      </c>
      <c r="K178" s="2" t="s">
        <v>29</v>
      </c>
      <c r="L178" s="2" t="s">
        <v>17520</v>
      </c>
      <c r="M178" s="2" t="s">
        <v>17521</v>
      </c>
      <c r="N178" s="2" t="s">
        <v>17522</v>
      </c>
      <c r="O178" s="2" t="s">
        <v>29</v>
      </c>
      <c r="P178" s="2" t="s">
        <v>17523</v>
      </c>
      <c r="Q178" s="2" t="s">
        <v>17524</v>
      </c>
      <c r="R178" s="2" t="s">
        <v>64</v>
      </c>
      <c r="S178" s="2" t="s">
        <v>65</v>
      </c>
      <c r="T178" s="2" t="s">
        <v>66</v>
      </c>
      <c r="U178" s="2" t="s">
        <v>39</v>
      </c>
      <c r="V178" s="2" t="n">
        <v>1</v>
      </c>
    </row>
    <row r="179">
      <c r="A179" s="2" t="n">
        <v>178</v>
      </c>
      <c r="B179" s="2" t="s">
        <v>17525</v>
      </c>
      <c r="C179" s="2" t="n">
        <v>399.177806628</v>
      </c>
      <c r="D179" s="2" t="n">
        <v>0.0325230926742993</v>
      </c>
      <c r="E179" s="2" t="s">
        <v>17526</v>
      </c>
      <c r="F179" s="2" t="s">
        <v>15858</v>
      </c>
      <c r="G179" s="2" t="s">
        <v>17527</v>
      </c>
      <c r="H179" s="2" t="s">
        <v>17528</v>
      </c>
      <c r="I179" s="2" t="s">
        <v>17529</v>
      </c>
      <c r="J179" s="2" t="s">
        <v>17530</v>
      </c>
      <c r="K179" s="2" t="s">
        <v>17531</v>
      </c>
      <c r="L179" s="2" t="s">
        <v>29</v>
      </c>
      <c r="M179" s="2" t="s">
        <v>17532</v>
      </c>
      <c r="N179" s="2" t="s">
        <v>17533</v>
      </c>
      <c r="O179" s="2" t="s">
        <v>17534</v>
      </c>
      <c r="P179" s="2" t="s">
        <v>17535</v>
      </c>
      <c r="Q179" s="2" t="s">
        <v>17536</v>
      </c>
      <c r="R179" s="2" t="s">
        <v>1490</v>
      </c>
      <c r="S179" s="2" t="s">
        <v>3546</v>
      </c>
      <c r="T179" s="2" t="s">
        <v>17537</v>
      </c>
      <c r="U179" s="2" t="s">
        <v>29</v>
      </c>
      <c r="V179" s="2" t="n">
        <v>1</v>
      </c>
    </row>
    <row r="180">
      <c r="A180" s="2" t="n">
        <v>179</v>
      </c>
      <c r="B180" s="2" t="s">
        <v>17538</v>
      </c>
      <c r="C180" s="2" t="n">
        <v>399.250616594</v>
      </c>
      <c r="D180" s="2" t="n">
        <v>1.57375559539019</v>
      </c>
      <c r="E180" s="2" t="s">
        <v>17539</v>
      </c>
      <c r="F180" s="2" t="s">
        <v>15649</v>
      </c>
      <c r="G180" s="2" t="s">
        <v>17540</v>
      </c>
      <c r="H180" s="2" t="s">
        <v>17541</v>
      </c>
      <c r="I180" s="2" t="s">
        <v>17542</v>
      </c>
      <c r="J180" s="2" t="s">
        <v>17543</v>
      </c>
      <c r="K180" s="2" t="s">
        <v>29</v>
      </c>
      <c r="L180" s="2" t="s">
        <v>17544</v>
      </c>
      <c r="M180" s="2" t="s">
        <v>17545</v>
      </c>
      <c r="N180" s="2" t="s">
        <v>17546</v>
      </c>
      <c r="O180" s="2" t="s">
        <v>17547</v>
      </c>
      <c r="P180" s="2" t="s">
        <v>17548</v>
      </c>
      <c r="Q180" s="2" t="s">
        <v>17549</v>
      </c>
      <c r="R180" s="2" t="s">
        <v>49</v>
      </c>
      <c r="S180" s="2" t="s">
        <v>771</v>
      </c>
      <c r="T180" s="2" t="s">
        <v>772</v>
      </c>
      <c r="U180" s="2" t="s">
        <v>39</v>
      </c>
      <c r="V180" s="2" t="n">
        <v>1</v>
      </c>
    </row>
    <row r="181">
      <c r="A181" s="2" t="n">
        <v>180</v>
      </c>
      <c r="B181" s="2" t="s">
        <v>17550</v>
      </c>
      <c r="C181" s="2" t="n">
        <v>402.774336406</v>
      </c>
      <c r="D181" s="2" t="n">
        <v>3.85275215126794</v>
      </c>
      <c r="E181" s="2" t="s">
        <v>17551</v>
      </c>
      <c r="F181" s="2" t="s">
        <v>15611</v>
      </c>
      <c r="G181" s="2" t="s">
        <v>17552</v>
      </c>
      <c r="H181" s="2" t="s">
        <v>17553</v>
      </c>
      <c r="I181" s="2" t="s">
        <v>17554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17555</v>
      </c>
      <c r="O181" s="2" t="s">
        <v>17556</v>
      </c>
      <c r="P181" s="2" t="s">
        <v>17557</v>
      </c>
      <c r="Q181" s="2" t="s">
        <v>17558</v>
      </c>
      <c r="R181" s="2" t="s">
        <v>355</v>
      </c>
      <c r="S181" s="2" t="s">
        <v>17559</v>
      </c>
      <c r="T181" s="2" t="s">
        <v>205</v>
      </c>
      <c r="U181" s="2" t="s">
        <v>29</v>
      </c>
      <c r="V181" s="2" t="n">
        <v>1</v>
      </c>
    </row>
    <row r="182">
      <c r="A182" s="2" t="n">
        <v>181</v>
      </c>
      <c r="B182" s="2" t="s">
        <v>17560</v>
      </c>
      <c r="C182" s="2" t="n">
        <v>403.274978407</v>
      </c>
      <c r="D182" s="2" t="n">
        <v>7.95920246911322</v>
      </c>
      <c r="E182" s="2" t="s">
        <v>17561</v>
      </c>
      <c r="F182" s="2" t="s">
        <v>15611</v>
      </c>
      <c r="G182" s="2" t="s">
        <v>17562</v>
      </c>
      <c r="H182" s="2" t="s">
        <v>17563</v>
      </c>
      <c r="I182" s="2" t="s">
        <v>17564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17565</v>
      </c>
      <c r="O182" s="2" t="s">
        <v>29</v>
      </c>
      <c r="P182" s="2" t="s">
        <v>17566</v>
      </c>
      <c r="Q182" s="2" t="s">
        <v>17567</v>
      </c>
      <c r="R182" s="2" t="s">
        <v>502</v>
      </c>
      <c r="S182" s="2" t="s">
        <v>1467</v>
      </c>
      <c r="T182" s="2" t="s">
        <v>17568</v>
      </c>
      <c r="U182" s="2" t="s">
        <v>29</v>
      </c>
      <c r="V182" s="2" t="n">
        <v>1</v>
      </c>
    </row>
    <row r="183">
      <c r="A183" s="2" t="n">
        <v>182</v>
      </c>
      <c r="B183" s="2" t="s">
        <v>17569</v>
      </c>
      <c r="C183" s="2" t="n">
        <v>404.28012336</v>
      </c>
      <c r="D183" s="2" t="n">
        <v>5.80401448517075</v>
      </c>
      <c r="E183" s="2" t="s">
        <v>17570</v>
      </c>
      <c r="F183" s="2" t="s">
        <v>15611</v>
      </c>
      <c r="G183" s="2" t="s">
        <v>17571</v>
      </c>
      <c r="H183" s="2" t="s">
        <v>17572</v>
      </c>
      <c r="I183" s="2" t="s">
        <v>17573</v>
      </c>
      <c r="J183" s="2" t="s">
        <v>17574</v>
      </c>
      <c r="K183" s="2" t="s">
        <v>29</v>
      </c>
      <c r="L183" s="2" t="s">
        <v>17575</v>
      </c>
      <c r="M183" s="2" t="s">
        <v>29</v>
      </c>
      <c r="N183" s="2" t="s">
        <v>17576</v>
      </c>
      <c r="O183" s="2" t="s">
        <v>17577</v>
      </c>
      <c r="P183" s="2" t="s">
        <v>17578</v>
      </c>
      <c r="Q183" s="2" t="s">
        <v>17579</v>
      </c>
      <c r="R183" s="2" t="s">
        <v>1490</v>
      </c>
      <c r="S183" s="2" t="s">
        <v>4971</v>
      </c>
      <c r="T183" s="2" t="s">
        <v>6983</v>
      </c>
      <c r="U183" s="2" t="s">
        <v>39</v>
      </c>
      <c r="V183" s="2" t="n">
        <v>1</v>
      </c>
    </row>
    <row r="184">
      <c r="A184" s="2" t="n">
        <v>183</v>
      </c>
      <c r="B184" s="2" t="s">
        <v>17580</v>
      </c>
      <c r="C184" s="2" t="n">
        <v>409.187994636</v>
      </c>
      <c r="D184" s="2" t="n">
        <v>0.789496450228517</v>
      </c>
      <c r="E184" s="2" t="s">
        <v>17581</v>
      </c>
      <c r="F184" s="2" t="s">
        <v>15858</v>
      </c>
      <c r="G184" s="2" t="s">
        <v>17582</v>
      </c>
      <c r="H184" s="2" t="s">
        <v>17583</v>
      </c>
      <c r="I184" s="2" t="s">
        <v>17584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17585</v>
      </c>
      <c r="Q184" s="2" t="s">
        <v>17586</v>
      </c>
      <c r="R184" s="2" t="s">
        <v>36</v>
      </c>
      <c r="S184" s="2" t="s">
        <v>37</v>
      </c>
      <c r="T184" s="2" t="s">
        <v>679</v>
      </c>
      <c r="U184" s="2" t="s">
        <v>29</v>
      </c>
      <c r="V184" s="2" t="n">
        <v>1</v>
      </c>
    </row>
    <row r="185">
      <c r="A185" s="2" t="n">
        <v>184</v>
      </c>
      <c r="B185" s="2" t="s">
        <v>17587</v>
      </c>
      <c r="C185" s="2" t="n">
        <v>409.271313084</v>
      </c>
      <c r="D185" s="2" t="n">
        <v>0.839620960567189</v>
      </c>
      <c r="E185" s="2" t="s">
        <v>17588</v>
      </c>
      <c r="F185" s="2" t="s">
        <v>15858</v>
      </c>
      <c r="G185" s="2" t="s">
        <v>17589</v>
      </c>
      <c r="H185" s="2" t="s">
        <v>17590</v>
      </c>
      <c r="I185" s="2" t="s">
        <v>17591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17592</v>
      </c>
      <c r="O185" s="2" t="s">
        <v>29</v>
      </c>
      <c r="P185" s="2" t="s">
        <v>17593</v>
      </c>
      <c r="Q185" s="2" t="s">
        <v>17594</v>
      </c>
      <c r="R185" s="2" t="s">
        <v>355</v>
      </c>
      <c r="S185" s="2" t="s">
        <v>5537</v>
      </c>
      <c r="T185" s="2" t="s">
        <v>5538</v>
      </c>
      <c r="U185" s="2" t="s">
        <v>29</v>
      </c>
      <c r="V185" s="2" t="n">
        <v>1</v>
      </c>
    </row>
    <row r="186">
      <c r="A186" s="2" t="n">
        <v>185</v>
      </c>
      <c r="B186" s="2" t="s">
        <v>17595</v>
      </c>
      <c r="C186" s="2" t="n">
        <v>410.100045409</v>
      </c>
      <c r="D186" s="2" t="n">
        <v>2.20632952418413</v>
      </c>
      <c r="E186" s="2" t="s">
        <v>17596</v>
      </c>
      <c r="F186" s="2" t="s">
        <v>15919</v>
      </c>
      <c r="G186" s="2" t="s">
        <v>17597</v>
      </c>
      <c r="H186" s="2" t="s">
        <v>17598</v>
      </c>
      <c r="I186" s="2" t="s">
        <v>17599</v>
      </c>
      <c r="J186" s="2" t="s">
        <v>17600</v>
      </c>
      <c r="K186" s="2" t="s">
        <v>29</v>
      </c>
      <c r="L186" s="2" t="s">
        <v>29</v>
      </c>
      <c r="M186" s="2" t="s">
        <v>29</v>
      </c>
      <c r="N186" s="2" t="s">
        <v>17601</v>
      </c>
      <c r="O186" s="2" t="s">
        <v>17602</v>
      </c>
      <c r="P186" s="2" t="s">
        <v>17603</v>
      </c>
      <c r="Q186" s="2" t="s">
        <v>17604</v>
      </c>
      <c r="R186" s="2" t="s">
        <v>4189</v>
      </c>
      <c r="S186" s="2" t="s">
        <v>17605</v>
      </c>
      <c r="T186" s="2" t="s">
        <v>205</v>
      </c>
      <c r="U186" s="2" t="s">
        <v>29</v>
      </c>
      <c r="V186" s="2" t="n">
        <v>1</v>
      </c>
    </row>
    <row r="187">
      <c r="A187" s="2" t="n">
        <v>186</v>
      </c>
      <c r="B187" s="2" t="s">
        <v>17606</v>
      </c>
      <c r="C187" s="2" t="n">
        <v>411.090287904</v>
      </c>
      <c r="D187" s="2" t="n">
        <v>1.52245408311061</v>
      </c>
      <c r="E187" s="2" t="s">
        <v>17607</v>
      </c>
      <c r="F187" s="2" t="s">
        <v>15691</v>
      </c>
      <c r="G187" s="2" t="s">
        <v>17608</v>
      </c>
      <c r="H187" s="2" t="s">
        <v>17609</v>
      </c>
      <c r="I187" s="2" t="s">
        <v>17610</v>
      </c>
      <c r="J187" s="2" t="s">
        <v>17611</v>
      </c>
      <c r="K187" s="2" t="s">
        <v>72</v>
      </c>
      <c r="L187" s="2" t="s">
        <v>72</v>
      </c>
      <c r="M187" s="2" t="s">
        <v>17612</v>
      </c>
      <c r="N187" s="2" t="s">
        <v>17613</v>
      </c>
      <c r="O187" s="2" t="s">
        <v>17614</v>
      </c>
      <c r="P187" s="2" t="s">
        <v>17615</v>
      </c>
      <c r="Q187" s="2" t="s">
        <v>17616</v>
      </c>
      <c r="R187" s="2" t="s">
        <v>480</v>
      </c>
      <c r="S187" s="2" t="s">
        <v>1240</v>
      </c>
      <c r="T187" s="2" t="s">
        <v>17617</v>
      </c>
      <c r="U187" s="2" t="s">
        <v>29</v>
      </c>
      <c r="V187" s="2" t="n">
        <v>2</v>
      </c>
    </row>
    <row r="188">
      <c r="A188" s="2" t="n">
        <v>187</v>
      </c>
      <c r="B188" s="2" t="s">
        <v>17618</v>
      </c>
      <c r="C188" s="2" t="n">
        <v>411.264218963</v>
      </c>
      <c r="D188" s="2" t="n">
        <v>2.38374308592824</v>
      </c>
      <c r="E188" s="2" t="s">
        <v>17619</v>
      </c>
      <c r="F188" s="2" t="s">
        <v>15649</v>
      </c>
      <c r="G188" s="2" t="s">
        <v>17620</v>
      </c>
      <c r="H188" s="2" t="s">
        <v>17621</v>
      </c>
      <c r="I188" s="2" t="s">
        <v>17622</v>
      </c>
      <c r="J188" s="2" t="s">
        <v>17623</v>
      </c>
      <c r="K188" s="2" t="s">
        <v>29</v>
      </c>
      <c r="L188" s="2" t="s">
        <v>29</v>
      </c>
      <c r="M188" s="2" t="s">
        <v>17624</v>
      </c>
      <c r="N188" s="2" t="s">
        <v>17625</v>
      </c>
      <c r="O188" s="2" t="s">
        <v>17626</v>
      </c>
      <c r="P188" s="2" t="s">
        <v>17627</v>
      </c>
      <c r="Q188" s="2" t="s">
        <v>17628</v>
      </c>
      <c r="R188" s="2" t="s">
        <v>502</v>
      </c>
      <c r="S188" s="2" t="s">
        <v>13862</v>
      </c>
      <c r="T188" s="2" t="s">
        <v>205</v>
      </c>
      <c r="U188" s="2" t="s">
        <v>29</v>
      </c>
      <c r="V188" s="2" t="n">
        <v>1</v>
      </c>
    </row>
    <row r="189">
      <c r="A189" s="2" t="n">
        <v>188</v>
      </c>
      <c r="B189" s="2" t="s">
        <v>17629</v>
      </c>
      <c r="C189" s="2" t="n">
        <v>412.069413983</v>
      </c>
      <c r="D189" s="2" t="n">
        <v>3.1060810951116</v>
      </c>
      <c r="E189" s="2" t="s">
        <v>17630</v>
      </c>
      <c r="F189" s="2" t="s">
        <v>15919</v>
      </c>
      <c r="G189" s="2" t="s">
        <v>17631</v>
      </c>
      <c r="H189" s="2" t="s">
        <v>17632</v>
      </c>
      <c r="I189" s="2" t="s">
        <v>17633</v>
      </c>
      <c r="J189" s="2" t="s">
        <v>17634</v>
      </c>
      <c r="K189" s="2" t="s">
        <v>29</v>
      </c>
      <c r="L189" s="2" t="s">
        <v>29</v>
      </c>
      <c r="M189" s="2" t="s">
        <v>17635</v>
      </c>
      <c r="N189" s="2" t="s">
        <v>17636</v>
      </c>
      <c r="O189" s="2" t="s">
        <v>17637</v>
      </c>
      <c r="P189" s="2" t="s">
        <v>17638</v>
      </c>
      <c r="Q189" s="2" t="s">
        <v>17639</v>
      </c>
      <c r="R189" s="2" t="s">
        <v>355</v>
      </c>
      <c r="S189" s="2" t="s">
        <v>356</v>
      </c>
      <c r="T189" s="2" t="s">
        <v>17228</v>
      </c>
      <c r="U189" s="2" t="s">
        <v>29</v>
      </c>
      <c r="V189" s="2" t="n">
        <v>1</v>
      </c>
    </row>
    <row r="190">
      <c r="A190" s="2" t="n">
        <v>189</v>
      </c>
      <c r="B190" s="2" t="s">
        <v>17640</v>
      </c>
      <c r="C190" s="2" t="n">
        <v>419.034195634</v>
      </c>
      <c r="D190" s="2" t="n">
        <v>2.54198814692848</v>
      </c>
      <c r="E190" s="2" t="s">
        <v>17641</v>
      </c>
      <c r="F190" s="2" t="s">
        <v>15858</v>
      </c>
      <c r="G190" s="2" t="s">
        <v>17642</v>
      </c>
      <c r="H190" s="2" t="s">
        <v>17643</v>
      </c>
      <c r="I190" s="2" t="s">
        <v>17644</v>
      </c>
      <c r="J190" s="2" t="s">
        <v>17645</v>
      </c>
      <c r="K190" s="2" t="s">
        <v>29</v>
      </c>
      <c r="L190" s="2" t="s">
        <v>17646</v>
      </c>
      <c r="M190" s="2" t="s">
        <v>17647</v>
      </c>
      <c r="N190" s="2" t="s">
        <v>17648</v>
      </c>
      <c r="O190" s="2" t="s">
        <v>17649</v>
      </c>
      <c r="P190" s="2" t="s">
        <v>17650</v>
      </c>
      <c r="Q190" s="2" t="s">
        <v>17651</v>
      </c>
      <c r="R190" s="2" t="s">
        <v>355</v>
      </c>
      <c r="S190" s="2" t="s">
        <v>4796</v>
      </c>
      <c r="T190" s="2" t="s">
        <v>4797</v>
      </c>
      <c r="U190" s="2" t="s">
        <v>39</v>
      </c>
      <c r="V190" s="2" t="n">
        <v>1</v>
      </c>
    </row>
    <row r="191">
      <c r="A191" s="2" t="n">
        <v>190</v>
      </c>
      <c r="B191" s="2" t="s">
        <v>17652</v>
      </c>
      <c r="C191" s="2" t="n">
        <v>423.214192134</v>
      </c>
      <c r="D191" s="2" t="n">
        <v>1.9290781819029</v>
      </c>
      <c r="E191" s="2" t="s">
        <v>17653</v>
      </c>
      <c r="F191" s="2" t="s">
        <v>15858</v>
      </c>
      <c r="G191" s="2" t="s">
        <v>17654</v>
      </c>
      <c r="H191" s="2" t="s">
        <v>17655</v>
      </c>
      <c r="I191" s="2" t="s">
        <v>17656</v>
      </c>
      <c r="J191" s="2" t="s">
        <v>17657</v>
      </c>
      <c r="K191" s="2" t="s">
        <v>226</v>
      </c>
      <c r="L191" s="2" t="s">
        <v>226</v>
      </c>
      <c r="M191" s="2" t="s">
        <v>17658</v>
      </c>
      <c r="N191" s="2" t="s">
        <v>17659</v>
      </c>
      <c r="O191" s="2" t="s">
        <v>17660</v>
      </c>
      <c r="P191" s="2" t="s">
        <v>17661</v>
      </c>
      <c r="Q191" s="2" t="s">
        <v>17662</v>
      </c>
      <c r="R191" s="2" t="s">
        <v>17663</v>
      </c>
      <c r="S191" s="2" t="s">
        <v>17664</v>
      </c>
      <c r="T191" s="2" t="s">
        <v>17665</v>
      </c>
      <c r="U191" s="2" t="s">
        <v>29</v>
      </c>
      <c r="V191" s="2" t="n">
        <v>3</v>
      </c>
    </row>
    <row r="192">
      <c r="A192" s="2" t="n">
        <v>191</v>
      </c>
      <c r="B192" s="2" t="s">
        <v>17666</v>
      </c>
      <c r="C192" s="2" t="n">
        <v>429.094625668</v>
      </c>
      <c r="D192" s="2" t="n">
        <v>3.94502907900599</v>
      </c>
      <c r="E192" s="2" t="s">
        <v>17667</v>
      </c>
      <c r="F192" s="2" t="s">
        <v>15919</v>
      </c>
      <c r="G192" s="2" t="s">
        <v>17668</v>
      </c>
      <c r="H192" s="2" t="s">
        <v>17669</v>
      </c>
      <c r="I192" s="2" t="s">
        <v>17670</v>
      </c>
      <c r="J192" s="2" t="s">
        <v>17671</v>
      </c>
      <c r="K192" s="2" t="s">
        <v>17672</v>
      </c>
      <c r="L192" s="2" t="s">
        <v>17673</v>
      </c>
      <c r="M192" s="2" t="s">
        <v>17674</v>
      </c>
      <c r="N192" s="2" t="s">
        <v>17675</v>
      </c>
      <c r="O192" s="2" t="s">
        <v>17676</v>
      </c>
      <c r="P192" s="2" t="s">
        <v>17677</v>
      </c>
      <c r="Q192" s="2" t="s">
        <v>17678</v>
      </c>
      <c r="R192" s="2" t="s">
        <v>2509</v>
      </c>
      <c r="S192" s="2" t="s">
        <v>4367</v>
      </c>
      <c r="T192" s="2" t="s">
        <v>14573</v>
      </c>
      <c r="U192" s="2" t="s">
        <v>39</v>
      </c>
      <c r="V192" s="2" t="n">
        <v>1</v>
      </c>
    </row>
    <row r="193">
      <c r="A193" s="2" t="n">
        <v>192</v>
      </c>
      <c r="B193" s="2" t="s">
        <v>17679</v>
      </c>
      <c r="C193" s="2" t="n">
        <v>429.238398138</v>
      </c>
      <c r="D193" s="2" t="n">
        <v>0.249739949212888</v>
      </c>
      <c r="E193" s="2" t="s">
        <v>17680</v>
      </c>
      <c r="F193" s="2" t="s">
        <v>15649</v>
      </c>
      <c r="G193" s="2" t="s">
        <v>17681</v>
      </c>
      <c r="H193" s="2" t="s">
        <v>17682</v>
      </c>
      <c r="I193" s="2" t="s">
        <v>17683</v>
      </c>
      <c r="J193" s="2" t="s">
        <v>72</v>
      </c>
      <c r="K193" s="2" t="s">
        <v>72</v>
      </c>
      <c r="L193" s="2" t="s">
        <v>72</v>
      </c>
      <c r="M193" s="2" t="s">
        <v>72</v>
      </c>
      <c r="N193" s="2" t="s">
        <v>17684</v>
      </c>
      <c r="O193" s="2" t="s">
        <v>72</v>
      </c>
      <c r="P193" s="2" t="s">
        <v>17685</v>
      </c>
      <c r="Q193" s="2" t="s">
        <v>17686</v>
      </c>
      <c r="R193" s="2" t="s">
        <v>1541</v>
      </c>
      <c r="S193" s="2" t="s">
        <v>17687</v>
      </c>
      <c r="T193" s="2" t="s">
        <v>17688</v>
      </c>
      <c r="U193" s="2" t="s">
        <v>29</v>
      </c>
      <c r="V193" s="2" t="n">
        <v>2</v>
      </c>
    </row>
    <row r="194">
      <c r="A194" s="2" t="n">
        <v>193</v>
      </c>
      <c r="B194" s="2" t="s">
        <v>17689</v>
      </c>
      <c r="C194" s="2" t="n">
        <v>431.351971338</v>
      </c>
      <c r="D194" s="2" t="n">
        <v>6.52593528076369</v>
      </c>
      <c r="E194" s="2" t="s">
        <v>17690</v>
      </c>
      <c r="F194" s="2" t="s">
        <v>15649</v>
      </c>
      <c r="G194" s="2" t="s">
        <v>17691</v>
      </c>
      <c r="H194" s="2" t="s">
        <v>17692</v>
      </c>
      <c r="I194" s="2" t="s">
        <v>17693</v>
      </c>
      <c r="J194" s="2" t="s">
        <v>17694</v>
      </c>
      <c r="K194" s="2" t="s">
        <v>17695</v>
      </c>
      <c r="L194" s="2" t="s">
        <v>72</v>
      </c>
      <c r="M194" s="2" t="s">
        <v>17696</v>
      </c>
      <c r="N194" s="2" t="s">
        <v>17697</v>
      </c>
      <c r="O194" s="2" t="s">
        <v>72</v>
      </c>
      <c r="P194" s="2" t="s">
        <v>17698</v>
      </c>
      <c r="Q194" s="2" t="s">
        <v>17699</v>
      </c>
      <c r="R194" s="2" t="s">
        <v>575</v>
      </c>
      <c r="S194" s="2" t="s">
        <v>6794</v>
      </c>
      <c r="T194" s="2" t="s">
        <v>17700</v>
      </c>
      <c r="U194" s="2" t="s">
        <v>29</v>
      </c>
      <c r="V194" s="2" t="n">
        <v>2</v>
      </c>
    </row>
    <row r="195">
      <c r="A195" s="2" t="n">
        <v>194</v>
      </c>
      <c r="B195" s="2" t="s">
        <v>17701</v>
      </c>
      <c r="C195" s="2" t="n">
        <v>437.101697445</v>
      </c>
      <c r="D195" s="2" t="n">
        <v>4.53450463820305</v>
      </c>
      <c r="E195" s="2" t="s">
        <v>17702</v>
      </c>
      <c r="F195" s="2" t="s">
        <v>15611</v>
      </c>
      <c r="G195" s="2" t="s">
        <v>17703</v>
      </c>
      <c r="H195" s="2" t="s">
        <v>17704</v>
      </c>
      <c r="I195" s="2" t="s">
        <v>17705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17706</v>
      </c>
      <c r="Q195" s="2" t="s">
        <v>17707</v>
      </c>
      <c r="R195" s="2" t="s">
        <v>64</v>
      </c>
      <c r="S195" s="2" t="s">
        <v>65</v>
      </c>
      <c r="T195" s="2" t="s">
        <v>1214</v>
      </c>
      <c r="U195" s="2" t="s">
        <v>29</v>
      </c>
      <c r="V195" s="2" t="n">
        <v>1</v>
      </c>
    </row>
    <row r="196">
      <c r="A196" s="2" t="n">
        <v>195</v>
      </c>
      <c r="B196" s="2" t="s">
        <v>17708</v>
      </c>
      <c r="C196" s="2" t="n">
        <v>437.30261321</v>
      </c>
      <c r="D196" s="2" t="n">
        <v>5.52450401945229</v>
      </c>
      <c r="E196" s="2" t="s">
        <v>17709</v>
      </c>
      <c r="F196" s="2" t="s">
        <v>15858</v>
      </c>
      <c r="G196" s="2" t="s">
        <v>17710</v>
      </c>
      <c r="H196" s="2" t="s">
        <v>17711</v>
      </c>
      <c r="I196" s="2" t="s">
        <v>17712</v>
      </c>
      <c r="J196" s="2" t="s">
        <v>17713</v>
      </c>
      <c r="K196" s="2" t="s">
        <v>226</v>
      </c>
      <c r="L196" s="2" t="s">
        <v>226</v>
      </c>
      <c r="M196" s="2" t="s">
        <v>226</v>
      </c>
      <c r="N196" s="2" t="s">
        <v>17714</v>
      </c>
      <c r="O196" s="2" t="s">
        <v>17715</v>
      </c>
      <c r="P196" s="2" t="s">
        <v>17716</v>
      </c>
      <c r="Q196" s="2" t="s">
        <v>17717</v>
      </c>
      <c r="R196" s="2" t="s">
        <v>105</v>
      </c>
      <c r="S196" s="2" t="s">
        <v>7282</v>
      </c>
      <c r="T196" s="2" t="s">
        <v>17718</v>
      </c>
      <c r="U196" s="2" t="s">
        <v>29</v>
      </c>
      <c r="V196" s="2" t="n">
        <v>3</v>
      </c>
    </row>
    <row r="197">
      <c r="A197" s="2" t="n">
        <v>196</v>
      </c>
      <c r="B197" s="2" t="s">
        <v>17719</v>
      </c>
      <c r="C197" s="2" t="n">
        <v>441.1939465</v>
      </c>
      <c r="D197" s="2" t="n">
        <v>0.0974438695903363</v>
      </c>
      <c r="E197" s="2" t="s">
        <v>17720</v>
      </c>
      <c r="F197" s="2" t="s">
        <v>15649</v>
      </c>
      <c r="G197" s="2" t="s">
        <v>17721</v>
      </c>
      <c r="H197" s="2" t="s">
        <v>17722</v>
      </c>
      <c r="I197" s="2" t="s">
        <v>17723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17724</v>
      </c>
      <c r="Q197" s="2" t="s">
        <v>17725</v>
      </c>
      <c r="R197" s="2" t="s">
        <v>2509</v>
      </c>
      <c r="S197" s="2" t="s">
        <v>2840</v>
      </c>
      <c r="T197" s="2" t="s">
        <v>205</v>
      </c>
      <c r="U197" s="2" t="s">
        <v>29</v>
      </c>
      <c r="V197" s="2" t="n">
        <v>1</v>
      </c>
    </row>
    <row r="198">
      <c r="A198" s="2" t="n">
        <v>197</v>
      </c>
      <c r="B198" s="2" t="s">
        <v>17726</v>
      </c>
      <c r="C198" s="2" t="n">
        <v>447.201343936</v>
      </c>
      <c r="D198" s="2" t="n">
        <v>2.3366819475154</v>
      </c>
      <c r="E198" s="2" t="s">
        <v>17727</v>
      </c>
      <c r="F198" s="2" t="s">
        <v>15649</v>
      </c>
      <c r="G198" s="2" t="s">
        <v>17728</v>
      </c>
      <c r="H198" s="2" t="s">
        <v>17729</v>
      </c>
      <c r="I198" s="2" t="s">
        <v>17730</v>
      </c>
      <c r="J198" s="2" t="s">
        <v>17731</v>
      </c>
      <c r="K198" s="2" t="s">
        <v>17732</v>
      </c>
      <c r="L198" s="2" t="s">
        <v>17733</v>
      </c>
      <c r="M198" s="2" t="s">
        <v>17734</v>
      </c>
      <c r="N198" s="2" t="s">
        <v>17735</v>
      </c>
      <c r="O198" s="2" t="s">
        <v>17736</v>
      </c>
      <c r="P198" s="2" t="s">
        <v>17737</v>
      </c>
      <c r="Q198" s="2" t="s">
        <v>17738</v>
      </c>
      <c r="R198" s="2" t="s">
        <v>1490</v>
      </c>
      <c r="S198" s="2" t="s">
        <v>3546</v>
      </c>
      <c r="T198" s="2" t="s">
        <v>7355</v>
      </c>
      <c r="U198" s="2" t="s">
        <v>39</v>
      </c>
      <c r="V198" s="2" t="n">
        <v>1</v>
      </c>
    </row>
    <row r="199">
      <c r="A199" s="2" t="n">
        <v>198</v>
      </c>
      <c r="B199" s="2" t="s">
        <v>17739</v>
      </c>
      <c r="C199" s="2" t="n">
        <v>448.229390808</v>
      </c>
      <c r="D199" s="2" t="n">
        <v>3.06818389153185</v>
      </c>
      <c r="E199" s="2" t="s">
        <v>17740</v>
      </c>
      <c r="F199" s="2" t="s">
        <v>15649</v>
      </c>
      <c r="G199" s="2" t="s">
        <v>17741</v>
      </c>
      <c r="H199" s="2" t="s">
        <v>17742</v>
      </c>
      <c r="I199" s="2" t="s">
        <v>17743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17744</v>
      </c>
      <c r="O199" s="2" t="s">
        <v>29</v>
      </c>
      <c r="P199" s="2" t="s">
        <v>17745</v>
      </c>
      <c r="Q199" s="2" t="s">
        <v>17746</v>
      </c>
      <c r="R199" s="2" t="s">
        <v>2509</v>
      </c>
      <c r="S199" s="2" t="s">
        <v>6094</v>
      </c>
      <c r="T199" s="2" t="s">
        <v>205</v>
      </c>
      <c r="U199" s="2" t="s">
        <v>29</v>
      </c>
      <c r="V199" s="2" t="n">
        <v>1</v>
      </c>
    </row>
    <row r="200">
      <c r="A200" s="2" t="n">
        <v>199</v>
      </c>
      <c r="B200" s="2" t="s">
        <v>17747</v>
      </c>
      <c r="C200" s="2" t="n">
        <v>456.209750566</v>
      </c>
      <c r="D200" s="2" t="n">
        <v>0.101821709064836</v>
      </c>
      <c r="E200" s="2" t="s">
        <v>17748</v>
      </c>
      <c r="F200" s="2" t="s">
        <v>15691</v>
      </c>
      <c r="G200" s="2" t="s">
        <v>17749</v>
      </c>
      <c r="H200" s="2" t="s">
        <v>17750</v>
      </c>
      <c r="I200" s="2" t="s">
        <v>17751</v>
      </c>
      <c r="J200" s="2" t="s">
        <v>17752</v>
      </c>
      <c r="K200" s="2" t="s">
        <v>17753</v>
      </c>
      <c r="L200" s="2" t="s">
        <v>29</v>
      </c>
      <c r="M200" s="2" t="s">
        <v>17754</v>
      </c>
      <c r="N200" s="2" t="s">
        <v>17755</v>
      </c>
      <c r="O200" s="2" t="s">
        <v>17756</v>
      </c>
      <c r="P200" s="2" t="s">
        <v>17757</v>
      </c>
      <c r="Q200" s="2" t="s">
        <v>17758</v>
      </c>
      <c r="R200" s="2" t="s">
        <v>1490</v>
      </c>
      <c r="S200" s="2" t="s">
        <v>4236</v>
      </c>
      <c r="T200" s="2" t="s">
        <v>8613</v>
      </c>
      <c r="U200" s="2" t="s">
        <v>29</v>
      </c>
      <c r="V200" s="2" t="n">
        <v>1</v>
      </c>
    </row>
    <row r="201">
      <c r="A201" s="2" t="n">
        <v>200</v>
      </c>
      <c r="B201" s="2" t="s">
        <v>17759</v>
      </c>
      <c r="C201" s="2" t="n">
        <v>457.269698267</v>
      </c>
      <c r="D201" s="2" t="n">
        <v>2.05132463216288</v>
      </c>
      <c r="E201" s="2" t="s">
        <v>17760</v>
      </c>
      <c r="F201" s="2" t="s">
        <v>15649</v>
      </c>
      <c r="G201" s="2" t="s">
        <v>17761</v>
      </c>
      <c r="H201" s="2" t="s">
        <v>17762</v>
      </c>
      <c r="I201" s="2" t="s">
        <v>17763</v>
      </c>
      <c r="J201" s="2" t="s">
        <v>17764</v>
      </c>
      <c r="K201" s="2" t="s">
        <v>29</v>
      </c>
      <c r="L201" s="2" t="s">
        <v>29</v>
      </c>
      <c r="M201" s="2" t="s">
        <v>29</v>
      </c>
      <c r="N201" s="2" t="s">
        <v>17765</v>
      </c>
      <c r="O201" s="2" t="s">
        <v>29</v>
      </c>
      <c r="P201" s="2" t="s">
        <v>17766</v>
      </c>
      <c r="Q201" s="2" t="s">
        <v>17767</v>
      </c>
      <c r="R201" s="2" t="s">
        <v>355</v>
      </c>
      <c r="S201" s="2" t="s">
        <v>3333</v>
      </c>
      <c r="T201" s="2" t="s">
        <v>205</v>
      </c>
      <c r="U201" s="2" t="s">
        <v>29</v>
      </c>
      <c r="V201" s="2" t="n">
        <v>1</v>
      </c>
    </row>
    <row r="202">
      <c r="A202" s="2" t="n">
        <v>201</v>
      </c>
      <c r="B202" s="2" t="s">
        <v>17768</v>
      </c>
      <c r="C202" s="2" t="n">
        <v>459.248208178</v>
      </c>
      <c r="D202" s="2" t="n">
        <v>2.76813373403104</v>
      </c>
      <c r="E202" s="2" t="s">
        <v>17769</v>
      </c>
      <c r="F202" s="2" t="s">
        <v>15858</v>
      </c>
      <c r="G202" s="2" t="s">
        <v>17770</v>
      </c>
      <c r="H202" s="2" t="s">
        <v>17771</v>
      </c>
      <c r="I202" s="2" t="s">
        <v>17772</v>
      </c>
      <c r="J202" s="2" t="s">
        <v>17773</v>
      </c>
      <c r="K202" s="2" t="s">
        <v>29</v>
      </c>
      <c r="L202" s="2" t="s">
        <v>17774</v>
      </c>
      <c r="M202" s="2" t="s">
        <v>17775</v>
      </c>
      <c r="N202" s="2" t="s">
        <v>17776</v>
      </c>
      <c r="O202" s="2" t="s">
        <v>29</v>
      </c>
      <c r="P202" s="2" t="s">
        <v>17777</v>
      </c>
      <c r="Q202" s="2" t="s">
        <v>17778</v>
      </c>
      <c r="R202" s="2" t="s">
        <v>64</v>
      </c>
      <c r="S202" s="2" t="s">
        <v>65</v>
      </c>
      <c r="T202" s="2" t="s">
        <v>91</v>
      </c>
      <c r="U202" s="2" t="s">
        <v>39</v>
      </c>
      <c r="V202" s="2" t="n">
        <v>1</v>
      </c>
    </row>
    <row r="203">
      <c r="A203" s="2" t="n">
        <v>202</v>
      </c>
      <c r="B203" s="2" t="s">
        <v>17779</v>
      </c>
      <c r="C203" s="2" t="n">
        <v>459.988150515</v>
      </c>
      <c r="D203" s="2" t="n">
        <v>0.11350766128682</v>
      </c>
      <c r="E203" s="2" t="s">
        <v>17780</v>
      </c>
      <c r="F203" s="2" t="s">
        <v>15722</v>
      </c>
      <c r="G203" s="2" t="s">
        <v>17781</v>
      </c>
      <c r="H203" s="2" t="s">
        <v>17782</v>
      </c>
      <c r="I203" s="2" t="s">
        <v>17783</v>
      </c>
      <c r="J203" s="2" t="s">
        <v>17784</v>
      </c>
      <c r="K203" s="2" t="s">
        <v>29</v>
      </c>
      <c r="L203" s="2" t="s">
        <v>17785</v>
      </c>
      <c r="M203" s="2" t="s">
        <v>17786</v>
      </c>
      <c r="N203" s="2" t="s">
        <v>17787</v>
      </c>
      <c r="O203" s="2" t="s">
        <v>17788</v>
      </c>
      <c r="P203" s="2" t="s">
        <v>17789</v>
      </c>
      <c r="Q203" s="2" t="s">
        <v>17790</v>
      </c>
      <c r="R203" s="2" t="s">
        <v>355</v>
      </c>
      <c r="S203" s="2" t="s">
        <v>1316</v>
      </c>
      <c r="T203" s="2" t="s">
        <v>4897</v>
      </c>
      <c r="U203" s="2" t="s">
        <v>39</v>
      </c>
      <c r="V203" s="2" t="n">
        <v>1</v>
      </c>
    </row>
    <row r="204">
      <c r="A204" s="2" t="n">
        <v>203</v>
      </c>
      <c r="B204" s="2" t="s">
        <v>17791</v>
      </c>
      <c r="C204" s="2" t="n">
        <v>465.33406809</v>
      </c>
      <c r="D204" s="2" t="n">
        <v>0.190508141036641</v>
      </c>
      <c r="E204" s="2" t="s">
        <v>17792</v>
      </c>
      <c r="F204" s="2" t="s">
        <v>15919</v>
      </c>
      <c r="G204" s="2" t="s">
        <v>17793</v>
      </c>
      <c r="H204" s="2" t="s">
        <v>17794</v>
      </c>
      <c r="I204" s="2" t="s">
        <v>17795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17796</v>
      </c>
      <c r="O204" s="2" t="s">
        <v>29</v>
      </c>
      <c r="P204" s="2" t="s">
        <v>17797</v>
      </c>
      <c r="Q204" s="2" t="s">
        <v>17798</v>
      </c>
      <c r="R204" s="2" t="s">
        <v>1490</v>
      </c>
      <c r="S204" s="2" t="s">
        <v>1491</v>
      </c>
      <c r="T204" s="2" t="s">
        <v>12091</v>
      </c>
      <c r="U204" s="2" t="s">
        <v>29</v>
      </c>
      <c r="V204" s="2" t="n">
        <v>1</v>
      </c>
    </row>
    <row r="205">
      <c r="A205" s="2" t="n">
        <v>204</v>
      </c>
      <c r="B205" s="2" t="s">
        <v>17799</v>
      </c>
      <c r="C205" s="2" t="n">
        <v>467.25088662</v>
      </c>
      <c r="D205" s="2" t="n">
        <v>4.60677756459486</v>
      </c>
      <c r="E205" s="2" t="s">
        <v>17800</v>
      </c>
      <c r="F205" s="2" t="s">
        <v>15691</v>
      </c>
      <c r="G205" s="2" t="s">
        <v>17801</v>
      </c>
      <c r="H205" s="2" t="s">
        <v>17802</v>
      </c>
      <c r="I205" s="2" t="s">
        <v>17803</v>
      </c>
      <c r="J205" s="2" t="s">
        <v>29</v>
      </c>
      <c r="K205" s="2" t="s">
        <v>29</v>
      </c>
      <c r="L205" s="2" t="s">
        <v>29</v>
      </c>
      <c r="M205" s="2" t="s">
        <v>17804</v>
      </c>
      <c r="N205" s="2" t="s">
        <v>17805</v>
      </c>
      <c r="O205" s="2" t="s">
        <v>29</v>
      </c>
      <c r="P205" s="2" t="s">
        <v>17806</v>
      </c>
      <c r="Q205" s="2" t="s">
        <v>17807</v>
      </c>
      <c r="R205" s="2" t="s">
        <v>64</v>
      </c>
      <c r="S205" s="2" t="s">
        <v>65</v>
      </c>
      <c r="T205" s="2" t="s">
        <v>91</v>
      </c>
      <c r="U205" s="2" t="s">
        <v>29</v>
      </c>
      <c r="V205" s="2" t="n">
        <v>1</v>
      </c>
    </row>
    <row r="206">
      <c r="A206" s="2" t="n">
        <v>205</v>
      </c>
      <c r="B206" s="2" t="s">
        <v>17808</v>
      </c>
      <c r="C206" s="2" t="n">
        <v>470.12572873</v>
      </c>
      <c r="D206" s="2" t="n">
        <v>6.57704000580408</v>
      </c>
      <c r="E206" s="2" t="s">
        <v>17809</v>
      </c>
      <c r="F206" s="2" t="s">
        <v>15858</v>
      </c>
      <c r="G206" s="2" t="s">
        <v>17810</v>
      </c>
      <c r="H206" s="2" t="s">
        <v>17811</v>
      </c>
      <c r="I206" s="2" t="s">
        <v>17812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17813</v>
      </c>
      <c r="O206" s="2" t="s">
        <v>29</v>
      </c>
      <c r="P206" s="2" t="s">
        <v>17814</v>
      </c>
      <c r="Q206" s="2" t="s">
        <v>17815</v>
      </c>
      <c r="R206" s="2" t="s">
        <v>355</v>
      </c>
      <c r="S206" s="2" t="s">
        <v>5131</v>
      </c>
      <c r="T206" s="2" t="s">
        <v>5132</v>
      </c>
      <c r="U206" s="2" t="s">
        <v>29</v>
      </c>
      <c r="V206" s="2" t="n">
        <v>1</v>
      </c>
    </row>
    <row r="207">
      <c r="A207" s="2" t="n">
        <v>206</v>
      </c>
      <c r="B207" s="2" t="s">
        <v>17816</v>
      </c>
      <c r="C207" s="2" t="n">
        <v>470.303102311</v>
      </c>
      <c r="D207" s="2" t="n">
        <v>2.73603553715674</v>
      </c>
      <c r="E207" s="2" t="s">
        <v>17817</v>
      </c>
      <c r="F207" s="2" t="s">
        <v>15919</v>
      </c>
      <c r="G207" s="2" t="s">
        <v>17818</v>
      </c>
      <c r="H207" s="2" t="s">
        <v>17819</v>
      </c>
      <c r="I207" s="2" t="s">
        <v>17820</v>
      </c>
      <c r="J207" s="2" t="s">
        <v>17821</v>
      </c>
      <c r="K207" s="2" t="s">
        <v>17822</v>
      </c>
      <c r="L207" s="2" t="s">
        <v>226</v>
      </c>
      <c r="M207" s="2" t="s">
        <v>226</v>
      </c>
      <c r="N207" s="2" t="s">
        <v>17823</v>
      </c>
      <c r="O207" s="2" t="s">
        <v>17824</v>
      </c>
      <c r="P207" s="2" t="s">
        <v>17825</v>
      </c>
      <c r="Q207" s="2" t="s">
        <v>17826</v>
      </c>
      <c r="R207" s="2" t="s">
        <v>17827</v>
      </c>
      <c r="S207" s="2" t="s">
        <v>17828</v>
      </c>
      <c r="T207" s="2" t="s">
        <v>17829</v>
      </c>
      <c r="U207" s="2" t="s">
        <v>29</v>
      </c>
      <c r="V207" s="2" t="n">
        <v>3</v>
      </c>
    </row>
    <row r="208">
      <c r="A208" s="2" t="n">
        <v>207</v>
      </c>
      <c r="B208" s="2" t="s">
        <v>17830</v>
      </c>
      <c r="C208" s="2" t="n">
        <v>470.79870352</v>
      </c>
      <c r="D208" s="2" t="n">
        <v>1.7464778697864</v>
      </c>
      <c r="E208" s="2" t="s">
        <v>17831</v>
      </c>
      <c r="F208" s="2" t="s">
        <v>15919</v>
      </c>
      <c r="G208" s="2" t="s">
        <v>17832</v>
      </c>
      <c r="H208" s="2" t="s">
        <v>17833</v>
      </c>
      <c r="I208" s="2" t="s">
        <v>17834</v>
      </c>
      <c r="J208" s="2" t="s">
        <v>17835</v>
      </c>
      <c r="K208" s="2" t="s">
        <v>29</v>
      </c>
      <c r="L208" s="2" t="s">
        <v>17836</v>
      </c>
      <c r="M208" s="2" t="s">
        <v>17837</v>
      </c>
      <c r="N208" s="2" t="s">
        <v>17838</v>
      </c>
      <c r="O208" s="2" t="s">
        <v>29</v>
      </c>
      <c r="P208" s="2" t="s">
        <v>17839</v>
      </c>
      <c r="Q208" s="2" t="s">
        <v>17840</v>
      </c>
      <c r="R208" s="2" t="s">
        <v>502</v>
      </c>
      <c r="S208" s="2" t="s">
        <v>503</v>
      </c>
      <c r="T208" s="2" t="s">
        <v>11699</v>
      </c>
      <c r="U208" s="2" t="s">
        <v>39</v>
      </c>
      <c r="V208" s="2" t="n">
        <v>1</v>
      </c>
    </row>
    <row r="209">
      <c r="A209" s="2" t="n">
        <v>208</v>
      </c>
      <c r="B209" s="2" t="s">
        <v>17841</v>
      </c>
      <c r="C209" s="2" t="n">
        <v>470.993105417</v>
      </c>
      <c r="D209" s="2" t="n">
        <v>6.87336413362175</v>
      </c>
      <c r="E209" s="2" t="s">
        <v>17842</v>
      </c>
      <c r="F209" s="2" t="s">
        <v>15722</v>
      </c>
      <c r="G209" s="2" t="s">
        <v>17843</v>
      </c>
      <c r="H209" s="2" t="s">
        <v>17844</v>
      </c>
      <c r="I209" s="2" t="s">
        <v>17845</v>
      </c>
      <c r="J209" s="2" t="s">
        <v>17846</v>
      </c>
      <c r="K209" s="2" t="s">
        <v>29</v>
      </c>
      <c r="L209" s="2" t="s">
        <v>17847</v>
      </c>
      <c r="M209" s="2" t="s">
        <v>17848</v>
      </c>
      <c r="N209" s="2" t="s">
        <v>17849</v>
      </c>
      <c r="O209" s="2" t="s">
        <v>17850</v>
      </c>
      <c r="P209" s="2" t="s">
        <v>17851</v>
      </c>
      <c r="Q209" s="2" t="s">
        <v>17852</v>
      </c>
      <c r="R209" s="2" t="s">
        <v>502</v>
      </c>
      <c r="S209" s="2" t="s">
        <v>503</v>
      </c>
      <c r="T209" s="2" t="s">
        <v>2651</v>
      </c>
      <c r="U209" s="2" t="s">
        <v>39</v>
      </c>
      <c r="V209" s="2" t="n">
        <v>1</v>
      </c>
    </row>
    <row r="210">
      <c r="A210" s="2" t="n">
        <v>209</v>
      </c>
      <c r="B210" s="2" t="s">
        <v>17853</v>
      </c>
      <c r="C210" s="2" t="n">
        <v>471.231298747</v>
      </c>
      <c r="D210" s="2" t="n">
        <v>2.28026412512304</v>
      </c>
      <c r="E210" s="2" t="s">
        <v>17854</v>
      </c>
      <c r="F210" s="2" t="s">
        <v>15858</v>
      </c>
      <c r="G210" s="2" t="s">
        <v>17855</v>
      </c>
      <c r="H210" s="2" t="s">
        <v>17856</v>
      </c>
      <c r="I210" s="2" t="s">
        <v>17857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17858</v>
      </c>
      <c r="O210" s="2" t="s">
        <v>29</v>
      </c>
      <c r="P210" s="2" t="s">
        <v>17859</v>
      </c>
      <c r="Q210" s="2" t="s">
        <v>17860</v>
      </c>
      <c r="R210" s="2" t="s">
        <v>49</v>
      </c>
      <c r="S210" s="2" t="s">
        <v>396</v>
      </c>
      <c r="T210" s="2" t="s">
        <v>11213</v>
      </c>
      <c r="U210" s="2" t="s">
        <v>29</v>
      </c>
      <c r="V210" s="2" t="n">
        <v>1</v>
      </c>
    </row>
    <row r="211">
      <c r="A211" s="2" t="n">
        <v>210</v>
      </c>
      <c r="B211" s="2" t="s">
        <v>17861</v>
      </c>
      <c r="C211" s="2" t="n">
        <v>471.296581724</v>
      </c>
      <c r="D211" s="2" t="n">
        <v>1.80112460399812</v>
      </c>
      <c r="E211" s="2" t="s">
        <v>17862</v>
      </c>
      <c r="F211" s="2" t="s">
        <v>15649</v>
      </c>
      <c r="G211" s="2" t="s">
        <v>17863</v>
      </c>
      <c r="H211" s="2" t="s">
        <v>17864</v>
      </c>
      <c r="I211" s="2" t="s">
        <v>17865</v>
      </c>
      <c r="J211" s="2" t="s">
        <v>29</v>
      </c>
      <c r="K211" s="2" t="s">
        <v>29</v>
      </c>
      <c r="L211" s="2" t="s">
        <v>29</v>
      </c>
      <c r="M211" s="2" t="s">
        <v>17866</v>
      </c>
      <c r="N211" s="2" t="s">
        <v>17867</v>
      </c>
      <c r="O211" s="2" t="s">
        <v>17868</v>
      </c>
      <c r="P211" s="2" t="s">
        <v>17869</v>
      </c>
      <c r="Q211" s="2" t="s">
        <v>17870</v>
      </c>
      <c r="R211" s="2" t="s">
        <v>49</v>
      </c>
      <c r="S211" s="2" t="s">
        <v>165</v>
      </c>
      <c r="T211" s="2" t="s">
        <v>166</v>
      </c>
      <c r="U211" s="2" t="s">
        <v>29</v>
      </c>
      <c r="V211" s="2" t="n">
        <v>1</v>
      </c>
    </row>
    <row r="212">
      <c r="A212" s="2" t="n">
        <v>211</v>
      </c>
      <c r="B212" s="2" t="s">
        <v>17871</v>
      </c>
      <c r="C212" s="2" t="n">
        <v>473.094039385</v>
      </c>
      <c r="D212" s="2" t="n">
        <v>1.1441125797643</v>
      </c>
      <c r="E212" s="2" t="s">
        <v>17872</v>
      </c>
      <c r="F212" s="2" t="s">
        <v>15611</v>
      </c>
      <c r="G212" s="2" t="s">
        <v>17873</v>
      </c>
      <c r="H212" s="2" t="s">
        <v>17874</v>
      </c>
      <c r="I212" s="2" t="s">
        <v>17875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17876</v>
      </c>
      <c r="O212" s="2" t="s">
        <v>29</v>
      </c>
      <c r="P212" s="2" t="s">
        <v>17877</v>
      </c>
      <c r="Q212" s="2" t="s">
        <v>17878</v>
      </c>
      <c r="R212" s="2" t="s">
        <v>7174</v>
      </c>
      <c r="S212" s="2" t="s">
        <v>205</v>
      </c>
      <c r="T212" s="2" t="s">
        <v>205</v>
      </c>
      <c r="U212" s="2" t="s">
        <v>29</v>
      </c>
      <c r="V212" s="2" t="n">
        <v>1</v>
      </c>
    </row>
    <row r="213">
      <c r="A213" s="2" t="n">
        <v>212</v>
      </c>
      <c r="B213" s="2" t="s">
        <v>17879</v>
      </c>
      <c r="C213" s="2" t="n">
        <v>474.224813765</v>
      </c>
      <c r="D213" s="2" t="n">
        <v>9.88071836310108</v>
      </c>
      <c r="E213" s="2" t="s">
        <v>17880</v>
      </c>
      <c r="F213" s="2" t="s">
        <v>15649</v>
      </c>
      <c r="G213" s="2" t="s">
        <v>17881</v>
      </c>
      <c r="H213" s="2" t="s">
        <v>17882</v>
      </c>
      <c r="I213" s="2" t="s">
        <v>17883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17884</v>
      </c>
      <c r="O213" s="2" t="s">
        <v>29</v>
      </c>
      <c r="P213" s="2" t="s">
        <v>17885</v>
      </c>
      <c r="Q213" s="2" t="s">
        <v>17886</v>
      </c>
      <c r="R213" s="2" t="s">
        <v>355</v>
      </c>
      <c r="S213" s="2" t="s">
        <v>466</v>
      </c>
      <c r="T213" s="2" t="s">
        <v>467</v>
      </c>
      <c r="U213" s="2" t="s">
        <v>29</v>
      </c>
      <c r="V213" s="2" t="n">
        <v>1</v>
      </c>
    </row>
    <row r="214">
      <c r="A214" s="2" t="n">
        <v>213</v>
      </c>
      <c r="B214" s="2" t="s">
        <v>17887</v>
      </c>
      <c r="C214" s="2" t="n">
        <v>476.013191915</v>
      </c>
      <c r="D214" s="2" t="n">
        <v>0.139599493988847</v>
      </c>
      <c r="E214" s="2" t="s">
        <v>17888</v>
      </c>
      <c r="F214" s="2" t="s">
        <v>15649</v>
      </c>
      <c r="G214" s="2" t="s">
        <v>17889</v>
      </c>
      <c r="H214" s="2" t="s">
        <v>17890</v>
      </c>
      <c r="I214" s="2" t="s">
        <v>17891</v>
      </c>
      <c r="J214" s="2" t="s">
        <v>17892</v>
      </c>
      <c r="K214" s="2" t="s">
        <v>29</v>
      </c>
      <c r="L214" s="2" t="s">
        <v>29</v>
      </c>
      <c r="M214" s="2" t="s">
        <v>29</v>
      </c>
      <c r="N214" s="2" t="s">
        <v>17893</v>
      </c>
      <c r="O214" s="2" t="s">
        <v>17894</v>
      </c>
      <c r="P214" s="2" t="s">
        <v>17895</v>
      </c>
      <c r="Q214" s="2" t="s">
        <v>17896</v>
      </c>
      <c r="R214" s="2" t="s">
        <v>2590</v>
      </c>
      <c r="S214" s="2" t="s">
        <v>6120</v>
      </c>
      <c r="T214" s="2" t="s">
        <v>12953</v>
      </c>
      <c r="U214" s="2" t="s">
        <v>29</v>
      </c>
      <c r="V214" s="2" t="n">
        <v>1</v>
      </c>
    </row>
    <row r="215">
      <c r="A215" s="2" t="n">
        <v>214</v>
      </c>
      <c r="B215" s="2" t="s">
        <v>17897</v>
      </c>
      <c r="C215" s="2" t="n">
        <v>478.292931553</v>
      </c>
      <c r="D215" s="2" t="n">
        <v>2.28550373481096</v>
      </c>
      <c r="E215" s="2" t="s">
        <v>17898</v>
      </c>
      <c r="F215" s="2" t="s">
        <v>15919</v>
      </c>
      <c r="G215" s="2" t="s">
        <v>17899</v>
      </c>
      <c r="H215" s="2" t="s">
        <v>17900</v>
      </c>
      <c r="I215" s="2" t="s">
        <v>17901</v>
      </c>
      <c r="J215" s="2" t="s">
        <v>226</v>
      </c>
      <c r="K215" s="2" t="s">
        <v>17902</v>
      </c>
      <c r="L215" s="2" t="s">
        <v>226</v>
      </c>
      <c r="M215" s="2" t="s">
        <v>17903</v>
      </c>
      <c r="N215" s="2" t="s">
        <v>17904</v>
      </c>
      <c r="O215" s="2" t="s">
        <v>226</v>
      </c>
      <c r="P215" s="2" t="s">
        <v>17905</v>
      </c>
      <c r="Q215" s="2" t="s">
        <v>17906</v>
      </c>
      <c r="R215" s="2" t="s">
        <v>105</v>
      </c>
      <c r="S215" s="2" t="s">
        <v>106</v>
      </c>
      <c r="T215" s="2" t="s">
        <v>5339</v>
      </c>
      <c r="U215" s="2" t="s">
        <v>29</v>
      </c>
      <c r="V215" s="2" t="n">
        <v>3</v>
      </c>
    </row>
    <row r="216">
      <c r="A216" s="2" t="n">
        <v>215</v>
      </c>
      <c r="B216" s="2" t="s">
        <v>17907</v>
      </c>
      <c r="C216" s="2" t="n">
        <v>478.329789471</v>
      </c>
      <c r="D216" s="2" t="n">
        <v>1.14261962909102</v>
      </c>
      <c r="E216" s="2" t="s">
        <v>17908</v>
      </c>
      <c r="F216" s="2" t="s">
        <v>15611</v>
      </c>
      <c r="G216" s="2" t="s">
        <v>17909</v>
      </c>
      <c r="H216" s="2" t="s">
        <v>17910</v>
      </c>
      <c r="I216" s="2" t="s">
        <v>17911</v>
      </c>
      <c r="J216" s="2" t="s">
        <v>17912</v>
      </c>
      <c r="K216" s="2" t="s">
        <v>17913</v>
      </c>
      <c r="L216" s="2" t="s">
        <v>17914</v>
      </c>
      <c r="M216" s="2" t="s">
        <v>17915</v>
      </c>
      <c r="N216" s="2" t="s">
        <v>17916</v>
      </c>
      <c r="O216" s="2" t="s">
        <v>17917</v>
      </c>
      <c r="P216" s="2" t="s">
        <v>17918</v>
      </c>
      <c r="Q216" s="2" t="s">
        <v>17919</v>
      </c>
      <c r="R216" s="2" t="s">
        <v>1490</v>
      </c>
      <c r="S216" s="2" t="s">
        <v>4236</v>
      </c>
      <c r="T216" s="2" t="s">
        <v>8613</v>
      </c>
      <c r="U216" s="2" t="s">
        <v>39</v>
      </c>
      <c r="V216" s="2" t="n">
        <v>1</v>
      </c>
    </row>
    <row r="217">
      <c r="A217" s="2" t="n">
        <v>216</v>
      </c>
      <c r="B217" s="2" t="s">
        <v>17920</v>
      </c>
      <c r="C217" s="2" t="n">
        <v>478.7717754</v>
      </c>
      <c r="D217" s="2" t="n">
        <v>8.64050990656983</v>
      </c>
      <c r="E217" s="2" t="s">
        <v>17921</v>
      </c>
      <c r="F217" s="2" t="s">
        <v>17922</v>
      </c>
      <c r="G217" s="2" t="s">
        <v>17923</v>
      </c>
      <c r="H217" s="2" t="s">
        <v>17924</v>
      </c>
      <c r="I217" s="2" t="s">
        <v>17925</v>
      </c>
      <c r="J217" s="2" t="s">
        <v>17926</v>
      </c>
      <c r="K217" s="2" t="s">
        <v>29</v>
      </c>
      <c r="L217" s="2" t="s">
        <v>17927</v>
      </c>
      <c r="M217" s="2" t="s">
        <v>29</v>
      </c>
      <c r="N217" s="2" t="s">
        <v>17928</v>
      </c>
      <c r="O217" s="2" t="s">
        <v>17929</v>
      </c>
      <c r="P217" s="2" t="s">
        <v>17930</v>
      </c>
      <c r="Q217" s="2" t="s">
        <v>17931</v>
      </c>
      <c r="R217" s="2" t="s">
        <v>49</v>
      </c>
      <c r="S217" s="2" t="s">
        <v>771</v>
      </c>
      <c r="T217" s="2" t="s">
        <v>772</v>
      </c>
      <c r="U217" s="2" t="s">
        <v>39</v>
      </c>
      <c r="V217" s="2" t="n">
        <v>1</v>
      </c>
    </row>
    <row r="218">
      <c r="A218" s="2" t="n">
        <v>217</v>
      </c>
      <c r="B218" s="2" t="s">
        <v>17932</v>
      </c>
      <c r="C218" s="2" t="n">
        <v>479.32858878</v>
      </c>
      <c r="D218" s="2" t="n">
        <v>4.45998944426189</v>
      </c>
      <c r="E218" s="2" t="s">
        <v>17933</v>
      </c>
      <c r="F218" s="2" t="s">
        <v>15919</v>
      </c>
      <c r="G218" s="2" t="s">
        <v>17934</v>
      </c>
      <c r="H218" s="2" t="s">
        <v>17935</v>
      </c>
      <c r="I218" s="2" t="s">
        <v>17936</v>
      </c>
      <c r="J218" s="2" t="s">
        <v>29</v>
      </c>
      <c r="K218" s="2" t="s">
        <v>29</v>
      </c>
      <c r="L218" s="2" t="s">
        <v>17937</v>
      </c>
      <c r="M218" s="2" t="s">
        <v>29</v>
      </c>
      <c r="N218" s="2" t="s">
        <v>17938</v>
      </c>
      <c r="O218" s="2" t="s">
        <v>17939</v>
      </c>
      <c r="P218" s="2" t="s">
        <v>17940</v>
      </c>
      <c r="Q218" s="2" t="s">
        <v>17941</v>
      </c>
      <c r="R218" s="2" t="s">
        <v>1490</v>
      </c>
      <c r="S218" s="2" t="s">
        <v>4971</v>
      </c>
      <c r="T218" s="2" t="s">
        <v>7445</v>
      </c>
      <c r="U218" s="2" t="s">
        <v>39</v>
      </c>
      <c r="V218" s="2" t="n">
        <v>1</v>
      </c>
    </row>
    <row r="219">
      <c r="A219" s="2" t="n">
        <v>218</v>
      </c>
      <c r="B219" s="2" t="s">
        <v>17942</v>
      </c>
      <c r="C219" s="2" t="n">
        <v>481.05315478</v>
      </c>
      <c r="D219" s="2" t="n">
        <v>9.88106294538484</v>
      </c>
      <c r="E219" s="2" t="s">
        <v>17943</v>
      </c>
      <c r="F219" s="2" t="s">
        <v>15919</v>
      </c>
      <c r="G219" s="2" t="s">
        <v>17944</v>
      </c>
      <c r="H219" s="2" t="s">
        <v>17945</v>
      </c>
      <c r="I219" s="2" t="s">
        <v>17946</v>
      </c>
      <c r="J219" s="2" t="s">
        <v>17947</v>
      </c>
      <c r="K219" s="2" t="s">
        <v>17948</v>
      </c>
      <c r="L219" s="2" t="s">
        <v>226</v>
      </c>
      <c r="M219" s="2" t="s">
        <v>17949</v>
      </c>
      <c r="N219" s="2" t="s">
        <v>17950</v>
      </c>
      <c r="O219" s="2" t="s">
        <v>17951</v>
      </c>
      <c r="P219" s="2" t="s">
        <v>17952</v>
      </c>
      <c r="Q219" s="2" t="s">
        <v>17953</v>
      </c>
      <c r="R219" s="2" t="s">
        <v>5230</v>
      </c>
      <c r="S219" s="2" t="s">
        <v>5231</v>
      </c>
      <c r="T219" s="2" t="s">
        <v>5232</v>
      </c>
      <c r="U219" s="2" t="s">
        <v>29</v>
      </c>
      <c r="V219" s="2" t="n">
        <v>3</v>
      </c>
    </row>
    <row r="220">
      <c r="A220" s="2" t="n">
        <v>219</v>
      </c>
      <c r="B220" s="2" t="s">
        <v>17954</v>
      </c>
      <c r="C220" s="2" t="n">
        <v>481.24320875</v>
      </c>
      <c r="D220" s="2" t="n">
        <v>6.22625768883043</v>
      </c>
      <c r="E220" s="2" t="s">
        <v>17955</v>
      </c>
      <c r="F220" s="2" t="s">
        <v>15649</v>
      </c>
      <c r="G220" s="2" t="s">
        <v>17956</v>
      </c>
      <c r="H220" s="2" t="s">
        <v>17957</v>
      </c>
      <c r="I220" s="2" t="s">
        <v>17958</v>
      </c>
      <c r="J220" s="2" t="s">
        <v>17959</v>
      </c>
      <c r="K220" s="2" t="s">
        <v>72</v>
      </c>
      <c r="L220" s="2" t="s">
        <v>72</v>
      </c>
      <c r="M220" s="2" t="s">
        <v>17960</v>
      </c>
      <c r="N220" s="2" t="s">
        <v>17961</v>
      </c>
      <c r="O220" s="2" t="s">
        <v>17962</v>
      </c>
      <c r="P220" s="2" t="s">
        <v>17963</v>
      </c>
      <c r="Q220" s="2" t="s">
        <v>17964</v>
      </c>
      <c r="R220" s="2" t="s">
        <v>575</v>
      </c>
      <c r="S220" s="2" t="s">
        <v>6350</v>
      </c>
      <c r="T220" s="2" t="s">
        <v>17965</v>
      </c>
      <c r="U220" s="2" t="s">
        <v>29</v>
      </c>
      <c r="V220" s="2" t="n">
        <v>2</v>
      </c>
    </row>
    <row r="221">
      <c r="A221" s="2" t="n">
        <v>220</v>
      </c>
      <c r="B221" s="2" t="s">
        <v>17966</v>
      </c>
      <c r="C221" s="2" t="n">
        <v>482.002280431</v>
      </c>
      <c r="D221" s="2" t="n">
        <v>1.26318410832848</v>
      </c>
      <c r="E221" s="2" t="s">
        <v>17967</v>
      </c>
      <c r="F221" s="2" t="s">
        <v>15691</v>
      </c>
      <c r="G221" s="2" t="s">
        <v>17968</v>
      </c>
      <c r="H221" s="2" t="s">
        <v>17969</v>
      </c>
      <c r="I221" s="2" t="s">
        <v>17970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16608</v>
      </c>
      <c r="O221" s="2" t="s">
        <v>29</v>
      </c>
      <c r="P221" s="2" t="s">
        <v>17971</v>
      </c>
      <c r="Q221" s="2" t="s">
        <v>17972</v>
      </c>
      <c r="R221" s="2" t="s">
        <v>355</v>
      </c>
      <c r="S221" s="2" t="s">
        <v>4796</v>
      </c>
      <c r="T221" s="2" t="s">
        <v>4797</v>
      </c>
      <c r="U221" s="2" t="s">
        <v>29</v>
      </c>
      <c r="V221" s="2" t="n">
        <v>1</v>
      </c>
    </row>
    <row r="222">
      <c r="A222" s="2" t="n">
        <v>221</v>
      </c>
      <c r="B222" s="2" t="s">
        <v>17973</v>
      </c>
      <c r="C222" s="2" t="n">
        <v>483.08023482</v>
      </c>
      <c r="D222" s="2" t="n">
        <v>1.98060813422719</v>
      </c>
      <c r="E222" s="2" t="s">
        <v>17974</v>
      </c>
      <c r="F222" s="2" t="s">
        <v>15858</v>
      </c>
      <c r="G222" s="2" t="s">
        <v>17975</v>
      </c>
      <c r="H222" s="2" t="s">
        <v>17976</v>
      </c>
      <c r="I222" s="2" t="s">
        <v>17977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17978</v>
      </c>
      <c r="O222" s="2" t="s">
        <v>29</v>
      </c>
      <c r="P222" s="2" t="s">
        <v>17979</v>
      </c>
      <c r="Q222" s="2" t="s">
        <v>17980</v>
      </c>
      <c r="R222" s="2" t="s">
        <v>355</v>
      </c>
      <c r="S222" s="2" t="s">
        <v>3533</v>
      </c>
      <c r="T222" s="2" t="s">
        <v>3534</v>
      </c>
      <c r="U222" s="2" t="s">
        <v>29</v>
      </c>
      <c r="V222" s="2" t="n">
        <v>1</v>
      </c>
    </row>
    <row r="223">
      <c r="A223" s="2" t="n">
        <v>222</v>
      </c>
      <c r="B223" s="2" t="s">
        <v>17981</v>
      </c>
      <c r="C223" s="2" t="n">
        <v>483.262122302</v>
      </c>
      <c r="D223" s="2" t="n">
        <v>1.61117860762106</v>
      </c>
      <c r="E223" s="2" t="s">
        <v>17982</v>
      </c>
      <c r="F223" s="2" t="s">
        <v>15611</v>
      </c>
      <c r="G223" s="2" t="s">
        <v>17983</v>
      </c>
      <c r="H223" s="2" t="s">
        <v>17984</v>
      </c>
      <c r="I223" s="2" t="s">
        <v>17985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17986</v>
      </c>
      <c r="O223" s="2" t="s">
        <v>29</v>
      </c>
      <c r="P223" s="2" t="s">
        <v>17987</v>
      </c>
      <c r="Q223" s="2" t="s">
        <v>17988</v>
      </c>
      <c r="R223" s="2" t="s">
        <v>355</v>
      </c>
      <c r="S223" s="2" t="s">
        <v>5131</v>
      </c>
      <c r="T223" s="2" t="s">
        <v>5132</v>
      </c>
      <c r="U223" s="2" t="s">
        <v>29</v>
      </c>
      <c r="V223" s="2" t="n">
        <v>1</v>
      </c>
    </row>
    <row r="224">
      <c r="A224" s="2" t="n">
        <v>223</v>
      </c>
      <c r="B224" s="2" t="s">
        <v>17989</v>
      </c>
      <c r="C224" s="2" t="n">
        <v>484.0801296</v>
      </c>
      <c r="D224" s="2" t="n">
        <v>0.36717638986537</v>
      </c>
      <c r="E224" s="2" t="s">
        <v>17990</v>
      </c>
      <c r="F224" s="2" t="s">
        <v>15858</v>
      </c>
      <c r="G224" s="2" t="s">
        <v>17991</v>
      </c>
      <c r="H224" s="2" t="s">
        <v>17992</v>
      </c>
      <c r="I224" s="2" t="s">
        <v>17993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17994</v>
      </c>
      <c r="Q224" s="2" t="s">
        <v>17995</v>
      </c>
      <c r="R224" s="2" t="s">
        <v>502</v>
      </c>
      <c r="S224" s="2" t="s">
        <v>503</v>
      </c>
      <c r="T224" s="2" t="s">
        <v>5166</v>
      </c>
      <c r="U224" s="2" t="s">
        <v>29</v>
      </c>
      <c r="V224" s="2" t="n">
        <v>1</v>
      </c>
    </row>
    <row r="225">
      <c r="A225" s="2" t="n">
        <v>224</v>
      </c>
      <c r="B225" s="2" t="s">
        <v>17996</v>
      </c>
      <c r="C225" s="2" t="n">
        <v>485.072211301</v>
      </c>
      <c r="D225" s="2" t="n">
        <v>5.77224095895318</v>
      </c>
      <c r="E225" s="2" t="s">
        <v>17997</v>
      </c>
      <c r="F225" s="2" t="s">
        <v>15858</v>
      </c>
      <c r="G225" s="2" t="s">
        <v>17998</v>
      </c>
      <c r="H225" s="2" t="s">
        <v>17999</v>
      </c>
      <c r="I225" s="2" t="s">
        <v>18000</v>
      </c>
      <c r="J225" s="2" t="s">
        <v>18001</v>
      </c>
      <c r="K225" s="2" t="s">
        <v>29</v>
      </c>
      <c r="L225" s="2" t="s">
        <v>29</v>
      </c>
      <c r="M225" s="2" t="s">
        <v>18002</v>
      </c>
      <c r="N225" s="2" t="s">
        <v>18003</v>
      </c>
      <c r="O225" s="2" t="s">
        <v>18004</v>
      </c>
      <c r="P225" s="2" t="s">
        <v>18005</v>
      </c>
      <c r="Q225" s="2" t="s">
        <v>18006</v>
      </c>
      <c r="R225" s="2" t="s">
        <v>64</v>
      </c>
      <c r="S225" s="2" t="s">
        <v>65</v>
      </c>
      <c r="T225" s="2" t="s">
        <v>66</v>
      </c>
      <c r="U225" s="2" t="s">
        <v>29</v>
      </c>
      <c r="V225" s="2" t="n">
        <v>1</v>
      </c>
    </row>
    <row r="226">
      <c r="A226" s="2" t="n">
        <v>225</v>
      </c>
      <c r="B226" s="2" t="s">
        <v>18007</v>
      </c>
      <c r="C226" s="2" t="n">
        <v>485.291102416</v>
      </c>
      <c r="D226" s="2" t="n">
        <v>5.14479665506114</v>
      </c>
      <c r="E226" s="2" t="s">
        <v>18008</v>
      </c>
      <c r="F226" s="2" t="s">
        <v>15778</v>
      </c>
      <c r="G226" s="2" t="s">
        <v>18009</v>
      </c>
      <c r="H226" s="2" t="s">
        <v>18010</v>
      </c>
      <c r="I226" s="2" t="s">
        <v>18011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18012</v>
      </c>
      <c r="O226" s="2" t="s">
        <v>29</v>
      </c>
      <c r="P226" s="2" t="s">
        <v>18013</v>
      </c>
      <c r="Q226" s="2" t="s">
        <v>18014</v>
      </c>
      <c r="R226" s="2" t="s">
        <v>355</v>
      </c>
      <c r="S226" s="2" t="s">
        <v>3869</v>
      </c>
      <c r="T226" s="2" t="s">
        <v>18015</v>
      </c>
      <c r="U226" s="2" t="s">
        <v>29</v>
      </c>
      <c r="V226" s="2" t="n">
        <v>1</v>
      </c>
    </row>
    <row r="227">
      <c r="A227" s="2" t="n">
        <v>226</v>
      </c>
      <c r="B227" s="2" t="s">
        <v>18016</v>
      </c>
      <c r="C227" s="2" t="n">
        <v>488.1266858</v>
      </c>
      <c r="D227" s="2" t="n">
        <v>1.73820377669898</v>
      </c>
      <c r="E227" s="2" t="s">
        <v>18017</v>
      </c>
      <c r="F227" s="2" t="s">
        <v>15858</v>
      </c>
      <c r="G227" s="2" t="s">
        <v>18018</v>
      </c>
      <c r="H227" s="2" t="s">
        <v>18019</v>
      </c>
      <c r="I227" s="2" t="s">
        <v>18020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18021</v>
      </c>
      <c r="Q227" s="2" t="s">
        <v>18022</v>
      </c>
      <c r="R227" s="2" t="s">
        <v>502</v>
      </c>
      <c r="S227" s="2" t="s">
        <v>503</v>
      </c>
      <c r="T227" s="2" t="s">
        <v>3450</v>
      </c>
      <c r="U227" s="2" t="s">
        <v>29</v>
      </c>
      <c r="V227" s="2" t="n">
        <v>1</v>
      </c>
    </row>
    <row r="228">
      <c r="A228" s="2" t="n">
        <v>227</v>
      </c>
      <c r="B228" s="2" t="s">
        <v>18023</v>
      </c>
      <c r="C228" s="2" t="n">
        <v>488.253895933</v>
      </c>
      <c r="D228" s="2" t="n">
        <v>4.40659083904542</v>
      </c>
      <c r="E228" s="2" t="s">
        <v>18024</v>
      </c>
      <c r="F228" s="2" t="s">
        <v>15722</v>
      </c>
      <c r="G228" s="2" t="s">
        <v>18025</v>
      </c>
      <c r="H228" s="2" t="s">
        <v>18026</v>
      </c>
      <c r="I228" s="2" t="s">
        <v>18027</v>
      </c>
      <c r="J228" s="2" t="s">
        <v>72</v>
      </c>
      <c r="K228" s="2" t="s">
        <v>72</v>
      </c>
      <c r="L228" s="2" t="s">
        <v>72</v>
      </c>
      <c r="M228" s="2" t="s">
        <v>72</v>
      </c>
      <c r="N228" s="2" t="s">
        <v>72</v>
      </c>
      <c r="O228" s="2" t="s">
        <v>72</v>
      </c>
      <c r="P228" s="2" t="s">
        <v>18028</v>
      </c>
      <c r="Q228" s="2" t="s">
        <v>18029</v>
      </c>
      <c r="R228" s="2" t="s">
        <v>575</v>
      </c>
      <c r="S228" s="2" t="s">
        <v>576</v>
      </c>
      <c r="T228" s="2" t="s">
        <v>18030</v>
      </c>
      <c r="U228" s="2" t="s">
        <v>29</v>
      </c>
      <c r="V228" s="2" t="n">
        <v>2</v>
      </c>
    </row>
    <row r="229">
      <c r="A229" s="2" t="n">
        <v>228</v>
      </c>
      <c r="B229" s="2" t="s">
        <v>18031</v>
      </c>
      <c r="C229" s="2" t="n">
        <v>490.271802184</v>
      </c>
      <c r="D229" s="2" t="n">
        <v>5.53449422570398</v>
      </c>
      <c r="E229" s="2" t="s">
        <v>18032</v>
      </c>
      <c r="F229" s="2" t="s">
        <v>15919</v>
      </c>
      <c r="G229" s="2" t="s">
        <v>18033</v>
      </c>
      <c r="H229" s="2" t="s">
        <v>18034</v>
      </c>
      <c r="I229" s="2" t="s">
        <v>18035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18036</v>
      </c>
      <c r="Q229" s="2" t="s">
        <v>18037</v>
      </c>
      <c r="R229" s="2" t="s">
        <v>49</v>
      </c>
      <c r="S229" s="2" t="s">
        <v>165</v>
      </c>
      <c r="T229" s="2" t="s">
        <v>166</v>
      </c>
      <c r="U229" s="2" t="s">
        <v>29</v>
      </c>
      <c r="V229" s="2" t="n">
        <v>1</v>
      </c>
    </row>
    <row r="230">
      <c r="A230" s="2" t="n">
        <v>229</v>
      </c>
      <c r="B230" s="2" t="s">
        <v>18038</v>
      </c>
      <c r="C230" s="2" t="n">
        <v>491.263944184</v>
      </c>
      <c r="D230" s="2" t="n">
        <v>4.76209475701375</v>
      </c>
      <c r="E230" s="2" t="s">
        <v>18039</v>
      </c>
      <c r="F230" s="2" t="s">
        <v>15649</v>
      </c>
      <c r="G230" s="2" t="s">
        <v>18040</v>
      </c>
      <c r="H230" s="2" t="s">
        <v>18041</v>
      </c>
      <c r="I230" s="2" t="s">
        <v>18042</v>
      </c>
      <c r="J230" s="2" t="s">
        <v>18043</v>
      </c>
      <c r="K230" s="2" t="s">
        <v>72</v>
      </c>
      <c r="L230" s="2" t="s">
        <v>72</v>
      </c>
      <c r="M230" s="2" t="s">
        <v>72</v>
      </c>
      <c r="N230" s="2" t="s">
        <v>18044</v>
      </c>
      <c r="O230" s="2" t="s">
        <v>72</v>
      </c>
      <c r="P230" s="2" t="s">
        <v>18045</v>
      </c>
      <c r="Q230" s="2" t="s">
        <v>18046</v>
      </c>
      <c r="R230" s="2" t="s">
        <v>575</v>
      </c>
      <c r="S230" s="2" t="s">
        <v>6350</v>
      </c>
      <c r="T230" s="2" t="s">
        <v>18047</v>
      </c>
      <c r="U230" s="2" t="s">
        <v>29</v>
      </c>
      <c r="V230" s="2" t="n">
        <v>2</v>
      </c>
    </row>
    <row r="231">
      <c r="A231" s="2" t="n">
        <v>230</v>
      </c>
      <c r="B231" s="2" t="s">
        <v>18048</v>
      </c>
      <c r="C231" s="2" t="n">
        <v>492.251066741</v>
      </c>
      <c r="D231" s="2" t="n">
        <v>3.89095476937765</v>
      </c>
      <c r="E231" s="2" t="s">
        <v>18049</v>
      </c>
      <c r="F231" s="2" t="s">
        <v>15919</v>
      </c>
      <c r="G231" s="2" t="s">
        <v>18050</v>
      </c>
      <c r="H231" s="2" t="s">
        <v>18051</v>
      </c>
      <c r="I231" s="2" t="s">
        <v>18052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18053</v>
      </c>
      <c r="O231" s="2" t="s">
        <v>18054</v>
      </c>
      <c r="P231" s="2" t="s">
        <v>18055</v>
      </c>
      <c r="Q231" s="2" t="s">
        <v>18056</v>
      </c>
      <c r="R231" s="2" t="s">
        <v>1490</v>
      </c>
      <c r="S231" s="2" t="s">
        <v>4971</v>
      </c>
      <c r="T231" s="2" t="s">
        <v>5010</v>
      </c>
      <c r="U231" s="2" t="s">
        <v>29</v>
      </c>
      <c r="V231" s="2" t="n">
        <v>1</v>
      </c>
    </row>
    <row r="232">
      <c r="A232" s="2" t="n">
        <v>231</v>
      </c>
      <c r="B232" s="2" t="s">
        <v>18057</v>
      </c>
      <c r="C232" s="2" t="n">
        <v>493.008639855</v>
      </c>
      <c r="D232" s="2" t="n">
        <v>0.580616922110091</v>
      </c>
      <c r="E232" s="2" t="s">
        <v>18058</v>
      </c>
      <c r="F232" s="2" t="s">
        <v>15722</v>
      </c>
      <c r="G232" s="2" t="s">
        <v>18059</v>
      </c>
      <c r="H232" s="2" t="s">
        <v>18060</v>
      </c>
      <c r="I232" s="2" t="s">
        <v>18061</v>
      </c>
      <c r="J232" s="2" t="s">
        <v>18062</v>
      </c>
      <c r="K232" s="2" t="s">
        <v>29</v>
      </c>
      <c r="L232" s="2" t="s">
        <v>29</v>
      </c>
      <c r="M232" s="2" t="s">
        <v>29</v>
      </c>
      <c r="N232" s="2" t="s">
        <v>18063</v>
      </c>
      <c r="O232" s="2" t="s">
        <v>29</v>
      </c>
      <c r="P232" s="2" t="s">
        <v>18064</v>
      </c>
      <c r="Q232" s="2" t="s">
        <v>18065</v>
      </c>
      <c r="R232" s="2" t="s">
        <v>355</v>
      </c>
      <c r="S232" s="2" t="s">
        <v>5537</v>
      </c>
      <c r="T232" s="2" t="s">
        <v>5538</v>
      </c>
      <c r="U232" s="2" t="s">
        <v>29</v>
      </c>
      <c r="V232" s="2" t="n">
        <v>1</v>
      </c>
    </row>
    <row r="233">
      <c r="A233" s="2" t="n">
        <v>232</v>
      </c>
      <c r="B233" s="2" t="s">
        <v>18066</v>
      </c>
      <c r="C233" s="2" t="n">
        <v>495.274703634</v>
      </c>
      <c r="D233" s="2" t="n">
        <v>4.20666020697069</v>
      </c>
      <c r="E233" s="2" t="s">
        <v>18067</v>
      </c>
      <c r="F233" s="2" t="s">
        <v>15611</v>
      </c>
      <c r="G233" s="2" t="s">
        <v>18068</v>
      </c>
      <c r="H233" s="2" t="s">
        <v>18069</v>
      </c>
      <c r="I233" s="2" t="s">
        <v>18070</v>
      </c>
      <c r="J233" s="2" t="s">
        <v>18071</v>
      </c>
      <c r="K233" s="2" t="s">
        <v>226</v>
      </c>
      <c r="L233" s="2" t="s">
        <v>226</v>
      </c>
      <c r="M233" s="2" t="s">
        <v>226</v>
      </c>
      <c r="N233" s="2" t="s">
        <v>18072</v>
      </c>
      <c r="O233" s="2" t="s">
        <v>18073</v>
      </c>
      <c r="P233" s="2" t="s">
        <v>18074</v>
      </c>
      <c r="Q233" s="2" t="s">
        <v>18075</v>
      </c>
      <c r="R233" s="2" t="s">
        <v>105</v>
      </c>
      <c r="S233" s="2" t="s">
        <v>8514</v>
      </c>
      <c r="T233" s="2" t="s">
        <v>18076</v>
      </c>
      <c r="U233" s="2" t="s">
        <v>29</v>
      </c>
      <c r="V233" s="2" t="n">
        <v>3</v>
      </c>
    </row>
    <row r="234">
      <c r="A234" s="2" t="n">
        <v>233</v>
      </c>
      <c r="B234" s="2" t="s">
        <v>18077</v>
      </c>
      <c r="C234" s="2" t="n">
        <v>496.063899067</v>
      </c>
      <c r="D234" s="2" t="n">
        <v>4.99584183695505</v>
      </c>
      <c r="E234" s="2" t="s">
        <v>18078</v>
      </c>
      <c r="F234" s="2" t="s">
        <v>15858</v>
      </c>
      <c r="G234" s="2" t="s">
        <v>18079</v>
      </c>
      <c r="H234" s="2" t="s">
        <v>18080</v>
      </c>
      <c r="I234" s="2" t="s">
        <v>18081</v>
      </c>
      <c r="J234" s="2" t="s">
        <v>18082</v>
      </c>
      <c r="K234" s="2" t="s">
        <v>226</v>
      </c>
      <c r="L234" s="2" t="s">
        <v>226</v>
      </c>
      <c r="M234" s="2" t="s">
        <v>18083</v>
      </c>
      <c r="N234" s="2" t="s">
        <v>18084</v>
      </c>
      <c r="O234" s="2" t="s">
        <v>226</v>
      </c>
      <c r="P234" s="2" t="s">
        <v>18085</v>
      </c>
      <c r="Q234" s="2" t="s">
        <v>18086</v>
      </c>
      <c r="R234" s="2" t="s">
        <v>230</v>
      </c>
      <c r="S234" s="2" t="s">
        <v>18087</v>
      </c>
      <c r="T234" s="2" t="s">
        <v>18088</v>
      </c>
      <c r="U234" s="2" t="s">
        <v>29</v>
      </c>
      <c r="V234" s="2" t="n">
        <v>3</v>
      </c>
    </row>
    <row r="235">
      <c r="A235" s="2" t="n">
        <v>234</v>
      </c>
      <c r="B235" s="2" t="s">
        <v>18089</v>
      </c>
      <c r="C235" s="2" t="n">
        <v>496.256033867</v>
      </c>
      <c r="D235" s="2" t="n">
        <v>0.250788854685519</v>
      </c>
      <c r="E235" s="2" t="s">
        <v>18090</v>
      </c>
      <c r="F235" s="2" t="s">
        <v>15611</v>
      </c>
      <c r="G235" s="2" t="s">
        <v>18091</v>
      </c>
      <c r="H235" s="2" t="s">
        <v>18092</v>
      </c>
      <c r="I235" s="2" t="s">
        <v>18093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18094</v>
      </c>
      <c r="O235" s="2" t="s">
        <v>29</v>
      </c>
      <c r="P235" s="2" t="s">
        <v>18095</v>
      </c>
      <c r="Q235" s="2" t="s">
        <v>18096</v>
      </c>
      <c r="R235" s="2" t="s">
        <v>49</v>
      </c>
      <c r="S235" s="2" t="s">
        <v>165</v>
      </c>
      <c r="T235" s="2" t="s">
        <v>166</v>
      </c>
      <c r="U235" s="2" t="s">
        <v>29</v>
      </c>
      <c r="V235" s="2" t="n">
        <v>1</v>
      </c>
    </row>
    <row r="236">
      <c r="A236" s="2" t="n">
        <v>235</v>
      </c>
      <c r="B236" s="2" t="s">
        <v>18097</v>
      </c>
      <c r="C236" s="2" t="n">
        <v>496.339726997</v>
      </c>
      <c r="D236" s="2" t="n">
        <v>2.72533289212129</v>
      </c>
      <c r="E236" s="2" t="s">
        <v>18098</v>
      </c>
      <c r="F236" s="2" t="s">
        <v>15858</v>
      </c>
      <c r="G236" s="2" t="s">
        <v>18099</v>
      </c>
      <c r="H236" s="2" t="s">
        <v>18100</v>
      </c>
      <c r="I236" s="2" t="s">
        <v>18101</v>
      </c>
      <c r="J236" s="2" t="s">
        <v>18102</v>
      </c>
      <c r="K236" s="2" t="s">
        <v>18103</v>
      </c>
      <c r="L236" s="2" t="s">
        <v>226</v>
      </c>
      <c r="M236" s="2" t="s">
        <v>18104</v>
      </c>
      <c r="N236" s="2" t="s">
        <v>18105</v>
      </c>
      <c r="O236" s="2" t="s">
        <v>18106</v>
      </c>
      <c r="P236" s="2" t="s">
        <v>18107</v>
      </c>
      <c r="Q236" s="2" t="s">
        <v>18108</v>
      </c>
      <c r="R236" s="2" t="s">
        <v>105</v>
      </c>
      <c r="S236" s="2" t="s">
        <v>18109</v>
      </c>
      <c r="T236" s="2" t="s">
        <v>18110</v>
      </c>
      <c r="U236" s="2" t="s">
        <v>29</v>
      </c>
      <c r="V236" s="2" t="n">
        <v>3</v>
      </c>
    </row>
    <row r="237">
      <c r="A237" s="2" t="n">
        <v>236</v>
      </c>
      <c r="B237" s="2" t="s">
        <v>18111</v>
      </c>
      <c r="C237" s="2" t="n">
        <v>496.797324792</v>
      </c>
      <c r="D237" s="2" t="n">
        <v>1.06687401108923</v>
      </c>
      <c r="E237" s="2" t="s">
        <v>18112</v>
      </c>
      <c r="F237" s="2" t="s">
        <v>15778</v>
      </c>
      <c r="G237" s="2" t="s">
        <v>18113</v>
      </c>
      <c r="H237" s="2" t="s">
        <v>18114</v>
      </c>
      <c r="I237" s="2" t="s">
        <v>18115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18116</v>
      </c>
      <c r="O237" s="2" t="s">
        <v>29</v>
      </c>
      <c r="P237" s="2" t="s">
        <v>18117</v>
      </c>
      <c r="Q237" s="2" t="s">
        <v>18118</v>
      </c>
      <c r="R237" s="2" t="s">
        <v>638</v>
      </c>
      <c r="S237" s="2" t="s">
        <v>18119</v>
      </c>
      <c r="T237" s="2" t="s">
        <v>205</v>
      </c>
      <c r="U237" s="2" t="s">
        <v>29</v>
      </c>
      <c r="V237" s="2" t="n">
        <v>1</v>
      </c>
    </row>
    <row r="238">
      <c r="A238" s="2" t="n">
        <v>237</v>
      </c>
      <c r="B238" s="2" t="s">
        <v>18120</v>
      </c>
      <c r="C238" s="2" t="n">
        <v>497.048069418</v>
      </c>
      <c r="D238" s="2" t="n">
        <v>1.16767985763521</v>
      </c>
      <c r="E238" s="2" t="s">
        <v>18121</v>
      </c>
      <c r="F238" s="2" t="s">
        <v>15919</v>
      </c>
      <c r="G238" s="2" t="s">
        <v>18122</v>
      </c>
      <c r="H238" s="2" t="s">
        <v>18123</v>
      </c>
      <c r="I238" s="2" t="s">
        <v>18124</v>
      </c>
      <c r="J238" s="2" t="s">
        <v>18125</v>
      </c>
      <c r="K238" s="2" t="s">
        <v>18126</v>
      </c>
      <c r="L238" s="2" t="s">
        <v>18127</v>
      </c>
      <c r="M238" s="2" t="s">
        <v>18128</v>
      </c>
      <c r="N238" s="2" t="s">
        <v>18129</v>
      </c>
      <c r="O238" s="2" t="s">
        <v>18130</v>
      </c>
      <c r="P238" s="2" t="s">
        <v>18131</v>
      </c>
      <c r="Q238" s="2" t="s">
        <v>18132</v>
      </c>
      <c r="R238" s="2" t="s">
        <v>2509</v>
      </c>
      <c r="S238" s="2" t="s">
        <v>5520</v>
      </c>
      <c r="T238" s="2" t="s">
        <v>13396</v>
      </c>
      <c r="U238" s="2" t="s">
        <v>39</v>
      </c>
      <c r="V238" s="2" t="n">
        <v>1</v>
      </c>
    </row>
    <row r="239">
      <c r="A239" s="2" t="n">
        <v>238</v>
      </c>
      <c r="B239" s="2" t="s">
        <v>18133</v>
      </c>
      <c r="C239" s="2" t="n">
        <v>497.14768829</v>
      </c>
      <c r="D239" s="2" t="n">
        <v>6.18285909022329</v>
      </c>
      <c r="E239" s="2" t="s">
        <v>18134</v>
      </c>
      <c r="F239" s="2" t="s">
        <v>15858</v>
      </c>
      <c r="G239" s="2" t="s">
        <v>18135</v>
      </c>
      <c r="H239" s="2" t="s">
        <v>18136</v>
      </c>
      <c r="I239" s="2" t="s">
        <v>18137</v>
      </c>
      <c r="J239" s="2" t="s">
        <v>18138</v>
      </c>
      <c r="K239" s="2" t="s">
        <v>226</v>
      </c>
      <c r="L239" s="2" t="s">
        <v>226</v>
      </c>
      <c r="M239" s="2" t="s">
        <v>226</v>
      </c>
      <c r="N239" s="2" t="s">
        <v>18139</v>
      </c>
      <c r="O239" s="2" t="s">
        <v>18140</v>
      </c>
      <c r="P239" s="2" t="s">
        <v>18141</v>
      </c>
      <c r="Q239" s="2" t="s">
        <v>18142</v>
      </c>
      <c r="R239" s="2" t="s">
        <v>967</v>
      </c>
      <c r="S239" s="2" t="s">
        <v>968</v>
      </c>
      <c r="T239" s="2" t="s">
        <v>1004</v>
      </c>
      <c r="U239" s="2" t="s">
        <v>29</v>
      </c>
      <c r="V239" s="2" t="n">
        <v>3</v>
      </c>
    </row>
    <row r="240">
      <c r="A240" s="2" t="n">
        <v>239</v>
      </c>
      <c r="B240" s="2" t="s">
        <v>18143</v>
      </c>
      <c r="C240" s="2" t="n">
        <v>497.253924787</v>
      </c>
      <c r="D240" s="2" t="n">
        <v>0.436148406450846</v>
      </c>
      <c r="E240" s="2" t="s">
        <v>18144</v>
      </c>
      <c r="F240" s="2" t="s">
        <v>15691</v>
      </c>
      <c r="G240" s="2" t="s">
        <v>18145</v>
      </c>
      <c r="H240" s="2" t="s">
        <v>18146</v>
      </c>
      <c r="I240" s="2" t="s">
        <v>18147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18148</v>
      </c>
      <c r="Q240" s="2" t="s">
        <v>18149</v>
      </c>
      <c r="R240" s="2" t="s">
        <v>502</v>
      </c>
      <c r="S240" s="2" t="s">
        <v>13862</v>
      </c>
      <c r="T240" s="2" t="s">
        <v>205</v>
      </c>
      <c r="U240" s="2" t="s">
        <v>29</v>
      </c>
      <c r="V240" s="2" t="n">
        <v>1</v>
      </c>
    </row>
    <row r="241">
      <c r="A241" s="2" t="n">
        <v>240</v>
      </c>
      <c r="B241" s="2" t="s">
        <v>18150</v>
      </c>
      <c r="C241" s="2" t="n">
        <v>498.141219806</v>
      </c>
      <c r="D241" s="2" t="n">
        <v>0.0940896204892335</v>
      </c>
      <c r="E241" s="2" t="s">
        <v>18151</v>
      </c>
      <c r="F241" s="2" t="s">
        <v>15919</v>
      </c>
      <c r="G241" s="2" t="s">
        <v>18152</v>
      </c>
      <c r="H241" s="2" t="s">
        <v>18153</v>
      </c>
      <c r="I241" s="2" t="s">
        <v>18154</v>
      </c>
      <c r="J241" s="2" t="s">
        <v>18155</v>
      </c>
      <c r="K241" s="2" t="s">
        <v>29</v>
      </c>
      <c r="L241" s="2" t="s">
        <v>29</v>
      </c>
      <c r="M241" s="2" t="s">
        <v>29</v>
      </c>
      <c r="N241" s="2" t="s">
        <v>18156</v>
      </c>
      <c r="O241" s="2" t="s">
        <v>18157</v>
      </c>
      <c r="P241" s="2" t="s">
        <v>18158</v>
      </c>
      <c r="Q241" s="2" t="s">
        <v>18159</v>
      </c>
      <c r="R241" s="2" t="s">
        <v>502</v>
      </c>
      <c r="S241" s="2" t="s">
        <v>503</v>
      </c>
      <c r="T241" s="2" t="s">
        <v>5166</v>
      </c>
      <c r="U241" s="2" t="s">
        <v>29</v>
      </c>
      <c r="V241" s="2" t="n">
        <v>1</v>
      </c>
    </row>
    <row r="242">
      <c r="A242" s="2" t="n">
        <v>241</v>
      </c>
      <c r="B242" s="2" t="s">
        <v>18160</v>
      </c>
      <c r="C242" s="2" t="n">
        <v>498.285602671</v>
      </c>
      <c r="D242" s="2" t="n">
        <v>1.80020753446311</v>
      </c>
      <c r="E242" s="2" t="s">
        <v>18161</v>
      </c>
      <c r="F242" s="2" t="s">
        <v>15611</v>
      </c>
      <c r="G242" s="2" t="s">
        <v>18162</v>
      </c>
      <c r="H242" s="2" t="s">
        <v>18163</v>
      </c>
      <c r="I242" s="2" t="s">
        <v>18164</v>
      </c>
      <c r="J242" s="2" t="s">
        <v>29</v>
      </c>
      <c r="K242" s="2" t="s">
        <v>29</v>
      </c>
      <c r="L242" s="2" t="s">
        <v>29</v>
      </c>
      <c r="M242" s="2" t="s">
        <v>18165</v>
      </c>
      <c r="N242" s="2" t="s">
        <v>29</v>
      </c>
      <c r="O242" s="2" t="s">
        <v>18166</v>
      </c>
      <c r="P242" s="2" t="s">
        <v>18167</v>
      </c>
      <c r="Q242" s="2" t="s">
        <v>18168</v>
      </c>
      <c r="R242" s="2" t="s">
        <v>502</v>
      </c>
      <c r="S242" s="2" t="s">
        <v>18169</v>
      </c>
      <c r="T242" s="2" t="s">
        <v>205</v>
      </c>
      <c r="U242" s="2" t="s">
        <v>29</v>
      </c>
      <c r="V242" s="2" t="n">
        <v>1</v>
      </c>
    </row>
    <row r="243">
      <c r="A243" s="2" t="n">
        <v>242</v>
      </c>
      <c r="B243" s="2" t="s">
        <v>18170</v>
      </c>
      <c r="C243" s="2" t="n">
        <v>498.451685384</v>
      </c>
      <c r="D243" s="2" t="n">
        <v>3.69877522356693</v>
      </c>
      <c r="E243" s="2" t="s">
        <v>18171</v>
      </c>
      <c r="F243" s="2" t="s">
        <v>15649</v>
      </c>
      <c r="G243" s="2" t="s">
        <v>18172</v>
      </c>
      <c r="H243" s="2" t="s">
        <v>18173</v>
      </c>
      <c r="I243" s="2" t="s">
        <v>18174</v>
      </c>
      <c r="J243" s="2" t="s">
        <v>226</v>
      </c>
      <c r="K243" s="2" t="s">
        <v>226</v>
      </c>
      <c r="L243" s="2" t="s">
        <v>226</v>
      </c>
      <c r="M243" s="2" t="s">
        <v>226</v>
      </c>
      <c r="N243" s="2" t="s">
        <v>226</v>
      </c>
      <c r="O243" s="2" t="s">
        <v>226</v>
      </c>
      <c r="P243" s="2" t="s">
        <v>18175</v>
      </c>
      <c r="Q243" s="2" t="s">
        <v>18176</v>
      </c>
      <c r="R243" s="2" t="s">
        <v>105</v>
      </c>
      <c r="S243" s="2" t="s">
        <v>106</v>
      </c>
      <c r="T243" s="2" t="s">
        <v>5339</v>
      </c>
      <c r="U243" s="2" t="s">
        <v>29</v>
      </c>
      <c r="V243" s="2" t="n">
        <v>3</v>
      </c>
    </row>
    <row r="244">
      <c r="A244" s="2" t="n">
        <v>243</v>
      </c>
      <c r="B244" s="2" t="s">
        <v>18177</v>
      </c>
      <c r="C244" s="2" t="n">
        <v>498.860243</v>
      </c>
      <c r="D244" s="2" t="n">
        <v>0.806502894089605</v>
      </c>
      <c r="E244" s="2" t="s">
        <v>18178</v>
      </c>
      <c r="F244" s="2" t="s">
        <v>17922</v>
      </c>
      <c r="G244" s="2" t="s">
        <v>18179</v>
      </c>
      <c r="H244" s="2" t="s">
        <v>18180</v>
      </c>
      <c r="I244" s="2" t="s">
        <v>18181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18182</v>
      </c>
      <c r="O244" s="2" t="s">
        <v>29</v>
      </c>
      <c r="P244" s="2" t="s">
        <v>18183</v>
      </c>
      <c r="Q244" s="2" t="s">
        <v>18184</v>
      </c>
      <c r="R244" s="2" t="s">
        <v>502</v>
      </c>
      <c r="S244" s="2" t="s">
        <v>11956</v>
      </c>
      <c r="T244" s="2" t="s">
        <v>205</v>
      </c>
      <c r="U244" s="2" t="s">
        <v>29</v>
      </c>
      <c r="V244" s="2" t="n">
        <v>1</v>
      </c>
    </row>
    <row r="245">
      <c r="A245" s="2" t="n">
        <v>244</v>
      </c>
      <c r="B245" s="2" t="s">
        <v>18185</v>
      </c>
      <c r="C245" s="2" t="n">
        <v>499.0516909</v>
      </c>
      <c r="D245" s="2" t="n">
        <v>3.16469174455735</v>
      </c>
      <c r="E245" s="2" t="s">
        <v>18186</v>
      </c>
      <c r="F245" s="2" t="s">
        <v>15649</v>
      </c>
      <c r="G245" s="2" t="s">
        <v>18187</v>
      </c>
      <c r="H245" s="2" t="s">
        <v>18188</v>
      </c>
      <c r="I245" s="2" t="s">
        <v>18189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18190</v>
      </c>
      <c r="O245" s="2" t="s">
        <v>29</v>
      </c>
      <c r="P245" s="2" t="s">
        <v>18191</v>
      </c>
      <c r="Q245" s="2" t="s">
        <v>18192</v>
      </c>
      <c r="R245" s="2" t="s">
        <v>1490</v>
      </c>
      <c r="S245" s="2" t="s">
        <v>1491</v>
      </c>
      <c r="T245" s="2" t="s">
        <v>6523</v>
      </c>
      <c r="U245" s="2" t="s">
        <v>29</v>
      </c>
      <c r="V245" s="2" t="n">
        <v>1</v>
      </c>
    </row>
    <row r="246">
      <c r="A246" s="2" t="n">
        <v>245</v>
      </c>
      <c r="B246" s="2" t="s">
        <v>18193</v>
      </c>
      <c r="C246" s="2" t="n">
        <v>499.35480353</v>
      </c>
      <c r="D246" s="2" t="n">
        <v>9.7723495479095</v>
      </c>
      <c r="E246" s="2" t="s">
        <v>18194</v>
      </c>
      <c r="F246" s="2" t="s">
        <v>15919</v>
      </c>
      <c r="G246" s="2" t="s">
        <v>18195</v>
      </c>
      <c r="H246" s="2" t="s">
        <v>18196</v>
      </c>
      <c r="I246" s="2" t="s">
        <v>18197</v>
      </c>
      <c r="J246" s="2" t="s">
        <v>18198</v>
      </c>
      <c r="K246" s="2" t="s">
        <v>226</v>
      </c>
      <c r="L246" s="2" t="s">
        <v>226</v>
      </c>
      <c r="M246" s="2" t="s">
        <v>18199</v>
      </c>
      <c r="N246" s="2" t="s">
        <v>18200</v>
      </c>
      <c r="O246" s="2" t="s">
        <v>18201</v>
      </c>
      <c r="P246" s="2" t="s">
        <v>18202</v>
      </c>
      <c r="Q246" s="2" t="s">
        <v>18203</v>
      </c>
      <c r="R246" s="2" t="s">
        <v>105</v>
      </c>
      <c r="S246" s="2" t="s">
        <v>8514</v>
      </c>
      <c r="T246" s="2" t="s">
        <v>18204</v>
      </c>
      <c r="U246" s="2" t="s">
        <v>29</v>
      </c>
      <c r="V246" s="2" t="n">
        <v>3</v>
      </c>
    </row>
    <row r="247">
      <c r="A247" s="2" t="n">
        <v>246</v>
      </c>
      <c r="B247" s="2" t="s">
        <v>18205</v>
      </c>
      <c r="C247" s="2" t="n">
        <v>500.248106616</v>
      </c>
      <c r="D247" s="2" t="n">
        <v>2.58479240835706</v>
      </c>
      <c r="E247" s="2" t="s">
        <v>18206</v>
      </c>
      <c r="F247" s="2" t="s">
        <v>15919</v>
      </c>
      <c r="G247" s="2" t="s">
        <v>18207</v>
      </c>
      <c r="H247" s="2" t="s">
        <v>18208</v>
      </c>
      <c r="I247" s="2" t="s">
        <v>18209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18210</v>
      </c>
      <c r="O247" s="2" t="s">
        <v>29</v>
      </c>
      <c r="P247" s="2" t="s">
        <v>18211</v>
      </c>
      <c r="Q247" s="2" t="s">
        <v>18212</v>
      </c>
      <c r="R247" s="2" t="s">
        <v>64</v>
      </c>
      <c r="S247" s="2" t="s">
        <v>65</v>
      </c>
      <c r="T247" s="2" t="s">
        <v>66</v>
      </c>
      <c r="U247" s="2" t="s">
        <v>29</v>
      </c>
      <c r="V247" s="2" t="n">
        <v>1</v>
      </c>
    </row>
    <row r="248">
      <c r="A248" s="2" t="n">
        <v>247</v>
      </c>
      <c r="B248" s="2" t="s">
        <v>18213</v>
      </c>
      <c r="C248" s="2" t="n">
        <v>500.899659136</v>
      </c>
      <c r="D248" s="2" t="n">
        <v>9.48101883725351</v>
      </c>
      <c r="E248" s="2" t="s">
        <v>18214</v>
      </c>
      <c r="F248" s="2" t="s">
        <v>15778</v>
      </c>
      <c r="G248" s="2" t="s">
        <v>18215</v>
      </c>
      <c r="H248" s="2" t="s">
        <v>18216</v>
      </c>
      <c r="I248" s="2" t="s">
        <v>18217</v>
      </c>
      <c r="J248" s="2" t="s">
        <v>18218</v>
      </c>
      <c r="K248" s="2" t="s">
        <v>29</v>
      </c>
      <c r="L248" s="2" t="s">
        <v>29</v>
      </c>
      <c r="M248" s="2" t="s">
        <v>29</v>
      </c>
      <c r="N248" s="2" t="s">
        <v>18219</v>
      </c>
      <c r="O248" s="2" t="s">
        <v>18220</v>
      </c>
      <c r="P248" s="2" t="s">
        <v>18221</v>
      </c>
      <c r="Q248" s="2" t="s">
        <v>18222</v>
      </c>
      <c r="R248" s="2" t="s">
        <v>638</v>
      </c>
      <c r="S248" s="2" t="s">
        <v>10772</v>
      </c>
      <c r="T248" s="2" t="s">
        <v>10773</v>
      </c>
      <c r="U248" s="2" t="s">
        <v>29</v>
      </c>
      <c r="V248" s="2" t="n">
        <v>1</v>
      </c>
    </row>
    <row r="249">
      <c r="A249" s="2" t="n">
        <v>248</v>
      </c>
      <c r="B249" s="2" t="s">
        <v>18223</v>
      </c>
      <c r="C249" s="2" t="n">
        <v>501.0080835</v>
      </c>
      <c r="D249" s="2" t="n">
        <v>8.52726924783538</v>
      </c>
      <c r="E249" s="2" t="s">
        <v>18224</v>
      </c>
      <c r="F249" s="2" t="s">
        <v>15858</v>
      </c>
      <c r="G249" s="2" t="s">
        <v>18225</v>
      </c>
      <c r="H249" s="2" t="s">
        <v>18226</v>
      </c>
      <c r="I249" s="2" t="s">
        <v>18227</v>
      </c>
      <c r="J249" s="2" t="s">
        <v>29</v>
      </c>
      <c r="K249" s="2" t="s">
        <v>29</v>
      </c>
      <c r="L249" s="2" t="s">
        <v>29</v>
      </c>
      <c r="M249" s="2" t="s">
        <v>18228</v>
      </c>
      <c r="N249" s="2" t="s">
        <v>18229</v>
      </c>
      <c r="O249" s="2" t="s">
        <v>29</v>
      </c>
      <c r="P249" s="2" t="s">
        <v>18230</v>
      </c>
      <c r="Q249" s="2" t="s">
        <v>18231</v>
      </c>
      <c r="R249" s="2" t="s">
        <v>2509</v>
      </c>
      <c r="S249" s="2" t="s">
        <v>4528</v>
      </c>
      <c r="T249" s="2" t="s">
        <v>10024</v>
      </c>
      <c r="U249" s="2" t="s">
        <v>29</v>
      </c>
      <c r="V249" s="2" t="n">
        <v>1</v>
      </c>
    </row>
    <row r="250">
      <c r="A250" s="2" t="n">
        <v>249</v>
      </c>
      <c r="B250" s="2" t="s">
        <v>18232</v>
      </c>
      <c r="C250" s="2" t="n">
        <v>502.329317062</v>
      </c>
      <c r="D250" s="2" t="n">
        <v>0.202971862546609</v>
      </c>
      <c r="E250" s="2" t="s">
        <v>18233</v>
      </c>
      <c r="F250" s="2" t="s">
        <v>15919</v>
      </c>
      <c r="G250" s="2" t="s">
        <v>18234</v>
      </c>
      <c r="H250" s="2" t="s">
        <v>18235</v>
      </c>
      <c r="I250" s="2" t="s">
        <v>18236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18237</v>
      </c>
      <c r="Q250" s="2" t="s">
        <v>18238</v>
      </c>
      <c r="R250" s="2" t="s">
        <v>1490</v>
      </c>
      <c r="S250" s="2" t="s">
        <v>1491</v>
      </c>
      <c r="T250" s="2" t="s">
        <v>3884</v>
      </c>
      <c r="U250" s="2" t="s">
        <v>29</v>
      </c>
      <c r="V250" s="2" t="n">
        <v>1</v>
      </c>
    </row>
    <row r="251">
      <c r="A251" s="2" t="n">
        <v>250</v>
      </c>
      <c r="B251" s="2" t="s">
        <v>18239</v>
      </c>
      <c r="C251" s="2" t="n">
        <v>502.995275421</v>
      </c>
      <c r="D251" s="2" t="n">
        <v>3.86916015407347</v>
      </c>
      <c r="E251" s="2" t="s">
        <v>18240</v>
      </c>
      <c r="F251" s="2" t="s">
        <v>15722</v>
      </c>
      <c r="G251" s="2" t="s">
        <v>18241</v>
      </c>
      <c r="H251" s="2" t="s">
        <v>18242</v>
      </c>
      <c r="I251" s="2" t="s">
        <v>18243</v>
      </c>
      <c r="J251" s="2" t="s">
        <v>72</v>
      </c>
      <c r="K251" s="2" t="s">
        <v>72</v>
      </c>
      <c r="L251" s="2" t="s">
        <v>72</v>
      </c>
      <c r="M251" s="2" t="s">
        <v>72</v>
      </c>
      <c r="N251" s="2" t="s">
        <v>18244</v>
      </c>
      <c r="O251" s="2" t="s">
        <v>72</v>
      </c>
      <c r="P251" s="2" t="s">
        <v>18245</v>
      </c>
      <c r="Q251" s="2" t="s">
        <v>18246</v>
      </c>
      <c r="R251" s="2" t="s">
        <v>150</v>
      </c>
      <c r="S251" s="2" t="s">
        <v>151</v>
      </c>
      <c r="T251" s="2" t="s">
        <v>288</v>
      </c>
      <c r="U251" s="2" t="s">
        <v>29</v>
      </c>
      <c r="V251" s="2" t="n">
        <v>2</v>
      </c>
    </row>
    <row r="252">
      <c r="A252" s="2" t="n">
        <v>251</v>
      </c>
      <c r="B252" s="2" t="s">
        <v>18247</v>
      </c>
      <c r="C252" s="2" t="n">
        <v>503.264532878</v>
      </c>
      <c r="D252" s="2" t="n">
        <v>1.12747628123154</v>
      </c>
      <c r="E252" s="2" t="s">
        <v>18248</v>
      </c>
      <c r="F252" s="2" t="s">
        <v>15611</v>
      </c>
      <c r="G252" s="2" t="s">
        <v>18249</v>
      </c>
      <c r="H252" s="2" t="s">
        <v>18250</v>
      </c>
      <c r="I252" s="2" t="s">
        <v>18251</v>
      </c>
      <c r="J252" s="2" t="s">
        <v>72</v>
      </c>
      <c r="K252" s="2" t="s">
        <v>72</v>
      </c>
      <c r="L252" s="2" t="s">
        <v>72</v>
      </c>
      <c r="M252" s="2" t="s">
        <v>72</v>
      </c>
      <c r="N252" s="2" t="s">
        <v>18252</v>
      </c>
      <c r="O252" s="2" t="s">
        <v>18253</v>
      </c>
      <c r="P252" s="2" t="s">
        <v>18254</v>
      </c>
      <c r="Q252" s="2" t="s">
        <v>18255</v>
      </c>
      <c r="R252" s="2" t="s">
        <v>575</v>
      </c>
      <c r="S252" s="2" t="s">
        <v>7099</v>
      </c>
      <c r="T252" s="2" t="s">
        <v>18256</v>
      </c>
      <c r="U252" s="2" t="s">
        <v>29</v>
      </c>
      <c r="V252" s="2" t="n">
        <v>2</v>
      </c>
    </row>
    <row r="253">
      <c r="A253" s="2" t="n">
        <v>252</v>
      </c>
      <c r="B253" s="2" t="s">
        <v>18257</v>
      </c>
      <c r="C253" s="2" t="n">
        <v>504.008695223</v>
      </c>
      <c r="D253" s="2" t="n">
        <v>9.59031895695383</v>
      </c>
      <c r="E253" s="2" t="s">
        <v>18258</v>
      </c>
      <c r="F253" s="2" t="s">
        <v>15611</v>
      </c>
      <c r="G253" s="2" t="s">
        <v>18259</v>
      </c>
      <c r="H253" s="2" t="s">
        <v>18260</v>
      </c>
      <c r="I253" s="2" t="s">
        <v>18261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18262</v>
      </c>
      <c r="O253" s="2" t="s">
        <v>29</v>
      </c>
      <c r="P253" s="2" t="s">
        <v>18263</v>
      </c>
      <c r="Q253" s="2" t="s">
        <v>18264</v>
      </c>
      <c r="R253" s="2" t="s">
        <v>2590</v>
      </c>
      <c r="S253" s="2" t="s">
        <v>6120</v>
      </c>
      <c r="T253" s="2" t="s">
        <v>7366</v>
      </c>
      <c r="U253" s="2" t="s">
        <v>29</v>
      </c>
      <c r="V253" s="2" t="n">
        <v>1</v>
      </c>
    </row>
    <row r="254">
      <c r="A254" s="2" t="n">
        <v>253</v>
      </c>
      <c r="B254" s="2" t="s">
        <v>18265</v>
      </c>
      <c r="C254" s="2" t="n">
        <v>504.344967126</v>
      </c>
      <c r="D254" s="2" t="n">
        <v>1.12324940147687</v>
      </c>
      <c r="E254" s="2" t="s">
        <v>18266</v>
      </c>
      <c r="F254" s="2" t="s">
        <v>15919</v>
      </c>
      <c r="G254" s="2" t="s">
        <v>18267</v>
      </c>
      <c r="H254" s="2" t="s">
        <v>18268</v>
      </c>
      <c r="I254" s="2" t="s">
        <v>18269</v>
      </c>
      <c r="J254" s="2" t="s">
        <v>72</v>
      </c>
      <c r="K254" s="2" t="s">
        <v>72</v>
      </c>
      <c r="L254" s="2" t="s">
        <v>72</v>
      </c>
      <c r="M254" s="2" t="s">
        <v>72</v>
      </c>
      <c r="N254" s="2" t="s">
        <v>72</v>
      </c>
      <c r="O254" s="2" t="s">
        <v>72</v>
      </c>
      <c r="P254" s="2" t="s">
        <v>18270</v>
      </c>
      <c r="Q254" s="2" t="s">
        <v>18271</v>
      </c>
      <c r="R254" s="2" t="s">
        <v>575</v>
      </c>
      <c r="S254" s="2" t="s">
        <v>576</v>
      </c>
      <c r="T254" s="2" t="s">
        <v>18030</v>
      </c>
      <c r="U254" s="2" t="s">
        <v>29</v>
      </c>
      <c r="V254" s="2" t="n">
        <v>2</v>
      </c>
    </row>
    <row r="255">
      <c r="A255" s="2" t="n">
        <v>254</v>
      </c>
      <c r="B255" s="2" t="s">
        <v>18272</v>
      </c>
      <c r="C255" s="2" t="n">
        <v>505.28093166</v>
      </c>
      <c r="D255" s="2" t="n">
        <v>4.37040424958608</v>
      </c>
      <c r="E255" s="2" t="s">
        <v>18273</v>
      </c>
      <c r="F255" s="2" t="s">
        <v>15649</v>
      </c>
      <c r="G255" s="2" t="s">
        <v>18274</v>
      </c>
      <c r="H255" s="2" t="s">
        <v>18275</v>
      </c>
      <c r="I255" s="2" t="s">
        <v>18276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18277</v>
      </c>
      <c r="O255" s="2" t="s">
        <v>18278</v>
      </c>
      <c r="P255" s="2" t="s">
        <v>18279</v>
      </c>
      <c r="Q255" s="2" t="s">
        <v>18280</v>
      </c>
      <c r="R255" s="2" t="s">
        <v>49</v>
      </c>
      <c r="S255" s="2" t="s">
        <v>165</v>
      </c>
      <c r="T255" s="2" t="s">
        <v>166</v>
      </c>
      <c r="U255" s="2" t="s">
        <v>29</v>
      </c>
      <c r="V255" s="2" t="n">
        <v>1</v>
      </c>
    </row>
    <row r="256">
      <c r="A256" s="2" t="n">
        <v>255</v>
      </c>
      <c r="B256" s="2" t="s">
        <v>18281</v>
      </c>
      <c r="C256" s="2" t="n">
        <v>506.239795118</v>
      </c>
      <c r="D256" s="2" t="n">
        <v>2.83415311168593</v>
      </c>
      <c r="E256" s="2" t="s">
        <v>18282</v>
      </c>
      <c r="F256" s="2" t="s">
        <v>15649</v>
      </c>
      <c r="G256" s="2" t="s">
        <v>18283</v>
      </c>
      <c r="H256" s="2" t="s">
        <v>18284</v>
      </c>
      <c r="I256" s="2" t="s">
        <v>18285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18286</v>
      </c>
      <c r="O256" s="2" t="s">
        <v>29</v>
      </c>
      <c r="P256" s="2" t="s">
        <v>18287</v>
      </c>
      <c r="Q256" s="2" t="s">
        <v>18288</v>
      </c>
      <c r="R256" s="2" t="s">
        <v>49</v>
      </c>
      <c r="S256" s="2" t="s">
        <v>165</v>
      </c>
      <c r="T256" s="2" t="s">
        <v>166</v>
      </c>
      <c r="U256" s="2" t="s">
        <v>29</v>
      </c>
      <c r="V256" s="2" t="n">
        <v>1</v>
      </c>
    </row>
    <row r="257">
      <c r="A257" s="2" t="n">
        <v>256</v>
      </c>
      <c r="B257" s="2" t="s">
        <v>18289</v>
      </c>
      <c r="C257" s="2" t="n">
        <v>506.283826417</v>
      </c>
      <c r="D257" s="2" t="n">
        <v>1.21665872444671</v>
      </c>
      <c r="E257" s="2" t="s">
        <v>18290</v>
      </c>
      <c r="F257" s="2" t="s">
        <v>15649</v>
      </c>
      <c r="G257" s="2" t="s">
        <v>18291</v>
      </c>
      <c r="H257" s="2" t="s">
        <v>18292</v>
      </c>
      <c r="I257" s="2" t="s">
        <v>18293</v>
      </c>
      <c r="J257" s="2" t="s">
        <v>18294</v>
      </c>
      <c r="K257" s="2" t="s">
        <v>29</v>
      </c>
      <c r="L257" s="2" t="s">
        <v>29</v>
      </c>
      <c r="M257" s="2" t="s">
        <v>29</v>
      </c>
      <c r="N257" s="2" t="s">
        <v>18295</v>
      </c>
      <c r="O257" s="2" t="s">
        <v>29</v>
      </c>
      <c r="P257" s="2" t="s">
        <v>18296</v>
      </c>
      <c r="Q257" s="2" t="s">
        <v>18297</v>
      </c>
      <c r="R257" s="2" t="s">
        <v>502</v>
      </c>
      <c r="S257" s="2" t="s">
        <v>503</v>
      </c>
      <c r="T257" s="2" t="s">
        <v>5166</v>
      </c>
      <c r="U257" s="2" t="s">
        <v>29</v>
      </c>
      <c r="V257" s="2" t="n">
        <v>1</v>
      </c>
    </row>
    <row r="258">
      <c r="A258" s="2" t="n">
        <v>257</v>
      </c>
      <c r="B258" s="2" t="s">
        <v>18298</v>
      </c>
      <c r="C258" s="2" t="n">
        <v>506.777301282</v>
      </c>
      <c r="D258" s="2" t="n">
        <v>8.37326083072189</v>
      </c>
      <c r="E258" s="2" t="s">
        <v>18299</v>
      </c>
      <c r="F258" s="2" t="s">
        <v>17922</v>
      </c>
      <c r="G258" s="2" t="s">
        <v>18300</v>
      </c>
      <c r="H258" s="2" t="s">
        <v>18301</v>
      </c>
      <c r="I258" s="2" t="s">
        <v>18302</v>
      </c>
      <c r="J258" s="2" t="s">
        <v>18303</v>
      </c>
      <c r="K258" s="2" t="s">
        <v>29</v>
      </c>
      <c r="L258" s="2" t="s">
        <v>18304</v>
      </c>
      <c r="M258" s="2" t="s">
        <v>29</v>
      </c>
      <c r="N258" s="2" t="s">
        <v>18305</v>
      </c>
      <c r="O258" s="2" t="s">
        <v>29</v>
      </c>
      <c r="P258" s="2" t="s">
        <v>18306</v>
      </c>
      <c r="Q258" s="2" t="s">
        <v>18307</v>
      </c>
      <c r="R258" s="2" t="s">
        <v>1490</v>
      </c>
      <c r="S258" s="2" t="s">
        <v>1491</v>
      </c>
      <c r="T258" s="2" t="s">
        <v>1492</v>
      </c>
      <c r="U258" s="2" t="s">
        <v>39</v>
      </c>
      <c r="V258" s="2" t="n">
        <v>1</v>
      </c>
    </row>
    <row r="259">
      <c r="A259" s="2" t="n">
        <v>258</v>
      </c>
      <c r="B259" s="2" t="s">
        <v>18308</v>
      </c>
      <c r="C259" s="2" t="n">
        <v>507.032419354</v>
      </c>
      <c r="D259" s="2" t="n">
        <v>1.77789742717785</v>
      </c>
      <c r="E259" s="2" t="s">
        <v>18309</v>
      </c>
      <c r="F259" s="2" t="s">
        <v>15919</v>
      </c>
      <c r="G259" s="2" t="s">
        <v>18310</v>
      </c>
      <c r="H259" s="2" t="s">
        <v>18311</v>
      </c>
      <c r="I259" s="2" t="s">
        <v>18312</v>
      </c>
      <c r="J259" s="2" t="s">
        <v>29</v>
      </c>
      <c r="K259" s="2" t="s">
        <v>29</v>
      </c>
      <c r="L259" s="2" t="s">
        <v>18313</v>
      </c>
      <c r="M259" s="2" t="s">
        <v>18314</v>
      </c>
      <c r="N259" s="2" t="s">
        <v>18315</v>
      </c>
      <c r="O259" s="2" t="s">
        <v>18316</v>
      </c>
      <c r="P259" s="2" t="s">
        <v>18317</v>
      </c>
      <c r="Q259" s="2" t="s">
        <v>18318</v>
      </c>
      <c r="R259" s="2" t="s">
        <v>355</v>
      </c>
      <c r="S259" s="2" t="s">
        <v>5537</v>
      </c>
      <c r="T259" s="2" t="s">
        <v>5538</v>
      </c>
      <c r="U259" s="2" t="s">
        <v>39</v>
      </c>
      <c r="V259" s="2" t="n">
        <v>1</v>
      </c>
    </row>
    <row r="260">
      <c r="A260" s="2" t="n">
        <v>259</v>
      </c>
      <c r="B260" s="2" t="s">
        <v>18319</v>
      </c>
      <c r="C260" s="2" t="n">
        <v>507.07693126</v>
      </c>
      <c r="D260" s="2" t="n">
        <v>2.96654211152621</v>
      </c>
      <c r="E260" s="2" t="s">
        <v>18320</v>
      </c>
      <c r="F260" s="2" t="s">
        <v>15649</v>
      </c>
      <c r="G260" s="2" t="s">
        <v>18321</v>
      </c>
      <c r="H260" s="2" t="s">
        <v>18322</v>
      </c>
      <c r="I260" s="2" t="s">
        <v>18323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18324</v>
      </c>
      <c r="O260" s="2" t="s">
        <v>29</v>
      </c>
      <c r="P260" s="2" t="s">
        <v>18325</v>
      </c>
      <c r="Q260" s="2" t="s">
        <v>18326</v>
      </c>
      <c r="R260" s="2" t="s">
        <v>2509</v>
      </c>
      <c r="S260" s="2" t="s">
        <v>4949</v>
      </c>
      <c r="T260" s="2" t="s">
        <v>4950</v>
      </c>
      <c r="U260" s="2" t="s">
        <v>29</v>
      </c>
      <c r="V260" s="2" t="n">
        <v>1</v>
      </c>
    </row>
    <row r="261">
      <c r="A261" s="2" t="n">
        <v>260</v>
      </c>
      <c r="B261" s="2" t="s">
        <v>18327</v>
      </c>
      <c r="C261" s="2" t="n">
        <v>507.254259738</v>
      </c>
      <c r="D261" s="2" t="n">
        <v>1.73318400631922</v>
      </c>
      <c r="E261" s="2" t="s">
        <v>18328</v>
      </c>
      <c r="F261" s="2" t="s">
        <v>15611</v>
      </c>
      <c r="G261" s="2" t="s">
        <v>18329</v>
      </c>
      <c r="H261" s="2" t="s">
        <v>18330</v>
      </c>
      <c r="I261" s="2" t="s">
        <v>18331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18332</v>
      </c>
      <c r="O261" s="2" t="s">
        <v>29</v>
      </c>
      <c r="P261" s="2" t="s">
        <v>18333</v>
      </c>
      <c r="Q261" s="2" t="s">
        <v>18334</v>
      </c>
      <c r="R261" s="2" t="s">
        <v>502</v>
      </c>
      <c r="S261" s="2" t="s">
        <v>503</v>
      </c>
      <c r="T261" s="2" t="s">
        <v>1964</v>
      </c>
      <c r="U261" s="2" t="s">
        <v>29</v>
      </c>
      <c r="V261" s="2" t="n">
        <v>1</v>
      </c>
    </row>
    <row r="262">
      <c r="A262" s="2" t="n">
        <v>261</v>
      </c>
      <c r="B262" s="2" t="s">
        <v>18335</v>
      </c>
      <c r="C262" s="2" t="n">
        <v>507.456631164</v>
      </c>
      <c r="D262" s="2" t="n">
        <v>3.7666291774785</v>
      </c>
      <c r="E262" s="2" t="s">
        <v>18336</v>
      </c>
      <c r="F262" s="2" t="s">
        <v>15611</v>
      </c>
      <c r="G262" s="2" t="s">
        <v>18337</v>
      </c>
      <c r="H262" s="2" t="s">
        <v>18338</v>
      </c>
      <c r="I262" s="2" t="s">
        <v>18339</v>
      </c>
      <c r="J262" s="2" t="s">
        <v>18340</v>
      </c>
      <c r="K262" s="2" t="s">
        <v>18341</v>
      </c>
      <c r="L262" s="2" t="s">
        <v>18342</v>
      </c>
      <c r="M262" s="2" t="s">
        <v>18343</v>
      </c>
      <c r="N262" s="2" t="s">
        <v>18344</v>
      </c>
      <c r="O262" s="2" t="s">
        <v>18345</v>
      </c>
      <c r="P262" s="2" t="s">
        <v>18346</v>
      </c>
      <c r="Q262" s="2" t="s">
        <v>18347</v>
      </c>
      <c r="R262" s="2" t="s">
        <v>575</v>
      </c>
      <c r="S262" s="2" t="s">
        <v>576</v>
      </c>
      <c r="T262" s="2" t="s">
        <v>18030</v>
      </c>
      <c r="U262" s="2" t="s">
        <v>39</v>
      </c>
      <c r="V262" s="2" t="n">
        <v>2</v>
      </c>
    </row>
    <row r="263">
      <c r="A263" s="2" t="n">
        <v>262</v>
      </c>
      <c r="B263" s="2" t="s">
        <v>18348</v>
      </c>
      <c r="C263" s="2" t="n">
        <v>510.270303128</v>
      </c>
      <c r="D263" s="2" t="n">
        <v>0.121563064795777</v>
      </c>
      <c r="E263" s="2" t="s">
        <v>18349</v>
      </c>
      <c r="F263" s="2" t="s">
        <v>15691</v>
      </c>
      <c r="G263" s="2" t="s">
        <v>18350</v>
      </c>
      <c r="H263" s="2" t="s">
        <v>18351</v>
      </c>
      <c r="I263" s="2" t="s">
        <v>18352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18353</v>
      </c>
      <c r="Q263" s="2" t="s">
        <v>18354</v>
      </c>
      <c r="R263" s="2" t="s">
        <v>49</v>
      </c>
      <c r="S263" s="2" t="s">
        <v>165</v>
      </c>
      <c r="T263" s="2" t="s">
        <v>166</v>
      </c>
      <c r="U263" s="2" t="s">
        <v>29</v>
      </c>
      <c r="V263" s="2" t="n">
        <v>1</v>
      </c>
    </row>
    <row r="264">
      <c r="A264" s="2" t="n">
        <v>263</v>
      </c>
      <c r="B264" s="2" t="s">
        <v>18355</v>
      </c>
      <c r="C264" s="2" t="n">
        <v>510.790379424</v>
      </c>
      <c r="D264" s="2" t="n">
        <v>6.93139817281963</v>
      </c>
      <c r="E264" s="2" t="s">
        <v>18356</v>
      </c>
      <c r="F264" s="2" t="s">
        <v>17922</v>
      </c>
      <c r="G264" s="2" t="s">
        <v>18357</v>
      </c>
      <c r="H264" s="2" t="s">
        <v>18358</v>
      </c>
      <c r="I264" s="2" t="s">
        <v>18359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18360</v>
      </c>
      <c r="O264" s="2" t="s">
        <v>29</v>
      </c>
      <c r="P264" s="2" t="s">
        <v>18361</v>
      </c>
      <c r="Q264" s="2" t="s">
        <v>18362</v>
      </c>
      <c r="R264" s="2" t="s">
        <v>36</v>
      </c>
      <c r="S264" s="2" t="s">
        <v>37</v>
      </c>
      <c r="T264" s="2" t="s">
        <v>18363</v>
      </c>
      <c r="U264" s="2" t="s">
        <v>29</v>
      </c>
      <c r="V264" s="2" t="n">
        <v>1</v>
      </c>
    </row>
    <row r="265">
      <c r="A265" s="2" t="n">
        <v>264</v>
      </c>
      <c r="B265" s="2" t="s">
        <v>18364</v>
      </c>
      <c r="C265" s="2" t="n">
        <v>510.85862824</v>
      </c>
      <c r="D265" s="2" t="n">
        <v>2.8720933909537</v>
      </c>
      <c r="E265" s="2" t="s">
        <v>18365</v>
      </c>
      <c r="F265" s="2" t="s">
        <v>15778</v>
      </c>
      <c r="G265" s="2" t="s">
        <v>18366</v>
      </c>
      <c r="H265" s="2" t="s">
        <v>18367</v>
      </c>
      <c r="I265" s="2" t="s">
        <v>18368</v>
      </c>
      <c r="J265" s="2" t="s">
        <v>18369</v>
      </c>
      <c r="K265" s="2" t="s">
        <v>29</v>
      </c>
      <c r="L265" s="2" t="s">
        <v>18370</v>
      </c>
      <c r="M265" s="2" t="s">
        <v>18371</v>
      </c>
      <c r="N265" s="2" t="s">
        <v>18372</v>
      </c>
      <c r="O265" s="2" t="s">
        <v>18373</v>
      </c>
      <c r="P265" s="2" t="s">
        <v>18374</v>
      </c>
      <c r="Q265" s="2" t="s">
        <v>18375</v>
      </c>
      <c r="R265" s="2" t="s">
        <v>355</v>
      </c>
      <c r="S265" s="2" t="s">
        <v>1316</v>
      </c>
      <c r="T265" s="2" t="s">
        <v>1432</v>
      </c>
      <c r="U265" s="2" t="s">
        <v>39</v>
      </c>
      <c r="V265" s="2" t="n">
        <v>1</v>
      </c>
    </row>
    <row r="266">
      <c r="A266" s="2" t="n">
        <v>265</v>
      </c>
      <c r="B266" s="2" t="s">
        <v>18376</v>
      </c>
      <c r="C266" s="2" t="n">
        <v>511.058526</v>
      </c>
      <c r="D266" s="2" t="n">
        <v>1.16157146746186</v>
      </c>
      <c r="E266" s="2" t="s">
        <v>18377</v>
      </c>
      <c r="F266" s="2" t="s">
        <v>15649</v>
      </c>
      <c r="G266" s="2" t="s">
        <v>18378</v>
      </c>
      <c r="H266" s="2" t="s">
        <v>18379</v>
      </c>
      <c r="I266" s="2" t="s">
        <v>18380</v>
      </c>
      <c r="J266" s="2" t="s">
        <v>29</v>
      </c>
      <c r="K266" s="2" t="s">
        <v>29</v>
      </c>
      <c r="L266" s="2" t="s">
        <v>29</v>
      </c>
      <c r="M266" s="2" t="s">
        <v>18381</v>
      </c>
      <c r="N266" s="2" t="s">
        <v>18382</v>
      </c>
      <c r="O266" s="2" t="s">
        <v>29</v>
      </c>
      <c r="P266" s="2" t="s">
        <v>18383</v>
      </c>
      <c r="Q266" s="2" t="s">
        <v>18384</v>
      </c>
      <c r="R266" s="2" t="s">
        <v>2590</v>
      </c>
      <c r="S266" s="2" t="s">
        <v>3279</v>
      </c>
      <c r="T266" s="2" t="s">
        <v>205</v>
      </c>
      <c r="U266" s="2" t="s">
        <v>29</v>
      </c>
      <c r="V266" s="2" t="n">
        <v>1</v>
      </c>
    </row>
    <row r="267">
      <c r="A267" s="2" t="n">
        <v>266</v>
      </c>
      <c r="B267" s="2" t="s">
        <v>18385</v>
      </c>
      <c r="C267" s="2" t="n">
        <v>511.165544156</v>
      </c>
      <c r="D267" s="2" t="n">
        <v>2.16276030821693</v>
      </c>
      <c r="E267" s="2" t="s">
        <v>18386</v>
      </c>
      <c r="F267" s="2" t="s">
        <v>17922</v>
      </c>
      <c r="G267" s="2" t="s">
        <v>18387</v>
      </c>
      <c r="H267" s="2" t="s">
        <v>18388</v>
      </c>
      <c r="I267" s="2" t="s">
        <v>18389</v>
      </c>
      <c r="J267" s="2" t="s">
        <v>18390</v>
      </c>
      <c r="K267" s="2" t="s">
        <v>29</v>
      </c>
      <c r="L267" s="2" t="s">
        <v>18391</v>
      </c>
      <c r="M267" s="2" t="s">
        <v>18392</v>
      </c>
      <c r="N267" s="2" t="s">
        <v>18393</v>
      </c>
      <c r="O267" s="2" t="s">
        <v>18394</v>
      </c>
      <c r="P267" s="2" t="s">
        <v>18395</v>
      </c>
      <c r="Q267" s="2" t="s">
        <v>18396</v>
      </c>
      <c r="R267" s="2" t="s">
        <v>355</v>
      </c>
      <c r="S267" s="2" t="s">
        <v>18397</v>
      </c>
      <c r="T267" s="2" t="s">
        <v>205</v>
      </c>
      <c r="U267" s="2" t="s">
        <v>39</v>
      </c>
      <c r="V267" s="2" t="n">
        <v>1</v>
      </c>
    </row>
    <row r="268">
      <c r="A268" s="2" t="n">
        <v>267</v>
      </c>
      <c r="B268" s="2" t="s">
        <v>18398</v>
      </c>
      <c r="C268" s="2" t="n">
        <v>511.258482134</v>
      </c>
      <c r="D268" s="2" t="n">
        <v>6.43525922243371</v>
      </c>
      <c r="E268" s="2" t="s">
        <v>18399</v>
      </c>
      <c r="F268" s="2" t="s">
        <v>15649</v>
      </c>
      <c r="G268" s="2" t="s">
        <v>18400</v>
      </c>
      <c r="H268" s="2" t="s">
        <v>18401</v>
      </c>
      <c r="I268" s="2" t="s">
        <v>18402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18403</v>
      </c>
      <c r="O268" s="2" t="s">
        <v>29</v>
      </c>
      <c r="P268" s="2" t="s">
        <v>18404</v>
      </c>
      <c r="Q268" s="2" t="s">
        <v>18405</v>
      </c>
      <c r="R268" s="2" t="s">
        <v>638</v>
      </c>
      <c r="S268" s="2" t="s">
        <v>3092</v>
      </c>
      <c r="T268" s="2" t="s">
        <v>3093</v>
      </c>
      <c r="U268" s="2" t="s">
        <v>29</v>
      </c>
      <c r="V268" s="2" t="n">
        <v>1</v>
      </c>
    </row>
    <row r="269">
      <c r="A269" s="2" t="n">
        <v>268</v>
      </c>
      <c r="B269" s="2" t="s">
        <v>18406</v>
      </c>
      <c r="C269" s="2" t="n">
        <v>512.157422783</v>
      </c>
      <c r="D269" s="2" t="n">
        <v>5.82781030330532</v>
      </c>
      <c r="E269" s="2" t="s">
        <v>18407</v>
      </c>
      <c r="F269" s="2" t="s">
        <v>15858</v>
      </c>
      <c r="G269" s="2" t="s">
        <v>18408</v>
      </c>
      <c r="H269" s="2" t="s">
        <v>18409</v>
      </c>
      <c r="I269" s="2" t="s">
        <v>18410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18411</v>
      </c>
      <c r="Q269" s="2" t="s">
        <v>18412</v>
      </c>
      <c r="R269" s="2" t="s">
        <v>502</v>
      </c>
      <c r="S269" s="2" t="s">
        <v>503</v>
      </c>
      <c r="T269" s="2" t="s">
        <v>1964</v>
      </c>
      <c r="U269" s="2" t="s">
        <v>29</v>
      </c>
      <c r="V269" s="2" t="n">
        <v>1</v>
      </c>
    </row>
    <row r="270">
      <c r="A270" s="2" t="n">
        <v>269</v>
      </c>
      <c r="B270" s="2" t="s">
        <v>18413</v>
      </c>
      <c r="C270" s="2" t="n">
        <v>512.285953192</v>
      </c>
      <c r="D270" s="2" t="n">
        <v>7.34698361393586</v>
      </c>
      <c r="E270" s="2" t="s">
        <v>18414</v>
      </c>
      <c r="F270" s="2" t="s">
        <v>15691</v>
      </c>
      <c r="G270" s="2" t="s">
        <v>18415</v>
      </c>
      <c r="H270" s="2" t="s">
        <v>18416</v>
      </c>
      <c r="I270" s="2" t="s">
        <v>18417</v>
      </c>
      <c r="J270" s="2" t="s">
        <v>18418</v>
      </c>
      <c r="K270" s="2" t="s">
        <v>29</v>
      </c>
      <c r="L270" s="2" t="s">
        <v>18419</v>
      </c>
      <c r="M270" s="2" t="s">
        <v>29</v>
      </c>
      <c r="N270" s="2" t="s">
        <v>18420</v>
      </c>
      <c r="O270" s="2" t="s">
        <v>18421</v>
      </c>
      <c r="P270" s="2" t="s">
        <v>18422</v>
      </c>
      <c r="Q270" s="2" t="s">
        <v>18423</v>
      </c>
      <c r="R270" s="2" t="s">
        <v>502</v>
      </c>
      <c r="S270" s="2" t="s">
        <v>503</v>
      </c>
      <c r="T270" s="2" t="s">
        <v>18424</v>
      </c>
      <c r="U270" s="2" t="s">
        <v>39</v>
      </c>
      <c r="V270" s="2" t="n">
        <v>1</v>
      </c>
    </row>
    <row r="271">
      <c r="A271" s="2" t="n">
        <v>270</v>
      </c>
      <c r="B271" s="2" t="s">
        <v>18425</v>
      </c>
      <c r="C271" s="2" t="n">
        <v>514.082430705</v>
      </c>
      <c r="D271" s="2" t="n">
        <v>7.07999415303871</v>
      </c>
      <c r="E271" s="2" t="s">
        <v>18426</v>
      </c>
      <c r="F271" s="2" t="s">
        <v>15722</v>
      </c>
      <c r="G271" s="2" t="s">
        <v>18427</v>
      </c>
      <c r="H271" s="2" t="s">
        <v>18428</v>
      </c>
      <c r="I271" s="2" t="s">
        <v>18429</v>
      </c>
      <c r="J271" s="2" t="s">
        <v>18430</v>
      </c>
      <c r="K271" s="2" t="s">
        <v>29</v>
      </c>
      <c r="L271" s="2" t="s">
        <v>29</v>
      </c>
      <c r="M271" s="2" t="s">
        <v>18431</v>
      </c>
      <c r="N271" s="2" t="s">
        <v>18432</v>
      </c>
      <c r="O271" s="2" t="s">
        <v>29</v>
      </c>
      <c r="P271" s="2" t="s">
        <v>18433</v>
      </c>
      <c r="Q271" s="2" t="s">
        <v>18434</v>
      </c>
      <c r="R271" s="2" t="s">
        <v>36</v>
      </c>
      <c r="S271" s="2" t="s">
        <v>37</v>
      </c>
      <c r="T271" s="2" t="s">
        <v>679</v>
      </c>
      <c r="U271" s="2" t="s">
        <v>29</v>
      </c>
      <c r="V271" s="2" t="n">
        <v>1</v>
      </c>
    </row>
    <row r="272">
      <c r="A272" s="2" t="n">
        <v>271</v>
      </c>
      <c r="B272" s="2" t="s">
        <v>18435</v>
      </c>
      <c r="C272" s="2" t="n">
        <v>514.271802184</v>
      </c>
      <c r="D272" s="2" t="n">
        <v>1.17140424217199</v>
      </c>
      <c r="E272" s="2" t="s">
        <v>18436</v>
      </c>
      <c r="F272" s="2" t="s">
        <v>15919</v>
      </c>
      <c r="G272" s="2" t="s">
        <v>18437</v>
      </c>
      <c r="H272" s="2" t="s">
        <v>18438</v>
      </c>
      <c r="I272" s="2" t="s">
        <v>18439</v>
      </c>
      <c r="J272" s="2" t="s">
        <v>18440</v>
      </c>
      <c r="K272" s="2" t="s">
        <v>18441</v>
      </c>
      <c r="L272" s="2" t="s">
        <v>29</v>
      </c>
      <c r="M272" s="2" t="s">
        <v>29</v>
      </c>
      <c r="N272" s="2" t="s">
        <v>18442</v>
      </c>
      <c r="O272" s="2" t="s">
        <v>29</v>
      </c>
      <c r="P272" s="2" t="s">
        <v>18443</v>
      </c>
      <c r="Q272" s="2" t="s">
        <v>18444</v>
      </c>
      <c r="R272" s="2" t="s">
        <v>49</v>
      </c>
      <c r="S272" s="2" t="s">
        <v>165</v>
      </c>
      <c r="T272" s="2" t="s">
        <v>166</v>
      </c>
      <c r="U272" s="2" t="s">
        <v>29</v>
      </c>
      <c r="V272" s="2" t="n">
        <v>1</v>
      </c>
    </row>
    <row r="273">
      <c r="A273" s="2" t="n">
        <v>272</v>
      </c>
      <c r="B273" s="2" t="s">
        <v>18445</v>
      </c>
      <c r="C273" s="2" t="n">
        <v>515.045584728</v>
      </c>
      <c r="D273" s="2" t="n">
        <v>9.26949858664822</v>
      </c>
      <c r="E273" s="2" t="s">
        <v>18446</v>
      </c>
      <c r="F273" s="2" t="s">
        <v>16225</v>
      </c>
      <c r="G273" s="2" t="s">
        <v>18447</v>
      </c>
      <c r="H273" s="2" t="s">
        <v>18448</v>
      </c>
      <c r="I273" s="2" t="s">
        <v>18449</v>
      </c>
      <c r="J273" s="2" t="s">
        <v>29</v>
      </c>
      <c r="K273" s="2" t="s">
        <v>29</v>
      </c>
      <c r="L273" s="2" t="s">
        <v>29</v>
      </c>
      <c r="M273" s="2" t="s">
        <v>18450</v>
      </c>
      <c r="N273" s="2" t="s">
        <v>18451</v>
      </c>
      <c r="O273" s="2" t="s">
        <v>29</v>
      </c>
      <c r="P273" s="2" t="s">
        <v>18452</v>
      </c>
      <c r="Q273" s="2" t="s">
        <v>18453</v>
      </c>
      <c r="R273" s="2" t="s">
        <v>49</v>
      </c>
      <c r="S273" s="2" t="s">
        <v>165</v>
      </c>
      <c r="T273" s="2" t="s">
        <v>166</v>
      </c>
      <c r="U273" s="2" t="s">
        <v>29</v>
      </c>
      <c r="V273" s="2" t="n">
        <v>1</v>
      </c>
    </row>
    <row r="274">
      <c r="A274" s="2" t="n">
        <v>273</v>
      </c>
      <c r="B274" s="2" t="s">
        <v>18454</v>
      </c>
      <c r="C274" s="2" t="n">
        <v>516.255677844</v>
      </c>
      <c r="D274" s="2" t="n">
        <v>3.19081349901999</v>
      </c>
      <c r="E274" s="2" t="s">
        <v>18455</v>
      </c>
      <c r="F274" s="2" t="s">
        <v>15858</v>
      </c>
      <c r="G274" s="2" t="s">
        <v>18456</v>
      </c>
      <c r="H274" s="2" t="s">
        <v>18457</v>
      </c>
      <c r="I274" s="2" t="s">
        <v>18458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18459</v>
      </c>
      <c r="O274" s="2" t="s">
        <v>29</v>
      </c>
      <c r="P274" s="2" t="s">
        <v>18460</v>
      </c>
      <c r="Q274" s="2" t="s">
        <v>18461</v>
      </c>
      <c r="R274" s="2" t="s">
        <v>355</v>
      </c>
      <c r="S274" s="2" t="s">
        <v>5131</v>
      </c>
      <c r="T274" s="2" t="s">
        <v>5132</v>
      </c>
      <c r="U274" s="2" t="s">
        <v>29</v>
      </c>
      <c r="V274" s="2" t="n">
        <v>1</v>
      </c>
    </row>
    <row r="275">
      <c r="A275" s="2" t="n">
        <v>274</v>
      </c>
      <c r="B275" s="2" t="s">
        <v>18462</v>
      </c>
      <c r="C275" s="2" t="n">
        <v>517.267567229</v>
      </c>
      <c r="D275" s="2" t="n">
        <v>7.24057095441197</v>
      </c>
      <c r="E275" s="2" t="s">
        <v>18463</v>
      </c>
      <c r="F275" s="2" t="s">
        <v>15624</v>
      </c>
      <c r="G275" s="2" t="s">
        <v>18464</v>
      </c>
      <c r="H275" s="2" t="s">
        <v>18465</v>
      </c>
      <c r="I275" s="2" t="s">
        <v>18466</v>
      </c>
      <c r="J275" s="2" t="s">
        <v>18467</v>
      </c>
      <c r="K275" s="2" t="s">
        <v>29</v>
      </c>
      <c r="L275" s="2" t="s">
        <v>18468</v>
      </c>
      <c r="M275" s="2" t="s">
        <v>18469</v>
      </c>
      <c r="N275" s="2" t="s">
        <v>18470</v>
      </c>
      <c r="O275" s="2" t="s">
        <v>18471</v>
      </c>
      <c r="P275" s="2" t="s">
        <v>18472</v>
      </c>
      <c r="Q275" s="2" t="s">
        <v>18473</v>
      </c>
      <c r="R275" s="2" t="s">
        <v>355</v>
      </c>
      <c r="S275" s="2" t="s">
        <v>18474</v>
      </c>
      <c r="T275" s="2" t="s">
        <v>18475</v>
      </c>
      <c r="U275" s="2" t="s">
        <v>39</v>
      </c>
      <c r="V275" s="2" t="n">
        <v>1</v>
      </c>
    </row>
    <row r="276">
      <c r="A276" s="2" t="n">
        <v>275</v>
      </c>
      <c r="B276" s="2" t="s">
        <v>18476</v>
      </c>
      <c r="C276" s="2" t="n">
        <v>518.264347343</v>
      </c>
      <c r="D276" s="2" t="n">
        <v>1.9996543694126</v>
      </c>
      <c r="E276" s="2" t="s">
        <v>18477</v>
      </c>
      <c r="F276" s="2" t="s">
        <v>15919</v>
      </c>
      <c r="G276" s="2" t="s">
        <v>18478</v>
      </c>
      <c r="H276" s="2" t="s">
        <v>18479</v>
      </c>
      <c r="I276" s="2" t="s">
        <v>18480</v>
      </c>
      <c r="J276" s="2" t="s">
        <v>18481</v>
      </c>
      <c r="K276" s="2" t="s">
        <v>18482</v>
      </c>
      <c r="L276" s="2" t="s">
        <v>29</v>
      </c>
      <c r="M276" s="2" t="s">
        <v>29</v>
      </c>
      <c r="N276" s="2" t="s">
        <v>18483</v>
      </c>
      <c r="O276" s="2" t="s">
        <v>29</v>
      </c>
      <c r="P276" s="2" t="s">
        <v>18484</v>
      </c>
      <c r="Q276" s="2" t="s">
        <v>18485</v>
      </c>
      <c r="R276" s="2" t="s">
        <v>1490</v>
      </c>
      <c r="S276" s="2" t="s">
        <v>4236</v>
      </c>
      <c r="T276" s="2" t="s">
        <v>5369</v>
      </c>
      <c r="U276" s="2" t="s">
        <v>29</v>
      </c>
      <c r="V276" s="2" t="n">
        <v>1</v>
      </c>
    </row>
    <row r="277">
      <c r="A277" s="2" t="n">
        <v>276</v>
      </c>
      <c r="B277" s="2" t="s">
        <v>18486</v>
      </c>
      <c r="C277" s="2" t="n">
        <v>519.044375342</v>
      </c>
      <c r="D277" s="2" t="n">
        <v>2.23670295611407</v>
      </c>
      <c r="E277" s="2" t="s">
        <v>18487</v>
      </c>
      <c r="F277" s="2" t="s">
        <v>15919</v>
      </c>
      <c r="G277" s="2" t="s">
        <v>18488</v>
      </c>
      <c r="H277" s="2" t="s">
        <v>18489</v>
      </c>
      <c r="I277" s="2" t="s">
        <v>18490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18491</v>
      </c>
      <c r="O277" s="2" t="s">
        <v>29</v>
      </c>
      <c r="P277" s="2" t="s">
        <v>18492</v>
      </c>
      <c r="Q277" s="2" t="s">
        <v>18493</v>
      </c>
      <c r="R277" s="2" t="s">
        <v>64</v>
      </c>
      <c r="S277" s="2" t="s">
        <v>65</v>
      </c>
      <c r="T277" s="2" t="s">
        <v>1214</v>
      </c>
      <c r="U277" s="2" t="s">
        <v>29</v>
      </c>
      <c r="V277" s="2" t="n">
        <v>1</v>
      </c>
    </row>
    <row r="278">
      <c r="A278" s="2" t="n">
        <v>277</v>
      </c>
      <c r="B278" s="2" t="s">
        <v>18494</v>
      </c>
      <c r="C278" s="2" t="n">
        <v>519.549942874</v>
      </c>
      <c r="D278" s="2" t="n">
        <v>3.46389062241211</v>
      </c>
      <c r="E278" s="2" t="s">
        <v>18495</v>
      </c>
      <c r="F278" s="2" t="s">
        <v>15649</v>
      </c>
      <c r="G278" s="2" t="s">
        <v>18496</v>
      </c>
      <c r="H278" s="2" t="s">
        <v>18497</v>
      </c>
      <c r="I278" s="2" t="s">
        <v>18498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18499</v>
      </c>
      <c r="O278" s="2" t="s">
        <v>29</v>
      </c>
      <c r="P278" s="2" t="s">
        <v>18500</v>
      </c>
      <c r="Q278" s="2" t="s">
        <v>18501</v>
      </c>
      <c r="R278" s="2" t="s">
        <v>64</v>
      </c>
      <c r="S278" s="2" t="s">
        <v>65</v>
      </c>
      <c r="T278" s="2" t="s">
        <v>1214</v>
      </c>
      <c r="U278" s="2" t="s">
        <v>29</v>
      </c>
      <c r="V278" s="2" t="n">
        <v>1</v>
      </c>
    </row>
    <row r="279">
      <c r="A279" s="2" t="n">
        <v>278</v>
      </c>
      <c r="B279" s="2" t="s">
        <v>18502</v>
      </c>
      <c r="C279" s="2" t="n">
        <v>521.281719504</v>
      </c>
      <c r="D279" s="2" t="n">
        <v>0.698238855658894</v>
      </c>
      <c r="E279" s="2" t="s">
        <v>18503</v>
      </c>
      <c r="F279" s="2" t="s">
        <v>15778</v>
      </c>
      <c r="G279" s="2" t="s">
        <v>18504</v>
      </c>
      <c r="H279" s="2" t="s">
        <v>18505</v>
      </c>
      <c r="I279" s="2" t="s">
        <v>18506</v>
      </c>
      <c r="J279" s="2" t="s">
        <v>18507</v>
      </c>
      <c r="K279" s="2" t="s">
        <v>226</v>
      </c>
      <c r="L279" s="2" t="s">
        <v>226</v>
      </c>
      <c r="M279" s="2" t="s">
        <v>18508</v>
      </c>
      <c r="N279" s="2" t="s">
        <v>18509</v>
      </c>
      <c r="O279" s="2" t="s">
        <v>18510</v>
      </c>
      <c r="P279" s="2" t="s">
        <v>18511</v>
      </c>
      <c r="Q279" s="2" t="s">
        <v>18512</v>
      </c>
      <c r="R279" s="2" t="s">
        <v>312</v>
      </c>
      <c r="S279" s="2" t="s">
        <v>313</v>
      </c>
      <c r="T279" s="2" t="s">
        <v>314</v>
      </c>
      <c r="U279" s="2" t="s">
        <v>29</v>
      </c>
      <c r="V279" s="2" t="n">
        <v>3</v>
      </c>
    </row>
    <row r="280">
      <c r="A280" s="2" t="n">
        <v>279</v>
      </c>
      <c r="B280" s="2" t="s">
        <v>18513</v>
      </c>
      <c r="C280" s="2" t="n">
        <v>521.529796106</v>
      </c>
      <c r="D280" s="2" t="n">
        <v>3.84897708584779</v>
      </c>
      <c r="E280" s="2" t="s">
        <v>18514</v>
      </c>
      <c r="F280" s="2" t="s">
        <v>15611</v>
      </c>
      <c r="G280" s="2" t="s">
        <v>18515</v>
      </c>
      <c r="H280" s="2" t="s">
        <v>18516</v>
      </c>
      <c r="I280" s="2" t="s">
        <v>18517</v>
      </c>
      <c r="J280" s="2" t="s">
        <v>18518</v>
      </c>
      <c r="K280" s="2" t="s">
        <v>29</v>
      </c>
      <c r="L280" s="2" t="s">
        <v>29</v>
      </c>
      <c r="M280" s="2" t="s">
        <v>18519</v>
      </c>
      <c r="N280" s="2" t="s">
        <v>18520</v>
      </c>
      <c r="O280" s="2" t="s">
        <v>18521</v>
      </c>
      <c r="P280" s="2" t="s">
        <v>18522</v>
      </c>
      <c r="Q280" s="2" t="s">
        <v>18523</v>
      </c>
      <c r="R280" s="2" t="s">
        <v>1490</v>
      </c>
      <c r="S280" s="2" t="s">
        <v>1491</v>
      </c>
      <c r="T280" s="2" t="s">
        <v>3884</v>
      </c>
      <c r="U280" s="2" t="s">
        <v>29</v>
      </c>
      <c r="V280" s="2" t="n">
        <v>1</v>
      </c>
    </row>
    <row r="281">
      <c r="A281" s="2" t="n">
        <v>280</v>
      </c>
      <c r="B281" s="2" t="s">
        <v>18524</v>
      </c>
      <c r="C281" s="2" t="n">
        <v>522.355415535</v>
      </c>
      <c r="D281" s="2" t="n">
        <v>5.25106217687087</v>
      </c>
      <c r="E281" s="2" t="s">
        <v>18525</v>
      </c>
      <c r="F281" s="2" t="s">
        <v>15649</v>
      </c>
      <c r="G281" s="2" t="s">
        <v>18526</v>
      </c>
      <c r="H281" s="2" t="s">
        <v>18527</v>
      </c>
      <c r="I281" s="2" t="s">
        <v>18528</v>
      </c>
      <c r="J281" s="2" t="s">
        <v>18529</v>
      </c>
      <c r="K281" s="2" t="s">
        <v>18530</v>
      </c>
      <c r="L281" s="2" t="s">
        <v>29</v>
      </c>
      <c r="M281" s="2" t="s">
        <v>18531</v>
      </c>
      <c r="N281" s="2" t="s">
        <v>18532</v>
      </c>
      <c r="O281" s="2" t="s">
        <v>18533</v>
      </c>
      <c r="P281" s="2" t="s">
        <v>18534</v>
      </c>
      <c r="Q281" s="2" t="s">
        <v>18535</v>
      </c>
      <c r="R281" s="2" t="s">
        <v>1490</v>
      </c>
      <c r="S281" s="2" t="s">
        <v>4236</v>
      </c>
      <c r="T281" s="2" t="s">
        <v>8613</v>
      </c>
      <c r="U281" s="2" t="s">
        <v>29</v>
      </c>
      <c r="V281" s="2" t="n">
        <v>1</v>
      </c>
    </row>
    <row r="282">
      <c r="A282" s="2" t="n">
        <v>281</v>
      </c>
      <c r="B282" s="2" t="s">
        <v>18536</v>
      </c>
      <c r="C282" s="2" t="n">
        <v>523.318418024</v>
      </c>
      <c r="D282" s="2" t="n">
        <v>3.3582180468058</v>
      </c>
      <c r="E282" s="2" t="s">
        <v>18537</v>
      </c>
      <c r="F282" s="2" t="s">
        <v>15919</v>
      </c>
      <c r="G282" s="2" t="s">
        <v>18538</v>
      </c>
      <c r="H282" s="2" t="s">
        <v>18539</v>
      </c>
      <c r="I282" s="2" t="s">
        <v>18540</v>
      </c>
      <c r="J282" s="2" t="s">
        <v>18541</v>
      </c>
      <c r="K282" s="2" t="s">
        <v>226</v>
      </c>
      <c r="L282" s="2" t="s">
        <v>226</v>
      </c>
      <c r="M282" s="2" t="s">
        <v>18542</v>
      </c>
      <c r="N282" s="2" t="s">
        <v>18543</v>
      </c>
      <c r="O282" s="2" t="s">
        <v>18544</v>
      </c>
      <c r="P282" s="2" t="s">
        <v>18545</v>
      </c>
      <c r="Q282" s="2" t="s">
        <v>18546</v>
      </c>
      <c r="R282" s="2" t="s">
        <v>105</v>
      </c>
      <c r="S282" s="2" t="s">
        <v>1614</v>
      </c>
      <c r="T282" s="2" t="s">
        <v>5890</v>
      </c>
      <c r="U282" s="2" t="s">
        <v>29</v>
      </c>
      <c r="V282" s="2" t="n">
        <v>3</v>
      </c>
    </row>
    <row r="283">
      <c r="A283" s="2" t="n">
        <v>282</v>
      </c>
      <c r="B283" s="2" t="s">
        <v>18547</v>
      </c>
      <c r="C283" s="2" t="n">
        <v>524.280498043</v>
      </c>
      <c r="D283" s="2" t="n">
        <v>0.512444747043849</v>
      </c>
      <c r="E283" s="2" t="s">
        <v>18548</v>
      </c>
      <c r="F283" s="2" t="s">
        <v>15858</v>
      </c>
      <c r="G283" s="2" t="s">
        <v>18549</v>
      </c>
      <c r="H283" s="2" t="s">
        <v>18550</v>
      </c>
      <c r="I283" s="2" t="s">
        <v>18551</v>
      </c>
      <c r="J283" s="2" t="s">
        <v>18552</v>
      </c>
      <c r="K283" s="2" t="s">
        <v>29</v>
      </c>
      <c r="L283" s="2" t="s">
        <v>29</v>
      </c>
      <c r="M283" s="2" t="s">
        <v>29</v>
      </c>
      <c r="N283" s="2" t="s">
        <v>18553</v>
      </c>
      <c r="O283" s="2" t="s">
        <v>29</v>
      </c>
      <c r="P283" s="2" t="s">
        <v>18554</v>
      </c>
      <c r="Q283" s="2" t="s">
        <v>18555</v>
      </c>
      <c r="R283" s="2" t="s">
        <v>1490</v>
      </c>
      <c r="S283" s="2" t="s">
        <v>4971</v>
      </c>
      <c r="T283" s="2" t="s">
        <v>6636</v>
      </c>
      <c r="U283" s="2" t="s">
        <v>29</v>
      </c>
      <c r="V283" s="2" t="n">
        <v>1</v>
      </c>
    </row>
    <row r="284">
      <c r="A284" s="2" t="n">
        <v>283</v>
      </c>
      <c r="B284" s="2" t="s">
        <v>18556</v>
      </c>
      <c r="C284" s="2" t="n">
        <v>525.070326102</v>
      </c>
      <c r="D284" s="2" t="n">
        <v>2.60239397627481</v>
      </c>
      <c r="E284" s="2" t="s">
        <v>18557</v>
      </c>
      <c r="F284" s="2" t="s">
        <v>15611</v>
      </c>
      <c r="G284" s="2" t="s">
        <v>18558</v>
      </c>
      <c r="H284" s="2" t="s">
        <v>18559</v>
      </c>
      <c r="I284" s="2" t="s">
        <v>18560</v>
      </c>
      <c r="J284" s="2" t="s">
        <v>18561</v>
      </c>
      <c r="K284" s="2" t="s">
        <v>29</v>
      </c>
      <c r="L284" s="2" t="s">
        <v>29</v>
      </c>
      <c r="M284" s="2" t="s">
        <v>29</v>
      </c>
      <c r="N284" s="2" t="s">
        <v>18562</v>
      </c>
      <c r="O284" s="2" t="s">
        <v>18563</v>
      </c>
      <c r="P284" s="2" t="s">
        <v>18564</v>
      </c>
      <c r="Q284" s="2" t="s">
        <v>18565</v>
      </c>
      <c r="R284" s="2" t="s">
        <v>2509</v>
      </c>
      <c r="S284" s="2" t="s">
        <v>5520</v>
      </c>
      <c r="T284" s="2" t="s">
        <v>5664</v>
      </c>
      <c r="U284" s="2" t="s">
        <v>29</v>
      </c>
      <c r="V284" s="2" t="n">
        <v>1</v>
      </c>
    </row>
    <row r="285">
      <c r="A285" s="2" t="n">
        <v>284</v>
      </c>
      <c r="B285" s="2" t="s">
        <v>18566</v>
      </c>
      <c r="C285" s="2" t="n">
        <v>525.164711341</v>
      </c>
      <c r="D285" s="2" t="n">
        <v>2.48302149474158</v>
      </c>
      <c r="E285" s="2" t="s">
        <v>18567</v>
      </c>
      <c r="F285" s="2" t="s">
        <v>15919</v>
      </c>
      <c r="G285" s="2" t="s">
        <v>18568</v>
      </c>
      <c r="H285" s="2" t="s">
        <v>18569</v>
      </c>
      <c r="I285" s="2" t="s">
        <v>18570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18571</v>
      </c>
      <c r="O285" s="2" t="s">
        <v>29</v>
      </c>
      <c r="P285" s="2" t="s">
        <v>18572</v>
      </c>
      <c r="Q285" s="2" t="s">
        <v>18573</v>
      </c>
      <c r="R285" s="2" t="s">
        <v>355</v>
      </c>
      <c r="S285" s="2" t="s">
        <v>466</v>
      </c>
      <c r="T285" s="2" t="s">
        <v>467</v>
      </c>
      <c r="U285" s="2" t="s">
        <v>29</v>
      </c>
      <c r="V285" s="2" t="n">
        <v>1</v>
      </c>
    </row>
    <row r="286">
      <c r="A286" s="2" t="n">
        <v>285</v>
      </c>
      <c r="B286" s="2" t="s">
        <v>18574</v>
      </c>
      <c r="C286" s="2" t="n">
        <v>525.270760895</v>
      </c>
      <c r="D286" s="2" t="n">
        <v>0.462563755496031</v>
      </c>
      <c r="E286" s="2" t="s">
        <v>18575</v>
      </c>
      <c r="F286" s="2" t="s">
        <v>15649</v>
      </c>
      <c r="G286" s="2" t="s">
        <v>18576</v>
      </c>
      <c r="H286" s="2" t="s">
        <v>18577</v>
      </c>
      <c r="I286" s="2" t="s">
        <v>18578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18579</v>
      </c>
      <c r="O286" s="2" t="s">
        <v>29</v>
      </c>
      <c r="P286" s="2" t="s">
        <v>18580</v>
      </c>
      <c r="Q286" s="2" t="s">
        <v>18581</v>
      </c>
      <c r="R286" s="2" t="s">
        <v>49</v>
      </c>
      <c r="S286" s="2" t="s">
        <v>165</v>
      </c>
      <c r="T286" s="2" t="s">
        <v>166</v>
      </c>
      <c r="U286" s="2" t="s">
        <v>29</v>
      </c>
      <c r="V286" s="2" t="n">
        <v>1</v>
      </c>
    </row>
    <row r="287">
      <c r="A287" s="2" t="n">
        <v>286</v>
      </c>
      <c r="B287" s="2" t="s">
        <v>18582</v>
      </c>
      <c r="C287" s="2" t="n">
        <v>527.249276744</v>
      </c>
      <c r="D287" s="2" t="n">
        <v>0.861562857451514</v>
      </c>
      <c r="E287" s="2" t="s">
        <v>18583</v>
      </c>
      <c r="F287" s="2" t="s">
        <v>15611</v>
      </c>
      <c r="G287" s="2" t="s">
        <v>18584</v>
      </c>
      <c r="H287" s="2" t="s">
        <v>18585</v>
      </c>
      <c r="I287" s="2" t="s">
        <v>18586</v>
      </c>
      <c r="J287" s="2" t="s">
        <v>18587</v>
      </c>
      <c r="K287" s="2" t="s">
        <v>29</v>
      </c>
      <c r="L287" s="2" t="s">
        <v>29</v>
      </c>
      <c r="M287" s="2" t="s">
        <v>29</v>
      </c>
      <c r="N287" s="2" t="s">
        <v>18588</v>
      </c>
      <c r="O287" s="2" t="s">
        <v>18589</v>
      </c>
      <c r="P287" s="2" t="s">
        <v>18590</v>
      </c>
      <c r="Q287" s="2" t="s">
        <v>18591</v>
      </c>
      <c r="R287" s="2" t="s">
        <v>1490</v>
      </c>
      <c r="S287" s="2" t="s">
        <v>4971</v>
      </c>
      <c r="T287" s="2" t="s">
        <v>5010</v>
      </c>
      <c r="U287" s="2" t="s">
        <v>29</v>
      </c>
      <c r="V287" s="2" t="n">
        <v>1</v>
      </c>
    </row>
    <row r="288">
      <c r="A288" s="2" t="n">
        <v>287</v>
      </c>
      <c r="B288" s="2" t="s">
        <v>18592</v>
      </c>
      <c r="C288" s="2" t="n">
        <v>527.292203274</v>
      </c>
      <c r="D288" s="2" t="n">
        <v>3.34664981665935</v>
      </c>
      <c r="E288" s="2" t="s">
        <v>18593</v>
      </c>
      <c r="F288" s="2" t="s">
        <v>15919</v>
      </c>
      <c r="G288" s="2" t="s">
        <v>18594</v>
      </c>
      <c r="H288" s="2" t="s">
        <v>18595</v>
      </c>
      <c r="I288" s="2" t="s">
        <v>18596</v>
      </c>
      <c r="J288" s="2" t="s">
        <v>18597</v>
      </c>
      <c r="K288" s="2" t="s">
        <v>29</v>
      </c>
      <c r="L288" s="2" t="s">
        <v>29</v>
      </c>
      <c r="M288" s="2" t="s">
        <v>18598</v>
      </c>
      <c r="N288" s="2" t="s">
        <v>18599</v>
      </c>
      <c r="O288" s="2" t="s">
        <v>18600</v>
      </c>
      <c r="P288" s="2" t="s">
        <v>18601</v>
      </c>
      <c r="Q288" s="2" t="s">
        <v>18602</v>
      </c>
      <c r="R288" s="2" t="s">
        <v>1490</v>
      </c>
      <c r="S288" s="2" t="s">
        <v>4971</v>
      </c>
      <c r="T288" s="2" t="s">
        <v>7445</v>
      </c>
      <c r="U288" s="2" t="s">
        <v>29</v>
      </c>
      <c r="V288" s="2" t="n">
        <v>1</v>
      </c>
    </row>
    <row r="289">
      <c r="A289" s="2" t="n">
        <v>288</v>
      </c>
      <c r="B289" s="2" t="s">
        <v>18603</v>
      </c>
      <c r="C289" s="2" t="n">
        <v>528.258122627</v>
      </c>
      <c r="D289" s="2" t="n">
        <v>3.46603472848937</v>
      </c>
      <c r="E289" s="2" t="s">
        <v>18604</v>
      </c>
      <c r="F289" s="2" t="s">
        <v>15858</v>
      </c>
      <c r="G289" s="2" t="s">
        <v>18605</v>
      </c>
      <c r="H289" s="2" t="s">
        <v>18606</v>
      </c>
      <c r="I289" s="2" t="s">
        <v>18607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18608</v>
      </c>
      <c r="O289" s="2" t="s">
        <v>29</v>
      </c>
      <c r="P289" s="2" t="s">
        <v>18609</v>
      </c>
      <c r="Q289" s="2" t="s">
        <v>18610</v>
      </c>
      <c r="R289" s="2" t="s">
        <v>49</v>
      </c>
      <c r="S289" s="2" t="s">
        <v>165</v>
      </c>
      <c r="T289" s="2" t="s">
        <v>166</v>
      </c>
      <c r="U289" s="2" t="s">
        <v>29</v>
      </c>
      <c r="V289" s="2" t="n">
        <v>1</v>
      </c>
    </row>
    <row r="290">
      <c r="A290" s="2" t="n">
        <v>289</v>
      </c>
      <c r="B290" s="2" t="s">
        <v>18611</v>
      </c>
      <c r="C290" s="2" t="n">
        <v>529.074284168</v>
      </c>
      <c r="D290" s="2" t="n">
        <v>7.28231782892251</v>
      </c>
      <c r="E290" s="2" t="s">
        <v>18612</v>
      </c>
      <c r="F290" s="2" t="s">
        <v>15919</v>
      </c>
      <c r="G290" s="2" t="s">
        <v>18613</v>
      </c>
      <c r="H290" s="2" t="s">
        <v>18614</v>
      </c>
      <c r="I290" s="2" t="s">
        <v>18615</v>
      </c>
      <c r="J290" s="2" t="s">
        <v>18616</v>
      </c>
      <c r="K290" s="2" t="s">
        <v>18617</v>
      </c>
      <c r="L290" s="2" t="s">
        <v>226</v>
      </c>
      <c r="M290" s="2" t="s">
        <v>226</v>
      </c>
      <c r="N290" s="2" t="s">
        <v>18618</v>
      </c>
      <c r="O290" s="2" t="s">
        <v>226</v>
      </c>
      <c r="P290" s="2" t="s">
        <v>18619</v>
      </c>
      <c r="Q290" s="2" t="s">
        <v>18620</v>
      </c>
      <c r="R290" s="2" t="s">
        <v>5230</v>
      </c>
      <c r="S290" s="2" t="s">
        <v>5231</v>
      </c>
      <c r="T290" s="2" t="s">
        <v>8074</v>
      </c>
      <c r="U290" s="2" t="s">
        <v>29</v>
      </c>
      <c r="V290" s="2" t="n">
        <v>3</v>
      </c>
    </row>
    <row r="291">
      <c r="A291" s="2" t="n">
        <v>290</v>
      </c>
      <c r="B291" s="2" t="s">
        <v>18621</v>
      </c>
      <c r="C291" s="2" t="n">
        <v>531.046685858</v>
      </c>
      <c r="D291" s="2" t="n">
        <v>2.75575512999042</v>
      </c>
      <c r="E291" s="2" t="s">
        <v>18622</v>
      </c>
      <c r="F291" s="2" t="s">
        <v>17922</v>
      </c>
      <c r="G291" s="2" t="s">
        <v>18623</v>
      </c>
      <c r="H291" s="2" t="s">
        <v>18624</v>
      </c>
      <c r="I291" s="2" t="s">
        <v>18625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18626</v>
      </c>
      <c r="O291" s="2" t="s">
        <v>29</v>
      </c>
      <c r="P291" s="2" t="s">
        <v>18627</v>
      </c>
      <c r="Q291" s="2" t="s">
        <v>18628</v>
      </c>
      <c r="R291" s="2" t="s">
        <v>49</v>
      </c>
      <c r="S291" s="2" t="s">
        <v>165</v>
      </c>
      <c r="T291" s="2" t="s">
        <v>166</v>
      </c>
      <c r="U291" s="2" t="s">
        <v>29</v>
      </c>
      <c r="V291" s="2" t="n">
        <v>1</v>
      </c>
    </row>
    <row r="292">
      <c r="A292" s="2" t="n">
        <v>291</v>
      </c>
      <c r="B292" s="2" t="s">
        <v>18629</v>
      </c>
      <c r="C292" s="2" t="n">
        <v>531.125138841</v>
      </c>
      <c r="D292" s="2" t="n">
        <v>9.22775236680769</v>
      </c>
      <c r="E292" s="2" t="s">
        <v>18630</v>
      </c>
      <c r="F292" s="2" t="s">
        <v>15611</v>
      </c>
      <c r="G292" s="2" t="s">
        <v>18631</v>
      </c>
      <c r="H292" s="2" t="s">
        <v>18632</v>
      </c>
      <c r="I292" s="2" t="s">
        <v>18633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18634</v>
      </c>
      <c r="O292" s="2" t="s">
        <v>18635</v>
      </c>
      <c r="P292" s="2" t="s">
        <v>18636</v>
      </c>
      <c r="Q292" s="2" t="s">
        <v>18637</v>
      </c>
      <c r="R292" s="2" t="s">
        <v>64</v>
      </c>
      <c r="S292" s="2" t="s">
        <v>65</v>
      </c>
      <c r="T292" s="2" t="s">
        <v>66</v>
      </c>
      <c r="U292" s="2" t="s">
        <v>29</v>
      </c>
      <c r="V292" s="2" t="n">
        <v>1</v>
      </c>
    </row>
    <row r="293">
      <c r="A293" s="2" t="n">
        <v>292</v>
      </c>
      <c r="B293" s="2" t="s">
        <v>18638</v>
      </c>
      <c r="C293" s="2" t="n">
        <v>534.197649011</v>
      </c>
      <c r="D293" s="2" t="n">
        <v>2.92127416333343</v>
      </c>
      <c r="E293" s="2" t="s">
        <v>18639</v>
      </c>
      <c r="F293" s="2" t="s">
        <v>15919</v>
      </c>
      <c r="G293" s="2" t="s">
        <v>18640</v>
      </c>
      <c r="H293" s="2" t="s">
        <v>18641</v>
      </c>
      <c r="I293" s="2" t="s">
        <v>18642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18643</v>
      </c>
      <c r="O293" s="2" t="s">
        <v>29</v>
      </c>
      <c r="P293" s="2" t="s">
        <v>18644</v>
      </c>
      <c r="Q293" s="2" t="s">
        <v>18645</v>
      </c>
      <c r="R293" s="2" t="s">
        <v>355</v>
      </c>
      <c r="S293" s="2" t="s">
        <v>2424</v>
      </c>
      <c r="T293" s="2" t="s">
        <v>11439</v>
      </c>
      <c r="U293" s="2" t="s">
        <v>29</v>
      </c>
      <c r="V293" s="2" t="n">
        <v>1</v>
      </c>
    </row>
    <row r="294">
      <c r="A294" s="2" t="n">
        <v>293</v>
      </c>
      <c r="B294" s="2" t="s">
        <v>18646</v>
      </c>
      <c r="C294" s="2" t="n">
        <v>535.290158942</v>
      </c>
      <c r="D294" s="2" t="n">
        <v>0.702509573948232</v>
      </c>
      <c r="E294" s="2" t="s">
        <v>18647</v>
      </c>
      <c r="F294" s="2" t="s">
        <v>15649</v>
      </c>
      <c r="G294" s="2" t="s">
        <v>18648</v>
      </c>
      <c r="H294" s="2" t="s">
        <v>18649</v>
      </c>
      <c r="I294" s="2" t="s">
        <v>18650</v>
      </c>
      <c r="J294" s="2" t="s">
        <v>18651</v>
      </c>
      <c r="K294" s="2" t="s">
        <v>29</v>
      </c>
      <c r="L294" s="2" t="s">
        <v>29</v>
      </c>
      <c r="M294" s="2" t="s">
        <v>29</v>
      </c>
      <c r="N294" s="2" t="s">
        <v>18652</v>
      </c>
      <c r="O294" s="2" t="s">
        <v>18653</v>
      </c>
      <c r="P294" s="2" t="s">
        <v>18654</v>
      </c>
      <c r="Q294" s="2" t="s">
        <v>18655</v>
      </c>
      <c r="R294" s="2" t="s">
        <v>1490</v>
      </c>
      <c r="S294" s="2" t="s">
        <v>3546</v>
      </c>
      <c r="T294" s="2" t="s">
        <v>8600</v>
      </c>
      <c r="U294" s="2" t="s">
        <v>29</v>
      </c>
      <c r="V294" s="2" t="n">
        <v>1</v>
      </c>
    </row>
    <row r="295">
      <c r="A295" s="2" t="n">
        <v>294</v>
      </c>
      <c r="B295" s="2" t="s">
        <v>18656</v>
      </c>
      <c r="C295" s="2" t="n">
        <v>535.59247639</v>
      </c>
      <c r="D295" s="2" t="n">
        <v>9.98693791455994</v>
      </c>
      <c r="E295" s="2" t="s">
        <v>18657</v>
      </c>
      <c r="F295" s="2" t="s">
        <v>15778</v>
      </c>
      <c r="G295" s="2" t="s">
        <v>18658</v>
      </c>
      <c r="H295" s="2" t="s">
        <v>18659</v>
      </c>
      <c r="I295" s="2" t="s">
        <v>18660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18661</v>
      </c>
      <c r="O295" s="2" t="s">
        <v>29</v>
      </c>
      <c r="P295" s="2" t="s">
        <v>18662</v>
      </c>
      <c r="Q295" s="2" t="s">
        <v>18663</v>
      </c>
      <c r="R295" s="2" t="s">
        <v>36</v>
      </c>
      <c r="S295" s="2" t="s">
        <v>37</v>
      </c>
      <c r="T295" s="2" t="s">
        <v>679</v>
      </c>
      <c r="U295" s="2" t="s">
        <v>29</v>
      </c>
      <c r="V295" s="2" t="n">
        <v>1</v>
      </c>
    </row>
    <row r="296">
      <c r="A296" s="2" t="n">
        <v>295</v>
      </c>
      <c r="B296" s="2" t="s">
        <v>18664</v>
      </c>
      <c r="C296" s="2" t="n">
        <v>536.286745311</v>
      </c>
      <c r="D296" s="2" t="n">
        <v>6.8149536553813</v>
      </c>
      <c r="E296" s="2" t="s">
        <v>18665</v>
      </c>
      <c r="F296" s="2" t="s">
        <v>15649</v>
      </c>
      <c r="G296" s="2" t="s">
        <v>18666</v>
      </c>
      <c r="H296" s="2" t="s">
        <v>18667</v>
      </c>
      <c r="I296" s="2" t="s">
        <v>18668</v>
      </c>
      <c r="J296" s="2" t="s">
        <v>72</v>
      </c>
      <c r="K296" s="2" t="s">
        <v>72</v>
      </c>
      <c r="L296" s="2" t="s">
        <v>72</v>
      </c>
      <c r="M296" s="2" t="s">
        <v>72</v>
      </c>
      <c r="N296" s="2" t="s">
        <v>18669</v>
      </c>
      <c r="O296" s="2" t="s">
        <v>72</v>
      </c>
      <c r="P296" s="2" t="s">
        <v>18670</v>
      </c>
      <c r="Q296" s="2" t="s">
        <v>18671</v>
      </c>
      <c r="R296" s="2" t="s">
        <v>18672</v>
      </c>
      <c r="S296" s="2" t="s">
        <v>18673</v>
      </c>
      <c r="T296" s="2" t="s">
        <v>18674</v>
      </c>
      <c r="U296" s="2" t="s">
        <v>29</v>
      </c>
      <c r="V296" s="2" t="n">
        <v>2</v>
      </c>
    </row>
    <row r="297">
      <c r="A297" s="2" t="n">
        <v>296</v>
      </c>
      <c r="B297" s="2" t="s">
        <v>18675</v>
      </c>
      <c r="C297" s="2" t="n">
        <v>536.332234682</v>
      </c>
      <c r="D297" s="2" t="n">
        <v>9.31607426180794</v>
      </c>
      <c r="E297" s="2" t="s">
        <v>18676</v>
      </c>
      <c r="F297" s="2" t="s">
        <v>15691</v>
      </c>
      <c r="G297" s="2" t="s">
        <v>18677</v>
      </c>
      <c r="H297" s="2" t="s">
        <v>18678</v>
      </c>
      <c r="I297" s="2" t="s">
        <v>18679</v>
      </c>
      <c r="J297" s="2" t="s">
        <v>226</v>
      </c>
      <c r="K297" s="2" t="s">
        <v>226</v>
      </c>
      <c r="L297" s="2" t="s">
        <v>226</v>
      </c>
      <c r="M297" s="2" t="s">
        <v>226</v>
      </c>
      <c r="N297" s="2" t="s">
        <v>226</v>
      </c>
      <c r="O297" s="2" t="s">
        <v>226</v>
      </c>
      <c r="P297" s="2" t="s">
        <v>18680</v>
      </c>
      <c r="Q297" s="2" t="s">
        <v>18681</v>
      </c>
      <c r="R297" s="2" t="s">
        <v>105</v>
      </c>
      <c r="S297" s="2" t="s">
        <v>106</v>
      </c>
      <c r="T297" s="2" t="s">
        <v>5339</v>
      </c>
      <c r="U297" s="2" t="s">
        <v>29</v>
      </c>
      <c r="V297" s="2" t="n">
        <v>3</v>
      </c>
    </row>
    <row r="298">
      <c r="A298" s="2" t="n">
        <v>297</v>
      </c>
      <c r="B298" s="2" t="s">
        <v>18682</v>
      </c>
      <c r="C298" s="2" t="n">
        <v>537.029811144</v>
      </c>
      <c r="D298" s="2" t="n">
        <v>8.14980023148601</v>
      </c>
      <c r="E298" s="2" t="s">
        <v>18683</v>
      </c>
      <c r="F298" s="2" t="s">
        <v>15691</v>
      </c>
      <c r="G298" s="2" t="s">
        <v>18684</v>
      </c>
      <c r="H298" s="2" t="s">
        <v>18685</v>
      </c>
      <c r="I298" s="2" t="s">
        <v>18686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18687</v>
      </c>
      <c r="O298" s="2" t="s">
        <v>29</v>
      </c>
      <c r="P298" s="2" t="s">
        <v>18688</v>
      </c>
      <c r="Q298" s="2" t="s">
        <v>18689</v>
      </c>
      <c r="R298" s="2" t="s">
        <v>2509</v>
      </c>
      <c r="S298" s="2" t="s">
        <v>4367</v>
      </c>
      <c r="T298" s="2" t="s">
        <v>205</v>
      </c>
      <c r="U298" s="2" t="s">
        <v>29</v>
      </c>
      <c r="V298" s="2" t="n">
        <v>1</v>
      </c>
    </row>
    <row r="299">
      <c r="A299" s="2" t="n">
        <v>298</v>
      </c>
      <c r="B299" s="2" t="s">
        <v>18690</v>
      </c>
      <c r="C299" s="2" t="n">
        <v>539.261691006</v>
      </c>
      <c r="D299" s="2" t="n">
        <v>0.570572983677173</v>
      </c>
      <c r="E299" s="2" t="s">
        <v>18691</v>
      </c>
      <c r="F299" s="2" t="s">
        <v>15919</v>
      </c>
      <c r="G299" s="2" t="s">
        <v>18692</v>
      </c>
      <c r="H299" s="2" t="s">
        <v>18693</v>
      </c>
      <c r="I299" s="2" t="s">
        <v>18694</v>
      </c>
      <c r="J299" s="2" t="s">
        <v>18695</v>
      </c>
      <c r="K299" s="2" t="s">
        <v>29</v>
      </c>
      <c r="L299" s="2" t="s">
        <v>18696</v>
      </c>
      <c r="M299" s="2" t="s">
        <v>18697</v>
      </c>
      <c r="N299" s="2" t="s">
        <v>18698</v>
      </c>
      <c r="O299" s="2" t="s">
        <v>18699</v>
      </c>
      <c r="P299" s="2" t="s">
        <v>18700</v>
      </c>
      <c r="Q299" s="2" t="s">
        <v>18701</v>
      </c>
      <c r="R299" s="2" t="s">
        <v>1490</v>
      </c>
      <c r="S299" s="2" t="s">
        <v>1491</v>
      </c>
      <c r="T299" s="2" t="s">
        <v>1492</v>
      </c>
      <c r="U299" s="2" t="s">
        <v>39</v>
      </c>
      <c r="V299" s="2" t="n">
        <v>1</v>
      </c>
    </row>
    <row r="300">
      <c r="A300" s="2" t="n">
        <v>299</v>
      </c>
      <c r="B300" s="2" t="s">
        <v>18702</v>
      </c>
      <c r="C300" s="2" t="n">
        <v>540.344967126</v>
      </c>
      <c r="D300" s="2" t="n">
        <v>5.52150068087278</v>
      </c>
      <c r="E300" s="2" t="s">
        <v>18703</v>
      </c>
      <c r="F300" s="2" t="s">
        <v>15919</v>
      </c>
      <c r="G300" s="2" t="s">
        <v>18704</v>
      </c>
      <c r="H300" s="2" t="s">
        <v>18705</v>
      </c>
      <c r="I300" s="2" t="s">
        <v>18706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18707</v>
      </c>
      <c r="Q300" s="2" t="s">
        <v>18708</v>
      </c>
      <c r="R300" s="2" t="s">
        <v>1490</v>
      </c>
      <c r="S300" s="2" t="s">
        <v>1491</v>
      </c>
      <c r="T300" s="2" t="s">
        <v>3884</v>
      </c>
      <c r="U300" s="2" t="s">
        <v>29</v>
      </c>
      <c r="V300" s="2" t="n">
        <v>1</v>
      </c>
    </row>
    <row r="301">
      <c r="A301" s="2" t="n">
        <v>300</v>
      </c>
      <c r="B301" s="2" t="s">
        <v>18709</v>
      </c>
      <c r="C301" s="2" t="n">
        <v>540.535021079</v>
      </c>
      <c r="D301" s="2" t="n">
        <v>1.09054568783635</v>
      </c>
      <c r="E301" s="2" t="s">
        <v>18710</v>
      </c>
      <c r="F301" s="2" t="s">
        <v>15649</v>
      </c>
      <c r="G301" s="2" t="s">
        <v>18711</v>
      </c>
      <c r="H301" s="2" t="s">
        <v>18712</v>
      </c>
      <c r="I301" s="2" t="s">
        <v>18713</v>
      </c>
      <c r="J301" s="2" t="s">
        <v>18714</v>
      </c>
      <c r="K301" s="2" t="s">
        <v>18715</v>
      </c>
      <c r="L301" s="2" t="s">
        <v>29</v>
      </c>
      <c r="M301" s="2" t="s">
        <v>18716</v>
      </c>
      <c r="N301" s="2" t="s">
        <v>18717</v>
      </c>
      <c r="O301" s="2" t="s">
        <v>18718</v>
      </c>
      <c r="P301" s="2" t="s">
        <v>18719</v>
      </c>
      <c r="Q301" s="2" t="s">
        <v>18720</v>
      </c>
      <c r="R301" s="2" t="s">
        <v>1490</v>
      </c>
      <c r="S301" s="2" t="s">
        <v>8433</v>
      </c>
      <c r="T301" s="2" t="s">
        <v>18721</v>
      </c>
      <c r="U301" s="2" t="s">
        <v>29</v>
      </c>
      <c r="V301" s="2" t="n">
        <v>1</v>
      </c>
    </row>
    <row r="302">
      <c r="A302" s="2" t="n">
        <v>301</v>
      </c>
      <c r="B302" s="2" t="s">
        <v>18722</v>
      </c>
      <c r="C302" s="2" t="n">
        <v>541.056309928</v>
      </c>
      <c r="D302" s="2" t="n">
        <v>0.310416322198955</v>
      </c>
      <c r="E302" s="2" t="s">
        <v>18723</v>
      </c>
      <c r="F302" s="2" t="s">
        <v>15778</v>
      </c>
      <c r="G302" s="2" t="s">
        <v>18724</v>
      </c>
      <c r="H302" s="2" t="s">
        <v>18725</v>
      </c>
      <c r="I302" s="2" t="s">
        <v>18726</v>
      </c>
      <c r="J302" s="2" t="s">
        <v>18727</v>
      </c>
      <c r="K302" s="2" t="s">
        <v>29</v>
      </c>
      <c r="L302" s="2" t="s">
        <v>18728</v>
      </c>
      <c r="M302" s="2" t="s">
        <v>18729</v>
      </c>
      <c r="N302" s="2" t="s">
        <v>18730</v>
      </c>
      <c r="O302" s="2" t="s">
        <v>18731</v>
      </c>
      <c r="P302" s="2" t="s">
        <v>18732</v>
      </c>
      <c r="Q302" s="2" t="s">
        <v>18733</v>
      </c>
      <c r="R302" s="2" t="s">
        <v>502</v>
      </c>
      <c r="S302" s="2" t="s">
        <v>503</v>
      </c>
      <c r="T302" s="2" t="s">
        <v>1964</v>
      </c>
      <c r="U302" s="2" t="s">
        <v>39</v>
      </c>
      <c r="V302" s="2" t="n">
        <v>1</v>
      </c>
    </row>
    <row r="303">
      <c r="A303" s="2" t="n">
        <v>302</v>
      </c>
      <c r="B303" s="2" t="s">
        <v>18734</v>
      </c>
      <c r="C303" s="2" t="n">
        <v>541.280182942</v>
      </c>
      <c r="D303" s="2" t="n">
        <v>8.56515381457271</v>
      </c>
      <c r="E303" s="2" t="s">
        <v>18735</v>
      </c>
      <c r="F303" s="2" t="s">
        <v>15611</v>
      </c>
      <c r="G303" s="2" t="s">
        <v>18736</v>
      </c>
      <c r="H303" s="2" t="s">
        <v>18737</v>
      </c>
      <c r="I303" s="2" t="s">
        <v>18738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18739</v>
      </c>
      <c r="O303" s="2" t="s">
        <v>18740</v>
      </c>
      <c r="P303" s="2" t="s">
        <v>18741</v>
      </c>
      <c r="Q303" s="2" t="s">
        <v>18742</v>
      </c>
      <c r="R303" s="2" t="s">
        <v>1490</v>
      </c>
      <c r="S303" s="2" t="s">
        <v>4971</v>
      </c>
      <c r="T303" s="2" t="s">
        <v>5966</v>
      </c>
      <c r="U303" s="2" t="s">
        <v>29</v>
      </c>
      <c r="V303" s="2" t="n">
        <v>1</v>
      </c>
    </row>
    <row r="304">
      <c r="A304" s="2" t="n">
        <v>303</v>
      </c>
      <c r="B304" s="2" t="s">
        <v>18743</v>
      </c>
      <c r="C304" s="2" t="n">
        <v>542.308820793</v>
      </c>
      <c r="D304" s="2" t="n">
        <v>4.23927541739312</v>
      </c>
      <c r="E304" s="2" t="s">
        <v>18744</v>
      </c>
      <c r="F304" s="2" t="s">
        <v>15858</v>
      </c>
      <c r="G304" s="2" t="s">
        <v>18745</v>
      </c>
      <c r="H304" s="2" t="s">
        <v>18746</v>
      </c>
      <c r="I304" s="2" t="s">
        <v>18747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18748</v>
      </c>
      <c r="Q304" s="2" t="s">
        <v>18749</v>
      </c>
      <c r="R304" s="2" t="s">
        <v>1490</v>
      </c>
      <c r="S304" s="2" t="s">
        <v>1491</v>
      </c>
      <c r="T304" s="2" t="s">
        <v>3884</v>
      </c>
      <c r="U304" s="2" t="s">
        <v>29</v>
      </c>
      <c r="V304" s="2" t="n">
        <v>1</v>
      </c>
    </row>
    <row r="305">
      <c r="A305" s="2" t="n">
        <v>304</v>
      </c>
      <c r="B305" s="2" t="s">
        <v>18750</v>
      </c>
      <c r="C305" s="2" t="n">
        <v>544.8695481</v>
      </c>
      <c r="D305" s="2" t="n">
        <v>0.728670905530084</v>
      </c>
      <c r="E305" s="2" t="s">
        <v>18751</v>
      </c>
      <c r="F305" s="2" t="s">
        <v>15722</v>
      </c>
      <c r="G305" s="2" t="s">
        <v>18752</v>
      </c>
      <c r="H305" s="2" t="s">
        <v>18753</v>
      </c>
      <c r="I305" s="2" t="s">
        <v>18754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18755</v>
      </c>
      <c r="O305" s="2" t="s">
        <v>29</v>
      </c>
      <c r="P305" s="2" t="s">
        <v>18756</v>
      </c>
      <c r="Q305" s="2" t="s">
        <v>18757</v>
      </c>
      <c r="R305" s="2" t="s">
        <v>502</v>
      </c>
      <c r="S305" s="2" t="s">
        <v>503</v>
      </c>
      <c r="T305" s="2" t="s">
        <v>2174</v>
      </c>
      <c r="U305" s="2" t="s">
        <v>29</v>
      </c>
      <c r="V305" s="2" t="n">
        <v>1</v>
      </c>
    </row>
    <row r="306">
      <c r="A306" s="2" t="n">
        <v>305</v>
      </c>
      <c r="B306" s="2" t="s">
        <v>18758</v>
      </c>
      <c r="C306" s="2" t="n">
        <v>545.063325552</v>
      </c>
      <c r="D306" s="2" t="n">
        <v>4.15926067244378</v>
      </c>
      <c r="E306" s="2" t="s">
        <v>18759</v>
      </c>
      <c r="F306" s="2" t="s">
        <v>15919</v>
      </c>
      <c r="G306" s="2" t="s">
        <v>18760</v>
      </c>
      <c r="H306" s="2" t="s">
        <v>18761</v>
      </c>
      <c r="I306" s="2" t="s">
        <v>18762</v>
      </c>
      <c r="J306" s="2" t="s">
        <v>18763</v>
      </c>
      <c r="K306" s="2" t="s">
        <v>29</v>
      </c>
      <c r="L306" s="2" t="s">
        <v>29</v>
      </c>
      <c r="M306" s="2" t="s">
        <v>29</v>
      </c>
      <c r="N306" s="2" t="s">
        <v>18764</v>
      </c>
      <c r="O306" s="2" t="s">
        <v>18765</v>
      </c>
      <c r="P306" s="2" t="s">
        <v>18766</v>
      </c>
      <c r="Q306" s="2" t="s">
        <v>18767</v>
      </c>
      <c r="R306" s="2" t="s">
        <v>502</v>
      </c>
      <c r="S306" s="2" t="s">
        <v>18768</v>
      </c>
      <c r="T306" s="2" t="s">
        <v>205</v>
      </c>
      <c r="U306" s="2" t="s">
        <v>29</v>
      </c>
      <c r="V306" s="2" t="n">
        <v>1</v>
      </c>
    </row>
    <row r="307">
      <c r="A307" s="2" t="n">
        <v>306</v>
      </c>
      <c r="B307" s="2" t="s">
        <v>18769</v>
      </c>
      <c r="C307" s="2" t="n">
        <v>547.084694104</v>
      </c>
      <c r="D307" s="2" t="n">
        <v>1.21987719469681</v>
      </c>
      <c r="E307" s="2" t="s">
        <v>18770</v>
      </c>
      <c r="F307" s="2" t="s">
        <v>17922</v>
      </c>
      <c r="G307" s="2" t="s">
        <v>18771</v>
      </c>
      <c r="H307" s="2" t="s">
        <v>18772</v>
      </c>
      <c r="I307" s="2" t="s">
        <v>18773</v>
      </c>
      <c r="J307" s="2" t="s">
        <v>18774</v>
      </c>
      <c r="K307" s="2" t="s">
        <v>29</v>
      </c>
      <c r="L307" s="2" t="s">
        <v>18775</v>
      </c>
      <c r="M307" s="2" t="s">
        <v>29</v>
      </c>
      <c r="N307" s="2" t="s">
        <v>18776</v>
      </c>
      <c r="O307" s="2" t="s">
        <v>18777</v>
      </c>
      <c r="P307" s="2" t="s">
        <v>18778</v>
      </c>
      <c r="Q307" s="2" t="s">
        <v>18779</v>
      </c>
      <c r="R307" s="2" t="s">
        <v>502</v>
      </c>
      <c r="S307" s="2" t="s">
        <v>503</v>
      </c>
      <c r="T307" s="2" t="s">
        <v>5917</v>
      </c>
      <c r="U307" s="2" t="s">
        <v>39</v>
      </c>
      <c r="V307" s="2" t="n">
        <v>1</v>
      </c>
    </row>
    <row r="308">
      <c r="A308" s="2" t="n">
        <v>307</v>
      </c>
      <c r="B308" s="2" t="s">
        <v>18780</v>
      </c>
      <c r="C308" s="2" t="n">
        <v>547.292085024</v>
      </c>
      <c r="D308" s="2" t="n">
        <v>2.36632575283729</v>
      </c>
      <c r="E308" s="2" t="s">
        <v>18781</v>
      </c>
      <c r="F308" s="2" t="s">
        <v>15611</v>
      </c>
      <c r="G308" s="2" t="s">
        <v>18782</v>
      </c>
      <c r="H308" s="2" t="s">
        <v>18783</v>
      </c>
      <c r="I308" s="2" t="s">
        <v>18784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18785</v>
      </c>
      <c r="O308" s="2" t="s">
        <v>29</v>
      </c>
      <c r="P308" s="2" t="s">
        <v>18786</v>
      </c>
      <c r="Q308" s="2" t="s">
        <v>18787</v>
      </c>
      <c r="R308" s="2" t="s">
        <v>355</v>
      </c>
      <c r="S308" s="2" t="s">
        <v>4796</v>
      </c>
      <c r="T308" s="2" t="s">
        <v>4797</v>
      </c>
      <c r="U308" s="2" t="s">
        <v>29</v>
      </c>
      <c r="V308" s="2" t="n">
        <v>1</v>
      </c>
    </row>
    <row r="309">
      <c r="A309" s="2" t="n">
        <v>308</v>
      </c>
      <c r="B309" s="2" t="s">
        <v>18788</v>
      </c>
      <c r="C309" s="2" t="n">
        <v>547.542449548</v>
      </c>
      <c r="D309" s="2" t="n">
        <v>9.61099206145273</v>
      </c>
      <c r="E309" s="2" t="s">
        <v>18789</v>
      </c>
      <c r="F309" s="2" t="s">
        <v>15858</v>
      </c>
      <c r="G309" s="2" t="s">
        <v>18790</v>
      </c>
      <c r="H309" s="2" t="s">
        <v>18791</v>
      </c>
      <c r="I309" s="2" t="s">
        <v>18792</v>
      </c>
      <c r="J309" s="2" t="s">
        <v>18793</v>
      </c>
      <c r="K309" s="2" t="s">
        <v>72</v>
      </c>
      <c r="L309" s="2" t="s">
        <v>72</v>
      </c>
      <c r="M309" s="2" t="s">
        <v>72</v>
      </c>
      <c r="N309" s="2" t="s">
        <v>18794</v>
      </c>
      <c r="O309" s="2" t="s">
        <v>18795</v>
      </c>
      <c r="P309" s="2" t="s">
        <v>18796</v>
      </c>
      <c r="Q309" s="2" t="s">
        <v>18797</v>
      </c>
      <c r="R309" s="2" t="s">
        <v>575</v>
      </c>
      <c r="S309" s="2" t="s">
        <v>576</v>
      </c>
      <c r="T309" s="2" t="s">
        <v>18798</v>
      </c>
      <c r="U309" s="2" t="s">
        <v>29</v>
      </c>
      <c r="V309" s="2" t="n">
        <v>2</v>
      </c>
    </row>
    <row r="310">
      <c r="A310" s="2" t="n">
        <v>309</v>
      </c>
      <c r="B310" s="2" t="s">
        <v>18799</v>
      </c>
      <c r="C310" s="2" t="n">
        <v>548.049424</v>
      </c>
      <c r="D310" s="2" t="n">
        <v>8.01175248899555</v>
      </c>
      <c r="E310" s="2" t="s">
        <v>18800</v>
      </c>
      <c r="F310" s="2" t="s">
        <v>15919</v>
      </c>
      <c r="G310" s="2" t="s">
        <v>18801</v>
      </c>
      <c r="H310" s="2" t="s">
        <v>18802</v>
      </c>
      <c r="I310" s="2" t="s">
        <v>18803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18804</v>
      </c>
      <c r="Q310" s="2" t="s">
        <v>18805</v>
      </c>
      <c r="R310" s="2" t="s">
        <v>355</v>
      </c>
      <c r="S310" s="2" t="s">
        <v>1316</v>
      </c>
      <c r="T310" s="2" t="s">
        <v>4872</v>
      </c>
      <c r="U310" s="2" t="s">
        <v>29</v>
      </c>
      <c r="V310" s="2" t="n">
        <v>1</v>
      </c>
    </row>
    <row r="311">
      <c r="A311" s="2" t="n">
        <v>310</v>
      </c>
      <c r="B311" s="2" t="s">
        <v>18806</v>
      </c>
      <c r="C311" s="2" t="n">
        <v>548.8032135</v>
      </c>
      <c r="D311" s="2" t="n">
        <v>3.55501860361096</v>
      </c>
      <c r="E311" s="2" t="s">
        <v>18807</v>
      </c>
      <c r="F311" s="2" t="s">
        <v>15722</v>
      </c>
      <c r="G311" s="2" t="s">
        <v>18808</v>
      </c>
      <c r="H311" s="2" t="s">
        <v>18809</v>
      </c>
      <c r="I311" s="2" t="s">
        <v>18810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18811</v>
      </c>
      <c r="O311" s="2" t="s">
        <v>29</v>
      </c>
      <c r="P311" s="2" t="s">
        <v>18812</v>
      </c>
      <c r="Q311" s="2" t="s">
        <v>18813</v>
      </c>
      <c r="R311" s="2" t="s">
        <v>502</v>
      </c>
      <c r="S311" s="2" t="s">
        <v>503</v>
      </c>
      <c r="T311" s="2" t="s">
        <v>5144</v>
      </c>
      <c r="U311" s="2" t="s">
        <v>29</v>
      </c>
      <c r="V311" s="2" t="n">
        <v>1</v>
      </c>
    </row>
    <row r="312">
      <c r="A312" s="2" t="n">
        <v>311</v>
      </c>
      <c r="B312" s="2" t="s">
        <v>18814</v>
      </c>
      <c r="C312" s="2" t="n">
        <v>549.286605724</v>
      </c>
      <c r="D312" s="2" t="n">
        <v>2.30058737612952</v>
      </c>
      <c r="E312" s="2" t="s">
        <v>18815</v>
      </c>
      <c r="F312" s="2" t="s">
        <v>15611</v>
      </c>
      <c r="G312" s="2" t="s">
        <v>18816</v>
      </c>
      <c r="H312" s="2" t="s">
        <v>18817</v>
      </c>
      <c r="I312" s="2" t="s">
        <v>18818</v>
      </c>
      <c r="J312" s="2" t="s">
        <v>18819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18820</v>
      </c>
      <c r="P312" s="2" t="s">
        <v>18821</v>
      </c>
      <c r="Q312" s="2" t="s">
        <v>18822</v>
      </c>
      <c r="R312" s="2" t="s">
        <v>355</v>
      </c>
      <c r="S312" s="2" t="s">
        <v>14592</v>
      </c>
      <c r="T312" s="2" t="s">
        <v>14593</v>
      </c>
      <c r="U312" s="2" t="s">
        <v>29</v>
      </c>
      <c r="V312" s="2" t="n">
        <v>1</v>
      </c>
    </row>
    <row r="313">
      <c r="A313" s="2" t="n">
        <v>312</v>
      </c>
      <c r="B313" s="2" t="s">
        <v>18823</v>
      </c>
      <c r="C313" s="2" t="n">
        <v>550.808314754</v>
      </c>
      <c r="D313" s="2" t="n">
        <v>2.19849380036332</v>
      </c>
      <c r="E313" s="2" t="s">
        <v>18824</v>
      </c>
      <c r="F313" s="2" t="s">
        <v>16225</v>
      </c>
      <c r="G313" s="2" t="s">
        <v>18825</v>
      </c>
      <c r="H313" s="2" t="s">
        <v>18826</v>
      </c>
      <c r="I313" s="2" t="s">
        <v>18827</v>
      </c>
      <c r="J313" s="2" t="s">
        <v>18828</v>
      </c>
      <c r="K313" s="2" t="s">
        <v>29</v>
      </c>
      <c r="L313" s="2" t="s">
        <v>18829</v>
      </c>
      <c r="M313" s="2" t="s">
        <v>18830</v>
      </c>
      <c r="N313" s="2" t="s">
        <v>18831</v>
      </c>
      <c r="O313" s="2" t="s">
        <v>18832</v>
      </c>
      <c r="P313" s="2" t="s">
        <v>18833</v>
      </c>
      <c r="Q313" s="2" t="s">
        <v>18834</v>
      </c>
      <c r="R313" s="2" t="s">
        <v>49</v>
      </c>
      <c r="S313" s="2" t="s">
        <v>782</v>
      </c>
      <c r="T313" s="2" t="s">
        <v>18835</v>
      </c>
      <c r="U313" s="2" t="s">
        <v>39</v>
      </c>
      <c r="V313" s="2" t="n">
        <v>1</v>
      </c>
    </row>
    <row r="314">
      <c r="A314" s="2" t="n">
        <v>313</v>
      </c>
      <c r="B314" s="2" t="s">
        <v>18836</v>
      </c>
      <c r="C314" s="2" t="n">
        <v>553.470069835</v>
      </c>
      <c r="D314" s="2" t="n">
        <v>2.07213486384351</v>
      </c>
      <c r="E314" s="2" t="s">
        <v>18837</v>
      </c>
      <c r="F314" s="2" t="s">
        <v>15649</v>
      </c>
      <c r="G314" s="2" t="s">
        <v>18838</v>
      </c>
      <c r="H314" s="2" t="s">
        <v>18839</v>
      </c>
      <c r="I314" s="2" t="s">
        <v>18840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18841</v>
      </c>
      <c r="O314" s="2" t="s">
        <v>29</v>
      </c>
      <c r="P314" s="2" t="s">
        <v>18842</v>
      </c>
      <c r="Q314" s="2" t="s">
        <v>18843</v>
      </c>
      <c r="R314" s="2" t="s">
        <v>355</v>
      </c>
      <c r="S314" s="2" t="s">
        <v>5806</v>
      </c>
      <c r="T314" s="2" t="s">
        <v>5807</v>
      </c>
      <c r="U314" s="2" t="s">
        <v>29</v>
      </c>
      <c r="V314" s="2" t="n">
        <v>1</v>
      </c>
    </row>
    <row r="315">
      <c r="A315" s="2" t="n">
        <v>314</v>
      </c>
      <c r="B315" s="2" t="s">
        <v>18844</v>
      </c>
      <c r="C315" s="2" t="n">
        <v>554.277795443</v>
      </c>
      <c r="D315" s="2" t="n">
        <v>3.64065063681213</v>
      </c>
      <c r="E315" s="2" t="s">
        <v>18845</v>
      </c>
      <c r="F315" s="2" t="s">
        <v>15858</v>
      </c>
      <c r="G315" s="2" t="s">
        <v>18846</v>
      </c>
      <c r="H315" s="2" t="s">
        <v>18847</v>
      </c>
      <c r="I315" s="2" t="s">
        <v>18848</v>
      </c>
      <c r="J315" s="2" t="s">
        <v>72</v>
      </c>
      <c r="K315" s="2" t="s">
        <v>72</v>
      </c>
      <c r="L315" s="2" t="s">
        <v>72</v>
      </c>
      <c r="M315" s="2" t="s">
        <v>72</v>
      </c>
      <c r="N315" s="2" t="s">
        <v>18849</v>
      </c>
      <c r="O315" s="2" t="s">
        <v>72</v>
      </c>
      <c r="P315" s="2" t="s">
        <v>18850</v>
      </c>
      <c r="Q315" s="2" t="s">
        <v>18851</v>
      </c>
      <c r="R315" s="2" t="s">
        <v>537</v>
      </c>
      <c r="S315" s="2" t="s">
        <v>18852</v>
      </c>
      <c r="T315" s="2" t="s">
        <v>18853</v>
      </c>
      <c r="U315" s="2" t="s">
        <v>29</v>
      </c>
      <c r="V315" s="2" t="n">
        <v>2</v>
      </c>
    </row>
    <row r="316">
      <c r="A316" s="2" t="n">
        <v>315</v>
      </c>
      <c r="B316" s="2" t="s">
        <v>18854</v>
      </c>
      <c r="C316" s="2" t="n">
        <v>555.05333304</v>
      </c>
      <c r="D316" s="2" t="n">
        <v>9.70005933900069</v>
      </c>
      <c r="E316" s="2" t="s">
        <v>18855</v>
      </c>
      <c r="F316" s="2" t="s">
        <v>15649</v>
      </c>
      <c r="G316" s="2" t="s">
        <v>18856</v>
      </c>
      <c r="H316" s="2" t="s">
        <v>18857</v>
      </c>
      <c r="I316" s="2" t="s">
        <v>18858</v>
      </c>
      <c r="J316" s="2" t="s">
        <v>29</v>
      </c>
      <c r="K316" s="2" t="s">
        <v>29</v>
      </c>
      <c r="L316" s="2" t="s">
        <v>18859</v>
      </c>
      <c r="M316" s="2" t="s">
        <v>18860</v>
      </c>
      <c r="N316" s="2" t="s">
        <v>18861</v>
      </c>
      <c r="O316" s="2" t="s">
        <v>18862</v>
      </c>
      <c r="P316" s="2" t="s">
        <v>18863</v>
      </c>
      <c r="Q316" s="2" t="s">
        <v>18864</v>
      </c>
      <c r="R316" s="2" t="s">
        <v>355</v>
      </c>
      <c r="S316" s="2" t="s">
        <v>4796</v>
      </c>
      <c r="T316" s="2" t="s">
        <v>4797</v>
      </c>
      <c r="U316" s="2" t="s">
        <v>39</v>
      </c>
      <c r="V316" s="2" t="n">
        <v>1</v>
      </c>
    </row>
    <row r="317">
      <c r="A317" s="2" t="n">
        <v>316</v>
      </c>
      <c r="B317" s="2" t="s">
        <v>18865</v>
      </c>
      <c r="C317" s="2" t="n">
        <v>556.162395585</v>
      </c>
      <c r="D317" s="2" t="n">
        <v>0.0679141922449358</v>
      </c>
      <c r="E317" s="2" t="s">
        <v>18866</v>
      </c>
      <c r="F317" s="2" t="s">
        <v>15722</v>
      </c>
      <c r="G317" s="2" t="s">
        <v>18867</v>
      </c>
      <c r="H317" s="2" t="s">
        <v>18868</v>
      </c>
      <c r="I317" s="2" t="s">
        <v>18869</v>
      </c>
      <c r="J317" s="2" t="s">
        <v>18870</v>
      </c>
      <c r="K317" s="2" t="s">
        <v>29</v>
      </c>
      <c r="L317" s="2" t="s">
        <v>29</v>
      </c>
      <c r="M317" s="2" t="s">
        <v>29</v>
      </c>
      <c r="N317" s="2" t="s">
        <v>18871</v>
      </c>
      <c r="O317" s="2" t="s">
        <v>29</v>
      </c>
      <c r="P317" s="2" t="s">
        <v>18872</v>
      </c>
      <c r="Q317" s="2" t="s">
        <v>18873</v>
      </c>
      <c r="R317" s="2" t="s">
        <v>502</v>
      </c>
      <c r="S317" s="2" t="s">
        <v>503</v>
      </c>
      <c r="T317" s="2" t="s">
        <v>2651</v>
      </c>
      <c r="U317" s="2" t="s">
        <v>29</v>
      </c>
      <c r="V317" s="2" t="n">
        <v>1</v>
      </c>
    </row>
    <row r="318">
      <c r="A318" s="2" t="n">
        <v>317</v>
      </c>
      <c r="B318" s="2" t="s">
        <v>18874</v>
      </c>
      <c r="C318" s="2" t="n">
        <v>557.0955474</v>
      </c>
      <c r="D318" s="2" t="n">
        <v>1.24259804296633</v>
      </c>
      <c r="E318" s="2" t="s">
        <v>18875</v>
      </c>
      <c r="F318" s="2" t="s">
        <v>15858</v>
      </c>
      <c r="G318" s="2" t="s">
        <v>18876</v>
      </c>
      <c r="H318" s="2" t="s">
        <v>18877</v>
      </c>
      <c r="I318" s="2" t="s">
        <v>18878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18879</v>
      </c>
      <c r="O318" s="2" t="s">
        <v>29</v>
      </c>
      <c r="P318" s="2" t="s">
        <v>18880</v>
      </c>
      <c r="Q318" s="2" t="s">
        <v>18881</v>
      </c>
      <c r="R318" s="2" t="s">
        <v>355</v>
      </c>
      <c r="S318" s="2" t="s">
        <v>6332</v>
      </c>
      <c r="T318" s="2" t="s">
        <v>205</v>
      </c>
      <c r="U318" s="2" t="s">
        <v>29</v>
      </c>
      <c r="V318" s="2" t="n">
        <v>1</v>
      </c>
    </row>
    <row r="319">
      <c r="A319" s="2" t="n">
        <v>318</v>
      </c>
      <c r="B319" s="2" t="s">
        <v>18882</v>
      </c>
      <c r="C319" s="2" t="n">
        <v>558.295647471</v>
      </c>
      <c r="D319" s="2" t="n">
        <v>8.06839434084278</v>
      </c>
      <c r="E319" s="2" t="s">
        <v>18883</v>
      </c>
      <c r="F319" s="2" t="s">
        <v>15919</v>
      </c>
      <c r="G319" s="2" t="s">
        <v>18884</v>
      </c>
      <c r="H319" s="2" t="s">
        <v>18885</v>
      </c>
      <c r="I319" s="2" t="s">
        <v>18886</v>
      </c>
      <c r="J319" s="2" t="s">
        <v>18887</v>
      </c>
      <c r="K319" s="2" t="s">
        <v>18888</v>
      </c>
      <c r="L319" s="2" t="s">
        <v>29</v>
      </c>
      <c r="M319" s="2" t="s">
        <v>18889</v>
      </c>
      <c r="N319" s="2" t="s">
        <v>18890</v>
      </c>
      <c r="O319" s="2" t="s">
        <v>18891</v>
      </c>
      <c r="P319" s="2" t="s">
        <v>18892</v>
      </c>
      <c r="Q319" s="2" t="s">
        <v>18893</v>
      </c>
      <c r="R319" s="2" t="s">
        <v>1490</v>
      </c>
      <c r="S319" s="2" t="s">
        <v>4236</v>
      </c>
      <c r="T319" s="2" t="s">
        <v>8613</v>
      </c>
      <c r="U319" s="2" t="s">
        <v>29</v>
      </c>
      <c r="V319" s="2" t="n">
        <v>1</v>
      </c>
    </row>
    <row r="320">
      <c r="A320" s="2" t="n">
        <v>319</v>
      </c>
      <c r="B320" s="2" t="s">
        <v>18894</v>
      </c>
      <c r="C320" s="2" t="n">
        <v>559.287750997</v>
      </c>
      <c r="D320" s="2" t="n">
        <v>4.40765597190624</v>
      </c>
      <c r="E320" s="2" t="s">
        <v>18895</v>
      </c>
      <c r="F320" s="2" t="s">
        <v>15858</v>
      </c>
      <c r="G320" s="2" t="s">
        <v>18896</v>
      </c>
      <c r="H320" s="2" t="s">
        <v>18897</v>
      </c>
      <c r="I320" s="2" t="s">
        <v>18898</v>
      </c>
      <c r="J320" s="2" t="s">
        <v>18899</v>
      </c>
      <c r="K320" s="2" t="s">
        <v>72</v>
      </c>
      <c r="L320" s="2" t="s">
        <v>72</v>
      </c>
      <c r="M320" s="2" t="s">
        <v>72</v>
      </c>
      <c r="N320" s="2" t="s">
        <v>18900</v>
      </c>
      <c r="O320" s="2" t="s">
        <v>18901</v>
      </c>
      <c r="P320" s="2" t="s">
        <v>18902</v>
      </c>
      <c r="Q320" s="2" t="s">
        <v>18903</v>
      </c>
      <c r="R320" s="2" t="s">
        <v>575</v>
      </c>
      <c r="S320" s="2" t="s">
        <v>6794</v>
      </c>
      <c r="T320" s="2" t="s">
        <v>18904</v>
      </c>
      <c r="U320" s="2" t="s">
        <v>29</v>
      </c>
      <c r="V320" s="2" t="n">
        <v>2</v>
      </c>
    </row>
    <row r="321">
      <c r="A321" s="2" t="n">
        <v>320</v>
      </c>
      <c r="B321" s="2" t="s">
        <v>18905</v>
      </c>
      <c r="C321" s="2" t="n">
        <v>562.317277476</v>
      </c>
      <c r="D321" s="2" t="n">
        <v>1.87552216940391</v>
      </c>
      <c r="E321" s="2" t="s">
        <v>18906</v>
      </c>
      <c r="F321" s="2" t="s">
        <v>15858</v>
      </c>
      <c r="G321" s="2" t="s">
        <v>18907</v>
      </c>
      <c r="H321" s="2" t="s">
        <v>18908</v>
      </c>
      <c r="I321" s="2" t="s">
        <v>18909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18910</v>
      </c>
      <c r="O321" s="2" t="s">
        <v>29</v>
      </c>
      <c r="P321" s="2" t="s">
        <v>18911</v>
      </c>
      <c r="Q321" s="2" t="s">
        <v>18912</v>
      </c>
      <c r="R321" s="2" t="s">
        <v>1490</v>
      </c>
      <c r="S321" s="2" t="s">
        <v>3546</v>
      </c>
      <c r="T321" s="2" t="s">
        <v>9677</v>
      </c>
      <c r="U321" s="2" t="s">
        <v>29</v>
      </c>
      <c r="V321" s="2" t="n">
        <v>1</v>
      </c>
    </row>
    <row r="322">
      <c r="A322" s="2" t="n">
        <v>321</v>
      </c>
      <c r="B322" s="2" t="s">
        <v>18913</v>
      </c>
      <c r="C322" s="2" t="n">
        <v>563.051028</v>
      </c>
      <c r="D322" s="2" t="n">
        <v>5.40850377869242</v>
      </c>
      <c r="E322" s="2" t="s">
        <v>18914</v>
      </c>
      <c r="F322" s="2" t="s">
        <v>15858</v>
      </c>
      <c r="G322" s="2" t="s">
        <v>18915</v>
      </c>
      <c r="H322" s="2" t="s">
        <v>18916</v>
      </c>
      <c r="I322" s="2" t="s">
        <v>18917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18918</v>
      </c>
      <c r="Q322" s="2" t="s">
        <v>18919</v>
      </c>
      <c r="R322" s="2" t="s">
        <v>2590</v>
      </c>
      <c r="S322" s="2" t="s">
        <v>3279</v>
      </c>
      <c r="T322" s="2" t="s">
        <v>205</v>
      </c>
      <c r="U322" s="2" t="s">
        <v>29</v>
      </c>
      <c r="V322" s="2" t="n">
        <v>1</v>
      </c>
    </row>
    <row r="323">
      <c r="A323" s="2" t="n">
        <v>322</v>
      </c>
      <c r="B323" s="2" t="s">
        <v>18920</v>
      </c>
      <c r="C323" s="2" t="n">
        <v>564.066670339</v>
      </c>
      <c r="D323" s="2" t="n">
        <v>2.54237045123225</v>
      </c>
      <c r="E323" s="2" t="s">
        <v>18921</v>
      </c>
      <c r="F323" s="2" t="s">
        <v>15919</v>
      </c>
      <c r="G323" s="2" t="s">
        <v>18922</v>
      </c>
      <c r="H323" s="2" t="s">
        <v>18923</v>
      </c>
      <c r="I323" s="2" t="s">
        <v>18924</v>
      </c>
      <c r="J323" s="2" t="s">
        <v>18925</v>
      </c>
      <c r="K323" s="2" t="s">
        <v>29</v>
      </c>
      <c r="L323" s="2" t="s">
        <v>29</v>
      </c>
      <c r="M323" s="2" t="s">
        <v>18926</v>
      </c>
      <c r="N323" s="2" t="s">
        <v>18927</v>
      </c>
      <c r="O323" s="2" t="s">
        <v>18928</v>
      </c>
      <c r="P323" s="2" t="s">
        <v>18929</v>
      </c>
      <c r="Q323" s="2" t="s">
        <v>18930</v>
      </c>
      <c r="R323" s="2" t="s">
        <v>355</v>
      </c>
      <c r="S323" s="2" t="s">
        <v>4796</v>
      </c>
      <c r="T323" s="2" t="s">
        <v>4797</v>
      </c>
      <c r="U323" s="2" t="s">
        <v>29</v>
      </c>
      <c r="V323" s="2" t="n">
        <v>1</v>
      </c>
    </row>
    <row r="324">
      <c r="A324" s="2" t="n">
        <v>323</v>
      </c>
      <c r="B324" s="2" t="s">
        <v>18931</v>
      </c>
      <c r="C324" s="2" t="n">
        <v>566.550671143</v>
      </c>
      <c r="D324" s="2" t="n">
        <v>4.75421892618213</v>
      </c>
      <c r="E324" s="2" t="s">
        <v>18932</v>
      </c>
      <c r="F324" s="2" t="s">
        <v>15649</v>
      </c>
      <c r="G324" s="2" t="s">
        <v>18933</v>
      </c>
      <c r="H324" s="2" t="s">
        <v>18934</v>
      </c>
      <c r="I324" s="2" t="s">
        <v>18935</v>
      </c>
      <c r="J324" s="2" t="s">
        <v>18936</v>
      </c>
      <c r="K324" s="2" t="s">
        <v>18937</v>
      </c>
      <c r="L324" s="2" t="s">
        <v>18938</v>
      </c>
      <c r="M324" s="2" t="s">
        <v>18939</v>
      </c>
      <c r="N324" s="2" t="s">
        <v>18940</v>
      </c>
      <c r="O324" s="2" t="s">
        <v>18941</v>
      </c>
      <c r="P324" s="2" t="s">
        <v>18942</v>
      </c>
      <c r="Q324" s="2" t="s">
        <v>18943</v>
      </c>
      <c r="R324" s="2" t="s">
        <v>1490</v>
      </c>
      <c r="S324" s="2" t="s">
        <v>8433</v>
      </c>
      <c r="T324" s="2" t="s">
        <v>18721</v>
      </c>
      <c r="U324" s="2" t="s">
        <v>39</v>
      </c>
      <c r="V324" s="2" t="n">
        <v>1</v>
      </c>
    </row>
    <row r="325">
      <c r="A325" s="2" t="n">
        <v>324</v>
      </c>
      <c r="B325" s="2" t="s">
        <v>18944</v>
      </c>
      <c r="C325" s="2" t="n">
        <v>568.0969272</v>
      </c>
      <c r="D325" s="2" t="n">
        <v>5.63185877338177</v>
      </c>
      <c r="E325" s="2" t="s">
        <v>18945</v>
      </c>
      <c r="F325" s="2" t="s">
        <v>15858</v>
      </c>
      <c r="G325" s="2" t="s">
        <v>18946</v>
      </c>
      <c r="H325" s="2" t="s">
        <v>18947</v>
      </c>
      <c r="I325" s="2" t="s">
        <v>18948</v>
      </c>
      <c r="J325" s="2" t="s">
        <v>18949</v>
      </c>
      <c r="K325" s="2" t="s">
        <v>29</v>
      </c>
      <c r="L325" s="2" t="s">
        <v>29</v>
      </c>
      <c r="M325" s="2" t="s">
        <v>29</v>
      </c>
      <c r="N325" s="2" t="s">
        <v>18950</v>
      </c>
      <c r="O325" s="2" t="s">
        <v>29</v>
      </c>
      <c r="P325" s="2" t="s">
        <v>18951</v>
      </c>
      <c r="Q325" s="2" t="s">
        <v>18952</v>
      </c>
      <c r="R325" s="2" t="s">
        <v>355</v>
      </c>
      <c r="S325" s="2" t="s">
        <v>3869</v>
      </c>
      <c r="T325" s="2" t="s">
        <v>3870</v>
      </c>
      <c r="U325" s="2" t="s">
        <v>29</v>
      </c>
      <c r="V325" s="2" t="n">
        <v>1</v>
      </c>
    </row>
    <row r="326">
      <c r="A326" s="2" t="n">
        <v>325</v>
      </c>
      <c r="B326" s="2" t="s">
        <v>18953</v>
      </c>
      <c r="C326" s="2" t="n">
        <v>568.306338109</v>
      </c>
      <c r="D326" s="2" t="n">
        <v>0.0601798056599396</v>
      </c>
      <c r="E326" s="2" t="s">
        <v>18954</v>
      </c>
      <c r="F326" s="2" t="s">
        <v>15611</v>
      </c>
      <c r="G326" s="2" t="s">
        <v>18955</v>
      </c>
      <c r="H326" s="2" t="s">
        <v>18956</v>
      </c>
      <c r="I326" s="2" t="s">
        <v>18957</v>
      </c>
      <c r="J326" s="2" t="s">
        <v>72</v>
      </c>
      <c r="K326" s="2" t="s">
        <v>72</v>
      </c>
      <c r="L326" s="2" t="s">
        <v>72</v>
      </c>
      <c r="M326" s="2" t="s">
        <v>18958</v>
      </c>
      <c r="N326" s="2" t="s">
        <v>18959</v>
      </c>
      <c r="O326" s="2" t="s">
        <v>72</v>
      </c>
      <c r="P326" s="2" t="s">
        <v>18960</v>
      </c>
      <c r="Q326" s="2" t="s">
        <v>18961</v>
      </c>
      <c r="R326" s="2" t="s">
        <v>537</v>
      </c>
      <c r="S326" s="2" t="s">
        <v>5045</v>
      </c>
      <c r="T326" s="2" t="s">
        <v>5046</v>
      </c>
      <c r="U326" s="2" t="s">
        <v>29</v>
      </c>
      <c r="V326" s="2" t="n">
        <v>2</v>
      </c>
    </row>
    <row r="327">
      <c r="A327" s="2" t="n">
        <v>326</v>
      </c>
      <c r="B327" s="2" t="s">
        <v>18962</v>
      </c>
      <c r="C327" s="2" t="n">
        <v>569.071451976</v>
      </c>
      <c r="D327" s="2" t="n">
        <v>6.25363026453297</v>
      </c>
      <c r="E327" s="2" t="s">
        <v>18963</v>
      </c>
      <c r="F327" s="2" t="s">
        <v>15778</v>
      </c>
      <c r="G327" s="2" t="s">
        <v>18964</v>
      </c>
      <c r="H327" s="2" t="s">
        <v>18965</v>
      </c>
      <c r="I327" s="2" t="s">
        <v>18966</v>
      </c>
      <c r="J327" s="2" t="s">
        <v>18967</v>
      </c>
      <c r="K327" s="2" t="s">
        <v>18968</v>
      </c>
      <c r="L327" s="2" t="s">
        <v>18969</v>
      </c>
      <c r="M327" s="2" t="s">
        <v>29</v>
      </c>
      <c r="N327" s="2" t="s">
        <v>18970</v>
      </c>
      <c r="O327" s="2" t="s">
        <v>18971</v>
      </c>
      <c r="P327" s="2" t="s">
        <v>18972</v>
      </c>
      <c r="Q327" s="2" t="s">
        <v>18973</v>
      </c>
      <c r="R327" s="2" t="s">
        <v>502</v>
      </c>
      <c r="S327" s="2" t="s">
        <v>3913</v>
      </c>
      <c r="T327" s="2" t="s">
        <v>15196</v>
      </c>
      <c r="U327" s="2" t="s">
        <v>39</v>
      </c>
      <c r="V327" s="2" t="n">
        <v>1</v>
      </c>
    </row>
    <row r="328">
      <c r="A328" s="2" t="n">
        <v>327</v>
      </c>
      <c r="B328" s="2" t="s">
        <v>18974</v>
      </c>
      <c r="C328" s="2" t="n">
        <v>569.432899108</v>
      </c>
      <c r="D328" s="2" t="n">
        <v>2.10763521671228</v>
      </c>
      <c r="E328" s="2" t="s">
        <v>18975</v>
      </c>
      <c r="F328" s="2" t="s">
        <v>15858</v>
      </c>
      <c r="G328" s="2" t="s">
        <v>18976</v>
      </c>
      <c r="H328" s="2" t="s">
        <v>18977</v>
      </c>
      <c r="I328" s="2" t="s">
        <v>18978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18979</v>
      </c>
      <c r="Q328" s="2" t="s">
        <v>18980</v>
      </c>
      <c r="R328" s="2" t="s">
        <v>1490</v>
      </c>
      <c r="S328" s="2" t="s">
        <v>4971</v>
      </c>
      <c r="T328" s="2" t="s">
        <v>7310</v>
      </c>
      <c r="U328" s="2" t="s">
        <v>29</v>
      </c>
      <c r="V328" s="2" t="n">
        <v>1</v>
      </c>
    </row>
    <row r="329">
      <c r="A329" s="2" t="n">
        <v>328</v>
      </c>
      <c r="B329" s="2" t="s">
        <v>18981</v>
      </c>
      <c r="C329" s="2" t="n">
        <v>576.136968682</v>
      </c>
      <c r="D329" s="2" t="n">
        <v>1.0777350252545</v>
      </c>
      <c r="E329" s="2" t="s">
        <v>18982</v>
      </c>
      <c r="F329" s="2" t="s">
        <v>15722</v>
      </c>
      <c r="G329" s="2" t="s">
        <v>18983</v>
      </c>
      <c r="H329" s="2" t="s">
        <v>18984</v>
      </c>
      <c r="I329" s="2" t="s">
        <v>18985</v>
      </c>
      <c r="J329" s="2" t="s">
        <v>72</v>
      </c>
      <c r="K329" s="2" t="s">
        <v>72</v>
      </c>
      <c r="L329" s="2" t="s">
        <v>72</v>
      </c>
      <c r="M329" s="2" t="s">
        <v>18986</v>
      </c>
      <c r="N329" s="2" t="s">
        <v>18987</v>
      </c>
      <c r="O329" s="2" t="s">
        <v>72</v>
      </c>
      <c r="P329" s="2" t="s">
        <v>18988</v>
      </c>
      <c r="Q329" s="2" t="s">
        <v>18989</v>
      </c>
      <c r="R329" s="2" t="s">
        <v>4405</v>
      </c>
      <c r="S329" s="2" t="s">
        <v>18990</v>
      </c>
      <c r="T329" s="2" t="s">
        <v>247</v>
      </c>
      <c r="U329" s="2" t="s">
        <v>29</v>
      </c>
      <c r="V329" s="2" t="n">
        <v>2</v>
      </c>
    </row>
    <row r="330">
      <c r="A330" s="2" t="n">
        <v>329</v>
      </c>
      <c r="B330" s="2" t="s">
        <v>18991</v>
      </c>
      <c r="C330" s="2" t="n">
        <v>579.535275414</v>
      </c>
      <c r="D330" s="2" t="n">
        <v>6.51676361452464</v>
      </c>
      <c r="E330" s="2" t="s">
        <v>18992</v>
      </c>
      <c r="F330" s="2" t="s">
        <v>15611</v>
      </c>
      <c r="G330" s="2" t="s">
        <v>18993</v>
      </c>
      <c r="H330" s="2" t="s">
        <v>18994</v>
      </c>
      <c r="I330" s="2" t="s">
        <v>18995</v>
      </c>
      <c r="J330" s="2" t="s">
        <v>18996</v>
      </c>
      <c r="K330" s="2" t="s">
        <v>18997</v>
      </c>
      <c r="L330" s="2" t="s">
        <v>29</v>
      </c>
      <c r="M330" s="2" t="s">
        <v>29</v>
      </c>
      <c r="N330" s="2" t="s">
        <v>18998</v>
      </c>
      <c r="O330" s="2" t="s">
        <v>29</v>
      </c>
      <c r="P330" s="2" t="s">
        <v>18999</v>
      </c>
      <c r="Q330" s="2" t="s">
        <v>19000</v>
      </c>
      <c r="R330" s="2" t="s">
        <v>1490</v>
      </c>
      <c r="S330" s="2" t="s">
        <v>6728</v>
      </c>
      <c r="T330" s="2" t="s">
        <v>6729</v>
      </c>
      <c r="U330" s="2" t="s">
        <v>29</v>
      </c>
      <c r="V330" s="2" t="n">
        <v>1</v>
      </c>
    </row>
    <row r="331">
      <c r="A331" s="2" t="n">
        <v>330</v>
      </c>
      <c r="B331" s="2" t="s">
        <v>19001</v>
      </c>
      <c r="C331" s="2" t="n">
        <v>581.081028</v>
      </c>
      <c r="D331" s="2" t="n">
        <v>5.99910442712852</v>
      </c>
      <c r="E331" s="2" t="s">
        <v>19002</v>
      </c>
      <c r="F331" s="2" t="s">
        <v>15919</v>
      </c>
      <c r="G331" s="2" t="s">
        <v>19003</v>
      </c>
      <c r="H331" s="2" t="s">
        <v>19004</v>
      </c>
      <c r="I331" s="2" t="s">
        <v>19005</v>
      </c>
      <c r="J331" s="2" t="s">
        <v>19006</v>
      </c>
      <c r="K331" s="2" t="s">
        <v>29</v>
      </c>
      <c r="L331" s="2" t="s">
        <v>29</v>
      </c>
      <c r="M331" s="2" t="s">
        <v>29</v>
      </c>
      <c r="N331" s="2" t="s">
        <v>19007</v>
      </c>
      <c r="O331" s="2" t="s">
        <v>29</v>
      </c>
      <c r="P331" s="2" t="s">
        <v>19008</v>
      </c>
      <c r="Q331" s="2" t="s">
        <v>19009</v>
      </c>
      <c r="R331" s="2" t="s">
        <v>355</v>
      </c>
      <c r="S331" s="2" t="s">
        <v>5131</v>
      </c>
      <c r="T331" s="2" t="s">
        <v>5132</v>
      </c>
      <c r="U331" s="2" t="s">
        <v>29</v>
      </c>
      <c r="V331" s="2" t="n">
        <v>1</v>
      </c>
    </row>
    <row r="332">
      <c r="A332" s="2" t="n">
        <v>331</v>
      </c>
      <c r="B332" s="2" t="s">
        <v>19010</v>
      </c>
      <c r="C332" s="2" t="n">
        <v>586.326947599</v>
      </c>
      <c r="D332" s="2" t="n">
        <v>4.20220922026063</v>
      </c>
      <c r="E332" s="2" t="s">
        <v>19011</v>
      </c>
      <c r="F332" s="2" t="s">
        <v>15919</v>
      </c>
      <c r="G332" s="2" t="s">
        <v>19012</v>
      </c>
      <c r="H332" s="2" t="s">
        <v>19013</v>
      </c>
      <c r="I332" s="2" t="s">
        <v>19014</v>
      </c>
      <c r="J332" s="2" t="s">
        <v>8889</v>
      </c>
      <c r="K332" s="2" t="s">
        <v>19015</v>
      </c>
      <c r="L332" s="2" t="s">
        <v>17914</v>
      </c>
      <c r="M332" s="2" t="s">
        <v>19016</v>
      </c>
      <c r="N332" s="2" t="s">
        <v>19017</v>
      </c>
      <c r="O332" s="2" t="s">
        <v>29</v>
      </c>
      <c r="P332" s="2" t="s">
        <v>19018</v>
      </c>
      <c r="Q332" s="2" t="s">
        <v>19019</v>
      </c>
      <c r="R332" s="2" t="s">
        <v>1490</v>
      </c>
      <c r="S332" s="2" t="s">
        <v>4236</v>
      </c>
      <c r="T332" s="2" t="s">
        <v>8613</v>
      </c>
      <c r="U332" s="2" t="s">
        <v>39</v>
      </c>
      <c r="V332" s="2" t="n">
        <v>1</v>
      </c>
    </row>
    <row r="333">
      <c r="A333" s="2" t="n">
        <v>332</v>
      </c>
      <c r="B333" s="2" t="s">
        <v>19020</v>
      </c>
      <c r="C333" s="2" t="n">
        <v>589.42513628</v>
      </c>
      <c r="D333" s="2" t="n">
        <v>0.891708434457844</v>
      </c>
      <c r="E333" s="2" t="s">
        <v>19021</v>
      </c>
      <c r="F333" s="2" t="s">
        <v>15649</v>
      </c>
      <c r="G333" s="2" t="s">
        <v>19022</v>
      </c>
      <c r="H333" s="2" t="s">
        <v>19023</v>
      </c>
      <c r="I333" s="2" t="s">
        <v>19024</v>
      </c>
      <c r="J333" s="2" t="s">
        <v>19025</v>
      </c>
      <c r="K333" s="2" t="s">
        <v>29</v>
      </c>
      <c r="L333" s="2" t="s">
        <v>29</v>
      </c>
      <c r="M333" s="2" t="s">
        <v>29</v>
      </c>
      <c r="N333" s="2" t="s">
        <v>19026</v>
      </c>
      <c r="O333" s="2" t="s">
        <v>19027</v>
      </c>
      <c r="P333" s="2" t="s">
        <v>19028</v>
      </c>
      <c r="Q333" s="2" t="s">
        <v>19029</v>
      </c>
      <c r="R333" s="2" t="s">
        <v>1490</v>
      </c>
      <c r="S333" s="2" t="s">
        <v>3546</v>
      </c>
      <c r="T333" s="2" t="s">
        <v>14183</v>
      </c>
      <c r="U333" s="2" t="s">
        <v>29</v>
      </c>
      <c r="V333" s="2" t="n">
        <v>1</v>
      </c>
    </row>
    <row r="334">
      <c r="A334" s="2" t="n">
        <v>333</v>
      </c>
      <c r="B334" s="2" t="s">
        <v>19030</v>
      </c>
      <c r="C334" s="2" t="n">
        <v>591.046372576</v>
      </c>
      <c r="D334" s="2" t="n">
        <v>3.60143946480983</v>
      </c>
      <c r="E334" s="2" t="s">
        <v>19031</v>
      </c>
      <c r="F334" s="2" t="s">
        <v>16225</v>
      </c>
      <c r="G334" s="2" t="s">
        <v>19032</v>
      </c>
      <c r="H334" s="2" t="s">
        <v>19033</v>
      </c>
      <c r="I334" s="2" t="s">
        <v>19034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19035</v>
      </c>
      <c r="Q334" s="2" t="s">
        <v>19036</v>
      </c>
      <c r="R334" s="2" t="s">
        <v>64</v>
      </c>
      <c r="S334" s="2" t="s">
        <v>65</v>
      </c>
      <c r="T334" s="2" t="s">
        <v>66</v>
      </c>
      <c r="U334" s="2" t="s">
        <v>29</v>
      </c>
      <c r="V334" s="2" t="n">
        <v>1</v>
      </c>
    </row>
    <row r="335">
      <c r="A335" s="2" t="n">
        <v>334</v>
      </c>
      <c r="B335" s="2" t="s">
        <v>19037</v>
      </c>
      <c r="C335" s="2" t="n">
        <v>591.089934232</v>
      </c>
      <c r="D335" s="2" t="n">
        <v>2.84127383902513</v>
      </c>
      <c r="E335" s="2" t="s">
        <v>19038</v>
      </c>
      <c r="F335" s="2" t="s">
        <v>15919</v>
      </c>
      <c r="G335" s="2" t="s">
        <v>19039</v>
      </c>
      <c r="H335" s="2" t="s">
        <v>19040</v>
      </c>
      <c r="I335" s="2" t="s">
        <v>19041</v>
      </c>
      <c r="J335" s="2" t="s">
        <v>19042</v>
      </c>
      <c r="K335" s="2" t="s">
        <v>29</v>
      </c>
      <c r="L335" s="2" t="s">
        <v>29</v>
      </c>
      <c r="M335" s="2" t="s">
        <v>19043</v>
      </c>
      <c r="N335" s="2" t="s">
        <v>19044</v>
      </c>
      <c r="O335" s="2" t="s">
        <v>19045</v>
      </c>
      <c r="P335" s="2" t="s">
        <v>19046</v>
      </c>
      <c r="Q335" s="2" t="s">
        <v>19047</v>
      </c>
      <c r="R335" s="2" t="s">
        <v>502</v>
      </c>
      <c r="S335" s="2" t="s">
        <v>503</v>
      </c>
      <c r="T335" s="2" t="s">
        <v>11699</v>
      </c>
      <c r="U335" s="2" t="s">
        <v>29</v>
      </c>
      <c r="V335" s="2" t="n">
        <v>1</v>
      </c>
    </row>
    <row r="336">
      <c r="A336" s="2" t="n">
        <v>335</v>
      </c>
      <c r="B336" s="2" t="s">
        <v>19048</v>
      </c>
      <c r="C336" s="2" t="n">
        <v>593.171492449</v>
      </c>
      <c r="D336" s="2" t="n">
        <v>3.42473962334896</v>
      </c>
      <c r="E336" s="2" t="s">
        <v>19049</v>
      </c>
      <c r="F336" s="2" t="s">
        <v>15858</v>
      </c>
      <c r="G336" s="2" t="s">
        <v>19050</v>
      </c>
      <c r="H336" s="2" t="s">
        <v>19051</v>
      </c>
      <c r="I336" s="2" t="s">
        <v>19052</v>
      </c>
      <c r="J336" s="2" t="s">
        <v>226</v>
      </c>
      <c r="K336" s="2" t="s">
        <v>226</v>
      </c>
      <c r="L336" s="2" t="s">
        <v>226</v>
      </c>
      <c r="M336" s="2" t="s">
        <v>226</v>
      </c>
      <c r="N336" s="2" t="s">
        <v>19053</v>
      </c>
      <c r="O336" s="2" t="s">
        <v>226</v>
      </c>
      <c r="P336" s="2" t="s">
        <v>19054</v>
      </c>
      <c r="Q336" s="2" t="s">
        <v>19055</v>
      </c>
      <c r="R336" s="2" t="s">
        <v>2086</v>
      </c>
      <c r="S336" s="2" t="s">
        <v>19056</v>
      </c>
      <c r="T336" s="2" t="s">
        <v>19057</v>
      </c>
      <c r="U336" s="2" t="s">
        <v>29</v>
      </c>
      <c r="V336" s="2" t="n">
        <v>3</v>
      </c>
    </row>
    <row r="337">
      <c r="A337" s="2" t="n">
        <v>336</v>
      </c>
      <c r="B337" s="2" t="s">
        <v>19058</v>
      </c>
      <c r="C337" s="2" t="n">
        <v>593.35046777</v>
      </c>
      <c r="D337" s="2" t="n">
        <v>7.25249992852863</v>
      </c>
      <c r="E337" s="2" t="s">
        <v>19059</v>
      </c>
      <c r="F337" s="2" t="s">
        <v>15649</v>
      </c>
      <c r="G337" s="2" t="s">
        <v>19060</v>
      </c>
      <c r="H337" s="2" t="s">
        <v>19061</v>
      </c>
      <c r="I337" s="2" t="s">
        <v>19062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19063</v>
      </c>
      <c r="O337" s="2" t="s">
        <v>29</v>
      </c>
      <c r="P337" s="2" t="s">
        <v>19064</v>
      </c>
      <c r="Q337" s="2" t="s">
        <v>19065</v>
      </c>
      <c r="R337" s="2" t="s">
        <v>49</v>
      </c>
      <c r="S337" s="2" t="s">
        <v>165</v>
      </c>
      <c r="T337" s="2" t="s">
        <v>166</v>
      </c>
      <c r="U337" s="2" t="s">
        <v>29</v>
      </c>
      <c r="V337" s="2" t="n">
        <v>1</v>
      </c>
    </row>
    <row r="338">
      <c r="A338" s="2" t="n">
        <v>337</v>
      </c>
      <c r="B338" s="2" t="s">
        <v>19066</v>
      </c>
      <c r="C338" s="2" t="n">
        <v>594.23832978</v>
      </c>
      <c r="D338" s="2" t="n">
        <v>8.39379059639544</v>
      </c>
      <c r="E338" s="2" t="s">
        <v>19067</v>
      </c>
      <c r="F338" s="2" t="s">
        <v>15919</v>
      </c>
      <c r="G338" s="2" t="s">
        <v>19068</v>
      </c>
      <c r="H338" s="2" t="s">
        <v>19069</v>
      </c>
      <c r="I338" s="2" t="s">
        <v>19070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19071</v>
      </c>
      <c r="O338" s="2" t="s">
        <v>29</v>
      </c>
      <c r="P338" s="2" t="s">
        <v>19072</v>
      </c>
      <c r="Q338" s="2" t="s">
        <v>19073</v>
      </c>
      <c r="R338" s="2" t="s">
        <v>64</v>
      </c>
      <c r="S338" s="2" t="s">
        <v>65</v>
      </c>
      <c r="T338" s="2" t="s">
        <v>66</v>
      </c>
      <c r="U338" s="2" t="s">
        <v>29</v>
      </c>
      <c r="V338" s="2" t="n">
        <v>1</v>
      </c>
    </row>
    <row r="339">
      <c r="A339" s="2" t="n">
        <v>338</v>
      </c>
      <c r="B339" s="2" t="s">
        <v>19074</v>
      </c>
      <c r="C339" s="2" t="n">
        <v>599.316644198</v>
      </c>
      <c r="D339" s="2" t="n">
        <v>5.04008869039998</v>
      </c>
      <c r="E339" s="2" t="s">
        <v>19075</v>
      </c>
      <c r="F339" s="2" t="s">
        <v>15691</v>
      </c>
      <c r="G339" s="2" t="s">
        <v>19076</v>
      </c>
      <c r="H339" s="2" t="s">
        <v>19077</v>
      </c>
      <c r="I339" s="2" t="s">
        <v>19078</v>
      </c>
      <c r="J339" s="2" t="s">
        <v>19079</v>
      </c>
      <c r="K339" s="2" t="s">
        <v>29</v>
      </c>
      <c r="L339" s="2" t="s">
        <v>29</v>
      </c>
      <c r="M339" s="2" t="s">
        <v>29</v>
      </c>
      <c r="N339" s="2" t="s">
        <v>19080</v>
      </c>
      <c r="O339" s="2" t="s">
        <v>19081</v>
      </c>
      <c r="P339" s="2" t="s">
        <v>19082</v>
      </c>
      <c r="Q339" s="2" t="s">
        <v>19083</v>
      </c>
      <c r="R339" s="2" t="s">
        <v>1490</v>
      </c>
      <c r="S339" s="2" t="s">
        <v>3546</v>
      </c>
      <c r="T339" s="2" t="s">
        <v>7355</v>
      </c>
      <c r="U339" s="2" t="s">
        <v>29</v>
      </c>
      <c r="V339" s="2" t="n">
        <v>1</v>
      </c>
    </row>
    <row r="340">
      <c r="A340" s="2" t="n">
        <v>339</v>
      </c>
      <c r="B340" s="2" t="s">
        <v>19084</v>
      </c>
      <c r="C340" s="2" t="n">
        <v>601.06123421</v>
      </c>
      <c r="D340" s="2" t="n">
        <v>3.13778896929316</v>
      </c>
      <c r="E340" s="2" t="s">
        <v>19085</v>
      </c>
      <c r="F340" s="2" t="s">
        <v>17922</v>
      </c>
      <c r="G340" s="2" t="s">
        <v>19086</v>
      </c>
      <c r="H340" s="2" t="s">
        <v>19087</v>
      </c>
      <c r="I340" s="2" t="s">
        <v>19088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19089</v>
      </c>
      <c r="O340" s="2" t="s">
        <v>29</v>
      </c>
      <c r="P340" s="2" t="s">
        <v>19090</v>
      </c>
      <c r="Q340" s="2" t="s">
        <v>19091</v>
      </c>
      <c r="R340" s="2" t="s">
        <v>502</v>
      </c>
      <c r="S340" s="2" t="s">
        <v>1467</v>
      </c>
      <c r="T340" s="2" t="s">
        <v>17568</v>
      </c>
      <c r="U340" s="2" t="s">
        <v>29</v>
      </c>
      <c r="V340" s="2" t="n">
        <v>1</v>
      </c>
    </row>
    <row r="341">
      <c r="A341" s="2" t="n">
        <v>340</v>
      </c>
      <c r="B341" s="2" t="s">
        <v>19092</v>
      </c>
      <c r="C341" s="2" t="n">
        <v>601.116388162</v>
      </c>
      <c r="D341" s="2" t="n">
        <v>1.61533866048494</v>
      </c>
      <c r="E341" s="2" t="s">
        <v>19093</v>
      </c>
      <c r="F341" s="2" t="s">
        <v>15858</v>
      </c>
      <c r="G341" s="2" t="s">
        <v>19094</v>
      </c>
      <c r="H341" s="2" t="s">
        <v>19095</v>
      </c>
      <c r="I341" s="2" t="s">
        <v>19096</v>
      </c>
      <c r="J341" s="2" t="s">
        <v>19097</v>
      </c>
      <c r="K341" s="2" t="s">
        <v>29</v>
      </c>
      <c r="L341" s="2" t="s">
        <v>29</v>
      </c>
      <c r="M341" s="2" t="s">
        <v>29</v>
      </c>
      <c r="N341" s="2" t="s">
        <v>19098</v>
      </c>
      <c r="O341" s="2" t="s">
        <v>19099</v>
      </c>
      <c r="P341" s="2" t="s">
        <v>19100</v>
      </c>
      <c r="Q341" s="2" t="s">
        <v>19101</v>
      </c>
      <c r="R341" s="2" t="s">
        <v>2509</v>
      </c>
      <c r="S341" s="2" t="s">
        <v>4720</v>
      </c>
      <c r="T341" s="2" t="s">
        <v>7346</v>
      </c>
      <c r="U341" s="2" t="s">
        <v>29</v>
      </c>
      <c r="V341" s="2" t="n">
        <v>1</v>
      </c>
    </row>
    <row r="342">
      <c r="A342" s="2" t="n">
        <v>341</v>
      </c>
      <c r="B342" s="2" t="s">
        <v>19102</v>
      </c>
      <c r="C342" s="2" t="n">
        <v>601.309455079</v>
      </c>
      <c r="D342" s="2" t="n">
        <v>2.14068316617484</v>
      </c>
      <c r="E342" s="2" t="s">
        <v>19103</v>
      </c>
      <c r="F342" s="2" t="s">
        <v>15649</v>
      </c>
      <c r="G342" s="2" t="s">
        <v>19104</v>
      </c>
      <c r="H342" s="2" t="s">
        <v>19105</v>
      </c>
      <c r="I342" s="2" t="s">
        <v>19106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19107</v>
      </c>
      <c r="O342" s="2" t="s">
        <v>29</v>
      </c>
      <c r="P342" s="2" t="s">
        <v>19108</v>
      </c>
      <c r="Q342" s="2" t="s">
        <v>19109</v>
      </c>
      <c r="R342" s="2" t="s">
        <v>502</v>
      </c>
      <c r="S342" s="2" t="s">
        <v>503</v>
      </c>
      <c r="T342" s="2" t="s">
        <v>19110</v>
      </c>
      <c r="U342" s="2" t="s">
        <v>29</v>
      </c>
      <c r="V342" s="2" t="n">
        <v>1</v>
      </c>
    </row>
    <row r="343">
      <c r="A343" s="2" t="n">
        <v>342</v>
      </c>
      <c r="B343" s="2" t="s">
        <v>19111</v>
      </c>
      <c r="C343" s="2" t="n">
        <v>601.422883094</v>
      </c>
      <c r="D343" s="2" t="n">
        <v>0.0351938113135695</v>
      </c>
      <c r="E343" s="2" t="s">
        <v>19112</v>
      </c>
      <c r="F343" s="2" t="s">
        <v>15919</v>
      </c>
      <c r="G343" s="2" t="s">
        <v>19113</v>
      </c>
      <c r="H343" s="2" t="s">
        <v>19114</v>
      </c>
      <c r="I343" s="2" t="s">
        <v>19115</v>
      </c>
      <c r="J343" s="2" t="s">
        <v>19116</v>
      </c>
      <c r="K343" s="2" t="s">
        <v>72</v>
      </c>
      <c r="L343" s="2" t="s">
        <v>72</v>
      </c>
      <c r="M343" s="2" t="s">
        <v>19117</v>
      </c>
      <c r="N343" s="2" t="s">
        <v>19118</v>
      </c>
      <c r="O343" s="2" t="s">
        <v>72</v>
      </c>
      <c r="P343" s="2" t="s">
        <v>19119</v>
      </c>
      <c r="Q343" s="2" t="s">
        <v>19120</v>
      </c>
      <c r="R343" s="2" t="s">
        <v>575</v>
      </c>
      <c r="S343" s="2" t="s">
        <v>576</v>
      </c>
      <c r="T343" s="2" t="s">
        <v>19121</v>
      </c>
      <c r="U343" s="2" t="s">
        <v>29</v>
      </c>
      <c r="V343" s="2" t="n">
        <v>2</v>
      </c>
    </row>
    <row r="344">
      <c r="A344" s="2" t="n">
        <v>343</v>
      </c>
      <c r="B344" s="2" t="s">
        <v>19122</v>
      </c>
      <c r="C344" s="2" t="n">
        <v>602.109536007</v>
      </c>
      <c r="D344" s="2" t="n">
        <v>2.89845062531608</v>
      </c>
      <c r="E344" s="2" t="s">
        <v>19123</v>
      </c>
      <c r="F344" s="2" t="s">
        <v>15691</v>
      </c>
      <c r="G344" s="2" t="s">
        <v>19124</v>
      </c>
      <c r="H344" s="2" t="s">
        <v>19125</v>
      </c>
      <c r="I344" s="2" t="s">
        <v>19126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19127</v>
      </c>
      <c r="O344" s="2" t="s">
        <v>29</v>
      </c>
      <c r="P344" s="2" t="s">
        <v>19128</v>
      </c>
      <c r="Q344" s="2" t="s">
        <v>19129</v>
      </c>
      <c r="R344" s="2" t="s">
        <v>2590</v>
      </c>
      <c r="S344" s="2" t="s">
        <v>6120</v>
      </c>
      <c r="T344" s="2" t="s">
        <v>12953</v>
      </c>
      <c r="U344" s="2" t="s">
        <v>29</v>
      </c>
      <c r="V344" s="2" t="n">
        <v>1</v>
      </c>
    </row>
    <row r="345">
      <c r="A345" s="2" t="n">
        <v>344</v>
      </c>
      <c r="B345" s="2" t="s">
        <v>19130</v>
      </c>
      <c r="C345" s="2" t="n">
        <v>603.089934213</v>
      </c>
      <c r="D345" s="2" t="n">
        <v>7.97453725385159</v>
      </c>
      <c r="E345" s="2" t="s">
        <v>19131</v>
      </c>
      <c r="F345" s="2" t="s">
        <v>15919</v>
      </c>
      <c r="G345" s="2" t="s">
        <v>19132</v>
      </c>
      <c r="H345" s="2" t="s">
        <v>19133</v>
      </c>
      <c r="I345" s="2" t="s">
        <v>19134</v>
      </c>
      <c r="J345" s="2" t="s">
        <v>19135</v>
      </c>
      <c r="K345" s="2" t="s">
        <v>226</v>
      </c>
      <c r="L345" s="2" t="s">
        <v>226</v>
      </c>
      <c r="M345" s="2" t="s">
        <v>19136</v>
      </c>
      <c r="N345" s="2" t="s">
        <v>19137</v>
      </c>
      <c r="O345" s="2" t="s">
        <v>19138</v>
      </c>
      <c r="P345" s="2" t="s">
        <v>19139</v>
      </c>
      <c r="Q345" s="2" t="s">
        <v>19140</v>
      </c>
      <c r="R345" s="2" t="s">
        <v>5230</v>
      </c>
      <c r="S345" s="2" t="s">
        <v>5231</v>
      </c>
      <c r="T345" s="2" t="s">
        <v>5232</v>
      </c>
      <c r="U345" s="2" t="s">
        <v>29</v>
      </c>
      <c r="V345" s="2" t="n">
        <v>3</v>
      </c>
    </row>
    <row r="346">
      <c r="A346" s="2" t="n">
        <v>345</v>
      </c>
      <c r="B346" s="2" t="s">
        <v>19141</v>
      </c>
      <c r="C346" s="2" t="n">
        <v>603.438533158</v>
      </c>
      <c r="D346" s="2" t="n">
        <v>7.6110952147323</v>
      </c>
      <c r="E346" s="2" t="s">
        <v>19142</v>
      </c>
      <c r="F346" s="2" t="s">
        <v>15919</v>
      </c>
      <c r="G346" s="2" t="s">
        <v>19143</v>
      </c>
      <c r="H346" s="2" t="s">
        <v>19144</v>
      </c>
      <c r="I346" s="2" t="s">
        <v>19145</v>
      </c>
      <c r="J346" s="2" t="s">
        <v>19146</v>
      </c>
      <c r="K346" s="2" t="s">
        <v>19147</v>
      </c>
      <c r="L346" s="2" t="s">
        <v>226</v>
      </c>
      <c r="M346" s="2" t="s">
        <v>19148</v>
      </c>
      <c r="N346" s="2" t="s">
        <v>19149</v>
      </c>
      <c r="O346" s="2" t="s">
        <v>19150</v>
      </c>
      <c r="P346" s="2" t="s">
        <v>19151</v>
      </c>
      <c r="Q346" s="2" t="s">
        <v>19152</v>
      </c>
      <c r="R346" s="2" t="s">
        <v>105</v>
      </c>
      <c r="S346" s="2" t="s">
        <v>106</v>
      </c>
      <c r="T346" s="2" t="s">
        <v>19153</v>
      </c>
      <c r="U346" s="2" t="s">
        <v>29</v>
      </c>
      <c r="V346" s="2" t="n">
        <v>3</v>
      </c>
    </row>
    <row r="347">
      <c r="A347" s="2" t="n">
        <v>346</v>
      </c>
      <c r="B347" s="2" t="s">
        <v>19154</v>
      </c>
      <c r="C347" s="2" t="n">
        <v>605.301778344</v>
      </c>
      <c r="D347" s="2" t="n">
        <v>0.919553337518892</v>
      </c>
      <c r="E347" s="2" t="s">
        <v>19155</v>
      </c>
      <c r="F347" s="2" t="s">
        <v>15858</v>
      </c>
      <c r="G347" s="2" t="s">
        <v>19156</v>
      </c>
      <c r="H347" s="2" t="s">
        <v>19157</v>
      </c>
      <c r="I347" s="2" t="s">
        <v>19158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19159</v>
      </c>
      <c r="O347" s="2" t="s">
        <v>29</v>
      </c>
      <c r="P347" s="2" t="s">
        <v>19160</v>
      </c>
      <c r="Q347" s="2" t="s">
        <v>19161</v>
      </c>
      <c r="R347" s="2" t="s">
        <v>49</v>
      </c>
      <c r="S347" s="2" t="s">
        <v>165</v>
      </c>
      <c r="T347" s="2" t="s">
        <v>166</v>
      </c>
      <c r="U347" s="2" t="s">
        <v>29</v>
      </c>
      <c r="V347" s="2" t="n">
        <v>1</v>
      </c>
    </row>
    <row r="348">
      <c r="A348" s="2" t="n">
        <v>347</v>
      </c>
      <c r="B348" s="2" t="s">
        <v>19162</v>
      </c>
      <c r="C348" s="2" t="n">
        <v>606.386713697</v>
      </c>
      <c r="D348" s="2" t="n">
        <v>4.69477324125123</v>
      </c>
      <c r="E348" s="2" t="s">
        <v>19163</v>
      </c>
      <c r="F348" s="2" t="s">
        <v>15611</v>
      </c>
      <c r="G348" s="2" t="s">
        <v>19164</v>
      </c>
      <c r="H348" s="2" t="s">
        <v>19165</v>
      </c>
      <c r="I348" s="2" t="s">
        <v>19166</v>
      </c>
      <c r="J348" s="2" t="s">
        <v>19167</v>
      </c>
      <c r="K348" s="2" t="s">
        <v>29</v>
      </c>
      <c r="L348" s="2" t="s">
        <v>29</v>
      </c>
      <c r="M348" s="2" t="s">
        <v>29</v>
      </c>
      <c r="N348" s="2" t="s">
        <v>19168</v>
      </c>
      <c r="O348" s="2" t="s">
        <v>29</v>
      </c>
      <c r="P348" s="2" t="s">
        <v>19169</v>
      </c>
      <c r="Q348" s="2" t="s">
        <v>19170</v>
      </c>
      <c r="R348" s="2" t="s">
        <v>49</v>
      </c>
      <c r="S348" s="2" t="s">
        <v>6532</v>
      </c>
      <c r="T348" s="2" t="s">
        <v>7502</v>
      </c>
      <c r="U348" s="2" t="s">
        <v>29</v>
      </c>
      <c r="V348" s="2" t="n">
        <v>1</v>
      </c>
    </row>
    <row r="349">
      <c r="A349" s="2" t="n">
        <v>348</v>
      </c>
      <c r="B349" s="2" t="s">
        <v>19171</v>
      </c>
      <c r="C349" s="2" t="n">
        <v>607.079009164</v>
      </c>
      <c r="D349" s="2" t="n">
        <v>4.78282035295323</v>
      </c>
      <c r="E349" s="2" t="s">
        <v>19172</v>
      </c>
      <c r="F349" s="2" t="s">
        <v>16225</v>
      </c>
      <c r="G349" s="2" t="s">
        <v>19173</v>
      </c>
      <c r="H349" s="2" t="s">
        <v>19174</v>
      </c>
      <c r="I349" s="2" t="s">
        <v>19175</v>
      </c>
      <c r="J349" s="2" t="s">
        <v>19176</v>
      </c>
      <c r="K349" s="2" t="s">
        <v>72</v>
      </c>
      <c r="L349" s="2" t="s">
        <v>72</v>
      </c>
      <c r="M349" s="2" t="s">
        <v>72</v>
      </c>
      <c r="N349" s="2" t="s">
        <v>19177</v>
      </c>
      <c r="O349" s="2" t="s">
        <v>72</v>
      </c>
      <c r="P349" s="2" t="s">
        <v>19178</v>
      </c>
      <c r="Q349" s="2" t="s">
        <v>19179</v>
      </c>
      <c r="R349" s="2" t="s">
        <v>4405</v>
      </c>
      <c r="S349" s="2" t="s">
        <v>18990</v>
      </c>
      <c r="T349" s="2" t="s">
        <v>247</v>
      </c>
      <c r="U349" s="2" t="s">
        <v>29</v>
      </c>
      <c r="V349" s="2" t="n">
        <v>2</v>
      </c>
    </row>
    <row r="350">
      <c r="A350" s="2" t="n">
        <v>349</v>
      </c>
      <c r="B350" s="2" t="s">
        <v>19180</v>
      </c>
      <c r="C350" s="2" t="n">
        <v>607.129949442</v>
      </c>
      <c r="D350" s="2" t="n">
        <v>8.8040322794797</v>
      </c>
      <c r="E350" s="2" t="s">
        <v>19181</v>
      </c>
      <c r="F350" s="2" t="s">
        <v>15611</v>
      </c>
      <c r="G350" s="2" t="s">
        <v>19182</v>
      </c>
      <c r="H350" s="2" t="s">
        <v>19183</v>
      </c>
      <c r="I350" s="2" t="s">
        <v>19184</v>
      </c>
      <c r="J350" s="2" t="s">
        <v>19185</v>
      </c>
      <c r="K350" s="2" t="s">
        <v>226</v>
      </c>
      <c r="L350" s="2" t="s">
        <v>226</v>
      </c>
      <c r="M350" s="2" t="s">
        <v>226</v>
      </c>
      <c r="N350" s="2" t="s">
        <v>19186</v>
      </c>
      <c r="O350" s="2" t="s">
        <v>19187</v>
      </c>
      <c r="P350" s="2" t="s">
        <v>19188</v>
      </c>
      <c r="Q350" s="2" t="s">
        <v>19189</v>
      </c>
      <c r="R350" s="2" t="s">
        <v>5230</v>
      </c>
      <c r="S350" s="2" t="s">
        <v>5231</v>
      </c>
      <c r="T350" s="2" t="s">
        <v>8074</v>
      </c>
      <c r="U350" s="2" t="s">
        <v>29</v>
      </c>
      <c r="V350" s="2" t="n">
        <v>3</v>
      </c>
    </row>
    <row r="351">
      <c r="A351" s="2" t="n">
        <v>350</v>
      </c>
      <c r="B351" s="2" t="s">
        <v>19190</v>
      </c>
      <c r="C351" s="2" t="n">
        <v>608.099432297</v>
      </c>
      <c r="D351" s="2" t="n">
        <v>1.7949067819484</v>
      </c>
      <c r="E351" s="2" t="s">
        <v>19191</v>
      </c>
      <c r="F351" s="2" t="s">
        <v>15722</v>
      </c>
      <c r="G351" s="2" t="s">
        <v>19192</v>
      </c>
      <c r="H351" s="2" t="s">
        <v>19193</v>
      </c>
      <c r="I351" s="2" t="s">
        <v>19194</v>
      </c>
      <c r="J351" s="2" t="s">
        <v>19195</v>
      </c>
      <c r="K351" s="2" t="s">
        <v>29</v>
      </c>
      <c r="L351" s="2" t="s">
        <v>19196</v>
      </c>
      <c r="M351" s="2" t="s">
        <v>19197</v>
      </c>
      <c r="N351" s="2" t="s">
        <v>19198</v>
      </c>
      <c r="O351" s="2" t="s">
        <v>19199</v>
      </c>
      <c r="P351" s="2" t="s">
        <v>19200</v>
      </c>
      <c r="Q351" s="2" t="s">
        <v>19201</v>
      </c>
      <c r="R351" s="2" t="s">
        <v>355</v>
      </c>
      <c r="S351" s="2" t="s">
        <v>5131</v>
      </c>
      <c r="T351" s="2" t="s">
        <v>5132</v>
      </c>
      <c r="U351" s="2" t="s">
        <v>39</v>
      </c>
      <c r="V351" s="2" t="n">
        <v>1</v>
      </c>
    </row>
    <row r="352">
      <c r="A352" s="2" t="n">
        <v>351</v>
      </c>
      <c r="B352" s="2" t="s">
        <v>19202</v>
      </c>
      <c r="C352" s="2" t="n">
        <v>609.35519746</v>
      </c>
      <c r="D352" s="2" t="n">
        <v>2.45248916657912</v>
      </c>
      <c r="E352" s="2" t="s">
        <v>19203</v>
      </c>
      <c r="F352" s="2" t="s">
        <v>15919</v>
      </c>
      <c r="G352" s="2" t="s">
        <v>19204</v>
      </c>
      <c r="H352" s="2" t="s">
        <v>19205</v>
      </c>
      <c r="I352" s="2" t="s">
        <v>19206</v>
      </c>
      <c r="J352" s="2" t="s">
        <v>19207</v>
      </c>
      <c r="K352" s="2" t="s">
        <v>72</v>
      </c>
      <c r="L352" s="2" t="s">
        <v>72</v>
      </c>
      <c r="M352" s="2" t="s">
        <v>19208</v>
      </c>
      <c r="N352" s="2" t="s">
        <v>19209</v>
      </c>
      <c r="O352" s="2" t="s">
        <v>19210</v>
      </c>
      <c r="P352" s="2" t="s">
        <v>19211</v>
      </c>
      <c r="Q352" s="2" t="s">
        <v>19212</v>
      </c>
      <c r="R352" s="2" t="s">
        <v>15879</v>
      </c>
      <c r="S352" s="2" t="s">
        <v>19213</v>
      </c>
      <c r="T352" s="2" t="s">
        <v>19214</v>
      </c>
      <c r="U352" s="2" t="s">
        <v>29</v>
      </c>
      <c r="V352" s="2" t="n">
        <v>2</v>
      </c>
    </row>
    <row r="353">
      <c r="A353" s="2" t="n">
        <v>352</v>
      </c>
      <c r="B353" s="2" t="s">
        <v>19215</v>
      </c>
      <c r="C353" s="2" t="n">
        <v>612.2445257</v>
      </c>
      <c r="D353" s="2" t="n">
        <v>5.93886578398257</v>
      </c>
      <c r="E353" s="2" t="s">
        <v>19216</v>
      </c>
      <c r="F353" s="2" t="s">
        <v>15611</v>
      </c>
      <c r="G353" s="2" t="s">
        <v>19217</v>
      </c>
      <c r="H353" s="2" t="s">
        <v>19218</v>
      </c>
      <c r="I353" s="2" t="s">
        <v>19219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19220</v>
      </c>
      <c r="Q353" s="2" t="s">
        <v>19221</v>
      </c>
      <c r="R353" s="2" t="s">
        <v>2509</v>
      </c>
      <c r="S353" s="2" t="s">
        <v>6605</v>
      </c>
      <c r="T353" s="2" t="s">
        <v>205</v>
      </c>
      <c r="U353" s="2" t="s">
        <v>29</v>
      </c>
      <c r="V353" s="2" t="n">
        <v>1</v>
      </c>
    </row>
    <row r="354">
      <c r="A354" s="2" t="n">
        <v>353</v>
      </c>
      <c r="B354" s="2" t="s">
        <v>19222</v>
      </c>
      <c r="C354" s="2" t="n">
        <v>613.259244828</v>
      </c>
      <c r="D354" s="2" t="n">
        <v>2.36523020502212</v>
      </c>
      <c r="E354" s="2" t="s">
        <v>19223</v>
      </c>
      <c r="F354" s="2" t="s">
        <v>15858</v>
      </c>
      <c r="G354" s="2" t="s">
        <v>19224</v>
      </c>
      <c r="H354" s="2" t="s">
        <v>19225</v>
      </c>
      <c r="I354" s="2" t="s">
        <v>19226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19227</v>
      </c>
      <c r="O354" s="2" t="s">
        <v>29</v>
      </c>
      <c r="P354" s="2" t="s">
        <v>19228</v>
      </c>
      <c r="Q354" s="2" t="s">
        <v>19229</v>
      </c>
      <c r="R354" s="2" t="s">
        <v>49</v>
      </c>
      <c r="S354" s="2" t="s">
        <v>165</v>
      </c>
      <c r="T354" s="2" t="s">
        <v>166</v>
      </c>
      <c r="U354" s="2" t="s">
        <v>29</v>
      </c>
      <c r="V354" s="2" t="n">
        <v>1</v>
      </c>
    </row>
    <row r="355">
      <c r="A355" s="2" t="n">
        <v>354</v>
      </c>
      <c r="B355" s="2" t="s">
        <v>19230</v>
      </c>
      <c r="C355" s="2" t="n">
        <v>615.426118896</v>
      </c>
      <c r="D355" s="2" t="n">
        <v>9.99149452607611</v>
      </c>
      <c r="E355" s="2" t="s">
        <v>19231</v>
      </c>
      <c r="F355" s="2" t="s">
        <v>15611</v>
      </c>
      <c r="G355" s="2" t="s">
        <v>19232</v>
      </c>
      <c r="H355" s="2" t="s">
        <v>19233</v>
      </c>
      <c r="I355" s="2" t="s">
        <v>19234</v>
      </c>
      <c r="J355" s="2" t="s">
        <v>19235</v>
      </c>
      <c r="K355" s="2" t="s">
        <v>72</v>
      </c>
      <c r="L355" s="2" t="s">
        <v>72</v>
      </c>
      <c r="M355" s="2" t="s">
        <v>19236</v>
      </c>
      <c r="N355" s="2" t="s">
        <v>19237</v>
      </c>
      <c r="O355" s="2" t="s">
        <v>19238</v>
      </c>
      <c r="P355" s="2" t="s">
        <v>19239</v>
      </c>
      <c r="Q355" s="2" t="s">
        <v>19240</v>
      </c>
      <c r="R355" s="2" t="s">
        <v>575</v>
      </c>
      <c r="S355" s="2" t="s">
        <v>19241</v>
      </c>
      <c r="T355" s="2" t="s">
        <v>19242</v>
      </c>
      <c r="U355" s="2" t="s">
        <v>29</v>
      </c>
      <c r="V355" s="2" t="n">
        <v>2</v>
      </c>
    </row>
    <row r="356">
      <c r="A356" s="2" t="n">
        <v>355</v>
      </c>
      <c r="B356" s="2" t="s">
        <v>19243</v>
      </c>
      <c r="C356" s="2" t="n">
        <v>615.495893286</v>
      </c>
      <c r="D356" s="2" t="n">
        <v>0.0979358445565753</v>
      </c>
      <c r="E356" s="2" t="s">
        <v>19244</v>
      </c>
      <c r="F356" s="2" t="s">
        <v>15858</v>
      </c>
      <c r="G356" s="2" t="s">
        <v>19245</v>
      </c>
      <c r="H356" s="2" t="s">
        <v>19246</v>
      </c>
      <c r="I356" s="2" t="s">
        <v>19247</v>
      </c>
      <c r="J356" s="2" t="s">
        <v>19248</v>
      </c>
      <c r="K356" s="2" t="s">
        <v>19249</v>
      </c>
      <c r="L356" s="2" t="s">
        <v>226</v>
      </c>
      <c r="M356" s="2" t="s">
        <v>19250</v>
      </c>
      <c r="N356" s="2" t="s">
        <v>19251</v>
      </c>
      <c r="O356" s="2" t="s">
        <v>19252</v>
      </c>
      <c r="P356" s="2" t="s">
        <v>19253</v>
      </c>
      <c r="Q356" s="2" t="s">
        <v>19254</v>
      </c>
      <c r="R356" s="2" t="s">
        <v>105</v>
      </c>
      <c r="S356" s="2" t="s">
        <v>19255</v>
      </c>
      <c r="T356" s="2" t="s">
        <v>19256</v>
      </c>
      <c r="U356" s="2" t="s">
        <v>29</v>
      </c>
      <c r="V356" s="2" t="n">
        <v>3</v>
      </c>
    </row>
    <row r="357">
      <c r="A357" s="2" t="n">
        <v>356</v>
      </c>
      <c r="B357" s="2" t="s">
        <v>19257</v>
      </c>
      <c r="C357" s="2" t="n">
        <v>616.208928071</v>
      </c>
      <c r="D357" s="2" t="n">
        <v>3.27743891619596</v>
      </c>
      <c r="E357" s="2" t="s">
        <v>19258</v>
      </c>
      <c r="F357" s="2" t="s">
        <v>15611</v>
      </c>
      <c r="G357" s="2" t="s">
        <v>19259</v>
      </c>
      <c r="H357" s="2" t="s">
        <v>19260</v>
      </c>
      <c r="I357" s="2" t="s">
        <v>19261</v>
      </c>
      <c r="J357" s="2" t="s">
        <v>19262</v>
      </c>
      <c r="K357" s="2" t="s">
        <v>226</v>
      </c>
      <c r="L357" s="2" t="s">
        <v>226</v>
      </c>
      <c r="M357" s="2" t="s">
        <v>226</v>
      </c>
      <c r="N357" s="2" t="s">
        <v>19263</v>
      </c>
      <c r="O357" s="2" t="s">
        <v>19264</v>
      </c>
      <c r="P357" s="2" t="s">
        <v>19265</v>
      </c>
      <c r="Q357" s="2" t="s">
        <v>19266</v>
      </c>
      <c r="R357" s="2" t="s">
        <v>967</v>
      </c>
      <c r="S357" s="2" t="s">
        <v>968</v>
      </c>
      <c r="T357" s="2" t="s">
        <v>1004</v>
      </c>
      <c r="U357" s="2" t="s">
        <v>29</v>
      </c>
      <c r="V357" s="2" t="n">
        <v>3</v>
      </c>
    </row>
    <row r="358">
      <c r="A358" s="2" t="n">
        <v>357</v>
      </c>
      <c r="B358" s="2" t="s">
        <v>19267</v>
      </c>
      <c r="C358" s="2" t="n">
        <v>616.603295408</v>
      </c>
      <c r="D358" s="2" t="n">
        <v>2.18238620549773</v>
      </c>
      <c r="E358" s="2" t="s">
        <v>19268</v>
      </c>
      <c r="F358" s="2" t="s">
        <v>15611</v>
      </c>
      <c r="G358" s="2" t="s">
        <v>19269</v>
      </c>
      <c r="H358" s="2" t="s">
        <v>19270</v>
      </c>
      <c r="I358" s="2" t="s">
        <v>19271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19272</v>
      </c>
      <c r="O358" s="2" t="s">
        <v>29</v>
      </c>
      <c r="P358" s="2" t="s">
        <v>19273</v>
      </c>
      <c r="Q358" s="2" t="s">
        <v>19274</v>
      </c>
      <c r="R358" s="2" t="s">
        <v>1490</v>
      </c>
      <c r="S358" s="2" t="s">
        <v>8433</v>
      </c>
      <c r="T358" s="2" t="s">
        <v>18721</v>
      </c>
      <c r="U358" s="2" t="s">
        <v>29</v>
      </c>
      <c r="V358" s="2" t="n">
        <v>1</v>
      </c>
    </row>
    <row r="359">
      <c r="A359" s="2" t="n">
        <v>358</v>
      </c>
      <c r="B359" s="2" t="s">
        <v>19275</v>
      </c>
      <c r="C359" s="2" t="n">
        <v>617.51154335</v>
      </c>
      <c r="D359" s="2" t="n">
        <v>0.398588906126778</v>
      </c>
      <c r="E359" s="2" t="s">
        <v>19276</v>
      </c>
      <c r="F359" s="2" t="s">
        <v>15858</v>
      </c>
      <c r="G359" s="2" t="s">
        <v>19277</v>
      </c>
      <c r="H359" s="2" t="s">
        <v>19278</v>
      </c>
      <c r="I359" s="2" t="s">
        <v>19279</v>
      </c>
      <c r="J359" s="2" t="s">
        <v>19280</v>
      </c>
      <c r="K359" s="2" t="s">
        <v>19281</v>
      </c>
      <c r="L359" s="2" t="s">
        <v>29</v>
      </c>
      <c r="M359" s="2" t="s">
        <v>29</v>
      </c>
      <c r="N359" s="2" t="s">
        <v>19282</v>
      </c>
      <c r="O359" s="2" t="s">
        <v>29</v>
      </c>
      <c r="P359" s="2" t="s">
        <v>19283</v>
      </c>
      <c r="Q359" s="2" t="s">
        <v>19284</v>
      </c>
      <c r="R359" s="2" t="s">
        <v>1490</v>
      </c>
      <c r="S359" s="2" t="s">
        <v>6728</v>
      </c>
      <c r="T359" s="2" t="s">
        <v>6729</v>
      </c>
      <c r="U359" s="2" t="s">
        <v>29</v>
      </c>
      <c r="V359" s="2" t="n">
        <v>1</v>
      </c>
    </row>
    <row r="360">
      <c r="A360" s="2" t="n">
        <v>359</v>
      </c>
      <c r="B360" s="2" t="s">
        <v>19285</v>
      </c>
      <c r="C360" s="2" t="n">
        <v>618.875882648</v>
      </c>
      <c r="D360" s="2" t="n">
        <v>7.87150757037141</v>
      </c>
      <c r="E360" s="2" t="s">
        <v>19286</v>
      </c>
      <c r="F360" s="2" t="s">
        <v>16225</v>
      </c>
      <c r="G360" s="2" t="s">
        <v>19287</v>
      </c>
      <c r="H360" s="2" t="s">
        <v>19288</v>
      </c>
      <c r="I360" s="2" t="s">
        <v>19289</v>
      </c>
      <c r="J360" s="2" t="s">
        <v>19290</v>
      </c>
      <c r="K360" s="2" t="s">
        <v>29</v>
      </c>
      <c r="L360" s="2" t="s">
        <v>29</v>
      </c>
      <c r="M360" s="2" t="s">
        <v>29</v>
      </c>
      <c r="N360" s="2" t="s">
        <v>19291</v>
      </c>
      <c r="O360" s="2" t="s">
        <v>19292</v>
      </c>
      <c r="P360" s="2" t="s">
        <v>19293</v>
      </c>
      <c r="Q360" s="2" t="s">
        <v>19294</v>
      </c>
      <c r="R360" s="2" t="s">
        <v>355</v>
      </c>
      <c r="S360" s="2" t="s">
        <v>1713</v>
      </c>
      <c r="T360" s="2" t="s">
        <v>205</v>
      </c>
      <c r="U360" s="2" t="s">
        <v>29</v>
      </c>
      <c r="V360" s="2" t="n">
        <v>1</v>
      </c>
    </row>
    <row r="361">
      <c r="A361" s="2" t="n">
        <v>360</v>
      </c>
      <c r="B361" s="2" t="s">
        <v>19295</v>
      </c>
      <c r="C361" s="2" t="n">
        <v>619.106756925</v>
      </c>
      <c r="D361" s="2" t="n">
        <v>1.30768780459361</v>
      </c>
      <c r="E361" s="2" t="s">
        <v>19296</v>
      </c>
      <c r="F361" s="2" t="s">
        <v>15611</v>
      </c>
      <c r="G361" s="2" t="s">
        <v>19297</v>
      </c>
      <c r="H361" s="2" t="s">
        <v>19298</v>
      </c>
      <c r="I361" s="2" t="s">
        <v>19299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19300</v>
      </c>
      <c r="O361" s="2" t="s">
        <v>29</v>
      </c>
      <c r="P361" s="2" t="s">
        <v>19301</v>
      </c>
      <c r="Q361" s="2" t="s">
        <v>19302</v>
      </c>
      <c r="R361" s="2" t="s">
        <v>2590</v>
      </c>
      <c r="S361" s="2" t="s">
        <v>14318</v>
      </c>
      <c r="T361" s="2" t="s">
        <v>14319</v>
      </c>
      <c r="U361" s="2" t="s">
        <v>29</v>
      </c>
      <c r="V361" s="2" t="n">
        <v>1</v>
      </c>
    </row>
    <row r="362">
      <c r="A362" s="2" t="n">
        <v>361</v>
      </c>
      <c r="B362" s="2" t="s">
        <v>19303</v>
      </c>
      <c r="C362" s="2" t="n">
        <v>623.560901478</v>
      </c>
      <c r="D362" s="2" t="n">
        <v>8.20353368701315</v>
      </c>
      <c r="E362" s="2" t="s">
        <v>19304</v>
      </c>
      <c r="F362" s="2" t="s">
        <v>15649</v>
      </c>
      <c r="G362" s="2" t="s">
        <v>19305</v>
      </c>
      <c r="H362" s="2" t="s">
        <v>19306</v>
      </c>
      <c r="I362" s="2" t="s">
        <v>19307</v>
      </c>
      <c r="J362" s="2" t="s">
        <v>19308</v>
      </c>
      <c r="K362" s="2" t="s">
        <v>29</v>
      </c>
      <c r="L362" s="2" t="s">
        <v>29</v>
      </c>
      <c r="M362" s="2" t="s">
        <v>29</v>
      </c>
      <c r="N362" s="2" t="s">
        <v>19309</v>
      </c>
      <c r="O362" s="2" t="s">
        <v>29</v>
      </c>
      <c r="P362" s="2" t="s">
        <v>19310</v>
      </c>
      <c r="Q362" s="2" t="s">
        <v>19311</v>
      </c>
      <c r="R362" s="2" t="s">
        <v>1490</v>
      </c>
      <c r="S362" s="2" t="s">
        <v>6728</v>
      </c>
      <c r="T362" s="2" t="s">
        <v>6729</v>
      </c>
      <c r="U362" s="2" t="s">
        <v>29</v>
      </c>
      <c r="V362" s="2" t="n">
        <v>1</v>
      </c>
    </row>
    <row r="363">
      <c r="A363" s="2" t="n">
        <v>362</v>
      </c>
      <c r="B363" s="2" t="s">
        <v>19312</v>
      </c>
      <c r="C363" s="2" t="n">
        <v>624.087966775</v>
      </c>
      <c r="D363" s="2" t="n">
        <v>2.34754190381803</v>
      </c>
      <c r="E363" s="2" t="s">
        <v>19313</v>
      </c>
      <c r="F363" s="2" t="s">
        <v>15611</v>
      </c>
      <c r="G363" s="2" t="s">
        <v>19314</v>
      </c>
      <c r="H363" s="2" t="s">
        <v>19315</v>
      </c>
      <c r="I363" s="2" t="s">
        <v>19316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19317</v>
      </c>
      <c r="O363" s="2" t="s">
        <v>19318</v>
      </c>
      <c r="P363" s="2" t="s">
        <v>19319</v>
      </c>
      <c r="Q363" s="2" t="s">
        <v>19320</v>
      </c>
      <c r="R363" s="2" t="s">
        <v>64</v>
      </c>
      <c r="S363" s="2" t="s">
        <v>65</v>
      </c>
      <c r="T363" s="2" t="s">
        <v>66</v>
      </c>
      <c r="U363" s="2" t="s">
        <v>29</v>
      </c>
      <c r="V363" s="2" t="n">
        <v>1</v>
      </c>
    </row>
    <row r="364">
      <c r="A364" s="2" t="n">
        <v>363</v>
      </c>
      <c r="B364" s="2" t="s">
        <v>19321</v>
      </c>
      <c r="C364" s="2" t="n">
        <v>625.09541354</v>
      </c>
      <c r="D364" s="2" t="n">
        <v>8.83755826844611</v>
      </c>
      <c r="E364" s="2" t="s">
        <v>19322</v>
      </c>
      <c r="F364" s="2" t="s">
        <v>15919</v>
      </c>
      <c r="G364" s="2" t="s">
        <v>19323</v>
      </c>
      <c r="H364" s="2" t="s">
        <v>19324</v>
      </c>
      <c r="I364" s="2" t="s">
        <v>19325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19326</v>
      </c>
      <c r="O364" s="2" t="s">
        <v>19327</v>
      </c>
      <c r="P364" s="2" t="s">
        <v>19328</v>
      </c>
      <c r="Q364" s="2" t="s">
        <v>19329</v>
      </c>
      <c r="R364" s="2" t="s">
        <v>2509</v>
      </c>
      <c r="S364" s="2" t="s">
        <v>5520</v>
      </c>
      <c r="T364" s="2" t="s">
        <v>5664</v>
      </c>
      <c r="U364" s="2" t="s">
        <v>29</v>
      </c>
      <c r="V364" s="2" t="n">
        <v>1</v>
      </c>
    </row>
    <row r="365">
      <c r="A365" s="2" t="n">
        <v>364</v>
      </c>
      <c r="B365" s="2" t="s">
        <v>19330</v>
      </c>
      <c r="C365" s="2" t="n">
        <v>625.1471294</v>
      </c>
      <c r="D365" s="2" t="n">
        <v>1.4492766448714</v>
      </c>
      <c r="E365" s="2" t="s">
        <v>19331</v>
      </c>
      <c r="F365" s="2" t="s">
        <v>15778</v>
      </c>
      <c r="G365" s="2" t="s">
        <v>19332</v>
      </c>
      <c r="H365" s="2" t="s">
        <v>19333</v>
      </c>
      <c r="I365" s="2" t="s">
        <v>19334</v>
      </c>
      <c r="J365" s="2" t="s">
        <v>29</v>
      </c>
      <c r="K365" s="2" t="s">
        <v>29</v>
      </c>
      <c r="L365" s="2" t="s">
        <v>29</v>
      </c>
      <c r="M365" s="2" t="s">
        <v>19335</v>
      </c>
      <c r="N365" s="2" t="s">
        <v>29</v>
      </c>
      <c r="O365" s="2" t="s">
        <v>29</v>
      </c>
      <c r="P365" s="2" t="s">
        <v>19336</v>
      </c>
      <c r="Q365" s="2" t="s">
        <v>19337</v>
      </c>
      <c r="R365" s="2" t="s">
        <v>502</v>
      </c>
      <c r="S365" s="2" t="s">
        <v>2413</v>
      </c>
      <c r="T365" s="2" t="s">
        <v>16928</v>
      </c>
      <c r="U365" s="2" t="s">
        <v>29</v>
      </c>
      <c r="V365" s="2" t="n">
        <v>1</v>
      </c>
    </row>
    <row r="366">
      <c r="A366" s="2" t="n">
        <v>365</v>
      </c>
      <c r="B366" s="2" t="s">
        <v>19338</v>
      </c>
      <c r="C366" s="2" t="n">
        <v>629.084454924</v>
      </c>
      <c r="D366" s="2" t="n">
        <v>2.70472276304648</v>
      </c>
      <c r="E366" s="2" t="s">
        <v>19339</v>
      </c>
      <c r="F366" s="2" t="s">
        <v>15919</v>
      </c>
      <c r="G366" s="2" t="s">
        <v>19340</v>
      </c>
      <c r="H366" s="2" t="s">
        <v>19341</v>
      </c>
      <c r="I366" s="2" t="s">
        <v>19342</v>
      </c>
      <c r="J366" s="2" t="s">
        <v>19343</v>
      </c>
      <c r="K366" s="2" t="s">
        <v>29</v>
      </c>
      <c r="L366" s="2" t="s">
        <v>29</v>
      </c>
      <c r="M366" s="2" t="s">
        <v>29</v>
      </c>
      <c r="N366" s="2" t="s">
        <v>19344</v>
      </c>
      <c r="O366" s="2" t="s">
        <v>19345</v>
      </c>
      <c r="P366" s="2" t="s">
        <v>19346</v>
      </c>
      <c r="Q366" s="2" t="s">
        <v>19347</v>
      </c>
      <c r="R366" s="2" t="s">
        <v>2509</v>
      </c>
      <c r="S366" s="2" t="s">
        <v>6596</v>
      </c>
      <c r="T366" s="2" t="s">
        <v>205</v>
      </c>
      <c r="U366" s="2" t="s">
        <v>29</v>
      </c>
      <c r="V366" s="2" t="n">
        <v>1</v>
      </c>
    </row>
    <row r="367">
      <c r="A367" s="2" t="n">
        <v>366</v>
      </c>
      <c r="B367" s="2" t="s">
        <v>19348</v>
      </c>
      <c r="C367" s="2" t="n">
        <v>629.454655632</v>
      </c>
      <c r="D367" s="2" t="n">
        <v>3.38210143897301</v>
      </c>
      <c r="E367" s="2" t="s">
        <v>19349</v>
      </c>
      <c r="F367" s="2" t="s">
        <v>15611</v>
      </c>
      <c r="G367" s="2" t="s">
        <v>19350</v>
      </c>
      <c r="H367" s="2" t="s">
        <v>19351</v>
      </c>
      <c r="I367" s="2" t="s">
        <v>19352</v>
      </c>
      <c r="J367" s="2" t="s">
        <v>19353</v>
      </c>
      <c r="K367" s="2" t="s">
        <v>19354</v>
      </c>
      <c r="L367" s="2" t="s">
        <v>72</v>
      </c>
      <c r="M367" s="2" t="s">
        <v>19355</v>
      </c>
      <c r="N367" s="2" t="s">
        <v>19356</v>
      </c>
      <c r="O367" s="2" t="s">
        <v>72</v>
      </c>
      <c r="P367" s="2" t="s">
        <v>19357</v>
      </c>
      <c r="Q367" s="2" t="s">
        <v>19358</v>
      </c>
      <c r="R367" s="2" t="s">
        <v>575</v>
      </c>
      <c r="S367" s="2" t="s">
        <v>6260</v>
      </c>
      <c r="T367" s="2" t="s">
        <v>8001</v>
      </c>
      <c r="U367" s="2" t="s">
        <v>29</v>
      </c>
      <c r="V367" s="2" t="n">
        <v>2</v>
      </c>
    </row>
    <row r="368">
      <c r="A368" s="2" t="n">
        <v>367</v>
      </c>
      <c r="B368" s="2" t="s">
        <v>19359</v>
      </c>
      <c r="C368" s="2" t="n">
        <v>630.449904605</v>
      </c>
      <c r="D368" s="2" t="n">
        <v>1.09522546217862</v>
      </c>
      <c r="E368" s="2" t="s">
        <v>19360</v>
      </c>
      <c r="F368" s="2" t="s">
        <v>15611</v>
      </c>
      <c r="G368" s="2" t="s">
        <v>19361</v>
      </c>
      <c r="H368" s="2" t="s">
        <v>19362</v>
      </c>
      <c r="I368" s="2" t="s">
        <v>19363</v>
      </c>
      <c r="J368" s="2" t="s">
        <v>19364</v>
      </c>
      <c r="K368" s="2" t="s">
        <v>19365</v>
      </c>
      <c r="L368" s="2" t="s">
        <v>7680</v>
      </c>
      <c r="M368" s="2" t="s">
        <v>29</v>
      </c>
      <c r="N368" s="2" t="s">
        <v>19366</v>
      </c>
      <c r="O368" s="2" t="s">
        <v>29</v>
      </c>
      <c r="P368" s="2" t="s">
        <v>19367</v>
      </c>
      <c r="Q368" s="2" t="s">
        <v>19368</v>
      </c>
      <c r="R368" s="2" t="s">
        <v>1490</v>
      </c>
      <c r="S368" s="2" t="s">
        <v>4236</v>
      </c>
      <c r="T368" s="2" t="s">
        <v>5369</v>
      </c>
      <c r="U368" s="2" t="s">
        <v>39</v>
      </c>
      <c r="V368" s="2" t="n">
        <v>1</v>
      </c>
    </row>
    <row r="369">
      <c r="A369" s="2" t="n">
        <v>368</v>
      </c>
      <c r="B369" s="2" t="s">
        <v>19369</v>
      </c>
      <c r="C369" s="2" t="n">
        <v>631.107579484</v>
      </c>
      <c r="D369" s="2" t="n">
        <v>9.49263311067974</v>
      </c>
      <c r="E369" s="2" t="s">
        <v>19370</v>
      </c>
      <c r="F369" s="2" t="s">
        <v>15649</v>
      </c>
      <c r="G369" s="2" t="s">
        <v>19371</v>
      </c>
      <c r="H369" s="2" t="s">
        <v>19372</v>
      </c>
      <c r="I369" s="2" t="s">
        <v>19373</v>
      </c>
      <c r="J369" s="2" t="s">
        <v>29</v>
      </c>
      <c r="K369" s="2" t="s">
        <v>29</v>
      </c>
      <c r="L369" s="2" t="s">
        <v>19374</v>
      </c>
      <c r="M369" s="2" t="s">
        <v>29</v>
      </c>
      <c r="N369" s="2" t="s">
        <v>19375</v>
      </c>
      <c r="O369" s="2" t="s">
        <v>19376</v>
      </c>
      <c r="P369" s="2" t="s">
        <v>19377</v>
      </c>
      <c r="Q369" s="2" t="s">
        <v>19378</v>
      </c>
      <c r="R369" s="2" t="s">
        <v>4189</v>
      </c>
      <c r="S369" s="2" t="s">
        <v>15366</v>
      </c>
      <c r="T369" s="2" t="s">
        <v>15367</v>
      </c>
      <c r="U369" s="2" t="s">
        <v>39</v>
      </c>
      <c r="V369" s="2" t="n">
        <v>1</v>
      </c>
    </row>
    <row r="370">
      <c r="A370" s="2" t="n">
        <v>369</v>
      </c>
      <c r="B370" s="2" t="s">
        <v>19379</v>
      </c>
      <c r="C370" s="2" t="n">
        <v>631.469401132</v>
      </c>
      <c r="D370" s="2" t="n">
        <v>0.0483149817268604</v>
      </c>
      <c r="E370" s="2" t="s">
        <v>19380</v>
      </c>
      <c r="F370" s="2" t="s">
        <v>15649</v>
      </c>
      <c r="G370" s="2" t="s">
        <v>19381</v>
      </c>
      <c r="H370" s="2" t="s">
        <v>19382</v>
      </c>
      <c r="I370" s="2" t="s">
        <v>19383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19384</v>
      </c>
      <c r="O370" s="2" t="s">
        <v>29</v>
      </c>
      <c r="P370" s="2" t="s">
        <v>19385</v>
      </c>
      <c r="Q370" s="2" t="s">
        <v>19386</v>
      </c>
      <c r="R370" s="2" t="s">
        <v>502</v>
      </c>
      <c r="S370" s="2" t="s">
        <v>503</v>
      </c>
      <c r="T370" s="2" t="s">
        <v>7641</v>
      </c>
      <c r="U370" s="2" t="s">
        <v>29</v>
      </c>
      <c r="V370" s="2" t="n">
        <v>1</v>
      </c>
    </row>
    <row r="371">
      <c r="A371" s="2" t="n">
        <v>370</v>
      </c>
      <c r="B371" s="2" t="s">
        <v>19387</v>
      </c>
      <c r="C371" s="2" t="n">
        <v>632.110644593</v>
      </c>
      <c r="D371" s="2" t="n">
        <v>1.7426300325369</v>
      </c>
      <c r="E371" s="2" t="s">
        <v>19388</v>
      </c>
      <c r="F371" s="2" t="s">
        <v>15919</v>
      </c>
      <c r="G371" s="2" t="s">
        <v>19389</v>
      </c>
      <c r="H371" s="2" t="s">
        <v>19390</v>
      </c>
      <c r="I371" s="2" t="s">
        <v>19391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19392</v>
      </c>
      <c r="O371" s="2" t="s">
        <v>29</v>
      </c>
      <c r="P371" s="2" t="s">
        <v>19393</v>
      </c>
      <c r="Q371" s="2" t="s">
        <v>19394</v>
      </c>
      <c r="R371" s="2" t="s">
        <v>355</v>
      </c>
      <c r="S371" s="2" t="s">
        <v>4796</v>
      </c>
      <c r="T371" s="2" t="s">
        <v>4797</v>
      </c>
      <c r="U371" s="2" t="s">
        <v>29</v>
      </c>
      <c r="V371" s="2" t="n">
        <v>1</v>
      </c>
    </row>
    <row r="372">
      <c r="A372" s="2" t="n">
        <v>371</v>
      </c>
      <c r="B372" s="2" t="s">
        <v>19395</v>
      </c>
      <c r="C372" s="2" t="n">
        <v>633.109214028</v>
      </c>
      <c r="D372" s="2" t="n">
        <v>8.06351189263807</v>
      </c>
      <c r="E372" s="2" t="s">
        <v>19396</v>
      </c>
      <c r="F372" s="2" t="s">
        <v>15611</v>
      </c>
      <c r="G372" s="2" t="s">
        <v>19397</v>
      </c>
      <c r="H372" s="2" t="s">
        <v>19398</v>
      </c>
      <c r="I372" s="2" t="s">
        <v>19399</v>
      </c>
      <c r="J372" s="2" t="s">
        <v>19400</v>
      </c>
      <c r="K372" s="2" t="s">
        <v>72</v>
      </c>
      <c r="L372" s="2" t="s">
        <v>72</v>
      </c>
      <c r="M372" s="2" t="s">
        <v>72</v>
      </c>
      <c r="N372" s="2" t="s">
        <v>19401</v>
      </c>
      <c r="O372" s="2" t="s">
        <v>19402</v>
      </c>
      <c r="P372" s="2" t="s">
        <v>19403</v>
      </c>
      <c r="Q372" s="2" t="s">
        <v>19404</v>
      </c>
      <c r="R372" s="2" t="s">
        <v>4770</v>
      </c>
      <c r="S372" s="2" t="s">
        <v>19405</v>
      </c>
      <c r="T372" s="2" t="s">
        <v>2566</v>
      </c>
      <c r="U372" s="2" t="s">
        <v>29</v>
      </c>
      <c r="V372" s="2" t="n">
        <v>2</v>
      </c>
    </row>
    <row r="373">
      <c r="A373" s="2" t="n">
        <v>372</v>
      </c>
      <c r="B373" s="2" t="s">
        <v>19406</v>
      </c>
      <c r="C373" s="2" t="n">
        <v>635.110154542</v>
      </c>
      <c r="D373" s="2" t="n">
        <v>1.4829860624291</v>
      </c>
      <c r="E373" s="2" t="s">
        <v>19407</v>
      </c>
      <c r="F373" s="2" t="s">
        <v>15858</v>
      </c>
      <c r="G373" s="2" t="s">
        <v>19408</v>
      </c>
      <c r="H373" s="2" t="s">
        <v>19409</v>
      </c>
      <c r="I373" s="2" t="s">
        <v>19410</v>
      </c>
      <c r="J373" s="2" t="s">
        <v>19411</v>
      </c>
      <c r="K373" s="2" t="s">
        <v>29</v>
      </c>
      <c r="L373" s="2" t="s">
        <v>19412</v>
      </c>
      <c r="M373" s="2" t="s">
        <v>19413</v>
      </c>
      <c r="N373" s="2" t="s">
        <v>19414</v>
      </c>
      <c r="O373" s="2" t="s">
        <v>19415</v>
      </c>
      <c r="P373" s="2" t="s">
        <v>19416</v>
      </c>
      <c r="Q373" s="2" t="s">
        <v>19417</v>
      </c>
      <c r="R373" s="2" t="s">
        <v>49</v>
      </c>
      <c r="S373" s="2" t="s">
        <v>165</v>
      </c>
      <c r="T373" s="2" t="s">
        <v>166</v>
      </c>
      <c r="U373" s="2" t="s">
        <v>39</v>
      </c>
      <c r="V373" s="2" t="n">
        <v>1</v>
      </c>
    </row>
    <row r="374">
      <c r="A374" s="2" t="n">
        <v>373</v>
      </c>
      <c r="B374" s="2" t="s">
        <v>19418</v>
      </c>
      <c r="C374" s="2" t="n">
        <v>635.539772114</v>
      </c>
      <c r="D374" s="2" t="n">
        <v>7.40897258175342</v>
      </c>
      <c r="E374" s="2" t="s">
        <v>19419</v>
      </c>
      <c r="F374" s="2" t="s">
        <v>15649</v>
      </c>
      <c r="G374" s="2" t="s">
        <v>19420</v>
      </c>
      <c r="H374" s="2" t="s">
        <v>19421</v>
      </c>
      <c r="I374" s="2" t="s">
        <v>19422</v>
      </c>
      <c r="J374" s="2" t="s">
        <v>226</v>
      </c>
      <c r="K374" s="2" t="s">
        <v>226</v>
      </c>
      <c r="L374" s="2" t="s">
        <v>226</v>
      </c>
      <c r="M374" s="2" t="s">
        <v>226</v>
      </c>
      <c r="N374" s="2" t="s">
        <v>19423</v>
      </c>
      <c r="O374" s="2" t="s">
        <v>226</v>
      </c>
      <c r="P374" s="2" t="s">
        <v>19424</v>
      </c>
      <c r="Q374" s="2" t="s">
        <v>19425</v>
      </c>
      <c r="R374" s="2" t="s">
        <v>105</v>
      </c>
      <c r="S374" s="2" t="s">
        <v>5580</v>
      </c>
      <c r="T374" s="2" t="s">
        <v>19426</v>
      </c>
      <c r="U374" s="2" t="s">
        <v>29</v>
      </c>
      <c r="V374" s="2" t="n">
        <v>3</v>
      </c>
    </row>
    <row r="375">
      <c r="A375" s="2" t="n">
        <v>374</v>
      </c>
      <c r="B375" s="2" t="s">
        <v>19427</v>
      </c>
      <c r="C375" s="2" t="n">
        <v>640.9093682</v>
      </c>
      <c r="D375" s="2" t="n">
        <v>7.15056676474121</v>
      </c>
      <c r="E375" s="2" t="s">
        <v>19428</v>
      </c>
      <c r="F375" s="2" t="s">
        <v>16225</v>
      </c>
      <c r="G375" s="2" t="s">
        <v>19429</v>
      </c>
      <c r="H375" s="2" t="s">
        <v>19430</v>
      </c>
      <c r="I375" s="2" t="s">
        <v>19431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19432</v>
      </c>
      <c r="Q375" s="2" t="s">
        <v>19433</v>
      </c>
      <c r="R375" s="2" t="s">
        <v>502</v>
      </c>
      <c r="S375" s="2" t="s">
        <v>503</v>
      </c>
      <c r="T375" s="2" t="s">
        <v>2313</v>
      </c>
      <c r="U375" s="2" t="s">
        <v>29</v>
      </c>
      <c r="V375" s="2" t="n">
        <v>1</v>
      </c>
    </row>
    <row r="376">
      <c r="A376" s="2" t="n">
        <v>375</v>
      </c>
      <c r="B376" s="2" t="s">
        <v>19434</v>
      </c>
      <c r="C376" s="2" t="n">
        <v>645.158013775</v>
      </c>
      <c r="D376" s="2" t="n">
        <v>1.13354542619319</v>
      </c>
      <c r="E376" s="2" t="s">
        <v>19435</v>
      </c>
      <c r="F376" s="2" t="s">
        <v>15919</v>
      </c>
      <c r="G376" s="2" t="s">
        <v>19436</v>
      </c>
      <c r="H376" s="2" t="s">
        <v>19437</v>
      </c>
      <c r="I376" s="2" t="s">
        <v>19438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19439</v>
      </c>
      <c r="O376" s="2" t="s">
        <v>29</v>
      </c>
      <c r="P376" s="2" t="s">
        <v>19440</v>
      </c>
      <c r="Q376" s="2" t="s">
        <v>19441</v>
      </c>
      <c r="R376" s="2" t="s">
        <v>64</v>
      </c>
      <c r="S376" s="2" t="s">
        <v>65</v>
      </c>
      <c r="T376" s="2" t="s">
        <v>66</v>
      </c>
      <c r="U376" s="2" t="s">
        <v>29</v>
      </c>
      <c r="V376" s="2" t="n">
        <v>1</v>
      </c>
    </row>
    <row r="377">
      <c r="A377" s="2" t="n">
        <v>376</v>
      </c>
      <c r="B377" s="2" t="s">
        <v>19442</v>
      </c>
      <c r="C377" s="2" t="n">
        <v>645.332811616</v>
      </c>
      <c r="D377" s="2" t="n">
        <v>1.05032673124665</v>
      </c>
      <c r="E377" s="2" t="s">
        <v>19443</v>
      </c>
      <c r="F377" s="2" t="s">
        <v>15778</v>
      </c>
      <c r="G377" s="2" t="s">
        <v>19444</v>
      </c>
      <c r="H377" s="2" t="s">
        <v>19445</v>
      </c>
      <c r="I377" s="2" t="s">
        <v>19446</v>
      </c>
      <c r="J377" s="2" t="s">
        <v>19447</v>
      </c>
      <c r="K377" s="2" t="s">
        <v>29</v>
      </c>
      <c r="L377" s="2" t="s">
        <v>29</v>
      </c>
      <c r="M377" s="2" t="s">
        <v>19448</v>
      </c>
      <c r="N377" s="2" t="s">
        <v>19449</v>
      </c>
      <c r="O377" s="2" t="s">
        <v>29</v>
      </c>
      <c r="P377" s="2" t="s">
        <v>19450</v>
      </c>
      <c r="Q377" s="2" t="s">
        <v>19451</v>
      </c>
      <c r="R377" s="2" t="s">
        <v>1490</v>
      </c>
      <c r="S377" s="2" t="s">
        <v>1491</v>
      </c>
      <c r="T377" s="2" t="s">
        <v>6523</v>
      </c>
      <c r="U377" s="2" t="s">
        <v>29</v>
      </c>
      <c r="V377" s="2" t="n">
        <v>1</v>
      </c>
    </row>
    <row r="378">
      <c r="A378" s="2" t="n">
        <v>377</v>
      </c>
      <c r="B378" s="2" t="s">
        <v>19452</v>
      </c>
      <c r="C378" s="2" t="n">
        <v>645.448982051</v>
      </c>
      <c r="D378" s="2" t="n">
        <v>7.85145503589444</v>
      </c>
      <c r="E378" s="2" t="s">
        <v>19453</v>
      </c>
      <c r="F378" s="2" t="s">
        <v>15649</v>
      </c>
      <c r="G378" s="2" t="s">
        <v>19454</v>
      </c>
      <c r="H378" s="2" t="s">
        <v>19455</v>
      </c>
      <c r="I378" s="2" t="s">
        <v>19456</v>
      </c>
      <c r="J378" s="2" t="s">
        <v>19457</v>
      </c>
      <c r="K378" s="2" t="s">
        <v>19458</v>
      </c>
      <c r="L378" s="2" t="s">
        <v>29</v>
      </c>
      <c r="M378" s="2" t="s">
        <v>29</v>
      </c>
      <c r="N378" s="2" t="s">
        <v>19459</v>
      </c>
      <c r="O378" s="2" t="s">
        <v>29</v>
      </c>
      <c r="P378" s="2" t="s">
        <v>19460</v>
      </c>
      <c r="Q378" s="2" t="s">
        <v>19461</v>
      </c>
      <c r="R378" s="2" t="s">
        <v>1490</v>
      </c>
      <c r="S378" s="2" t="s">
        <v>4236</v>
      </c>
      <c r="T378" s="2" t="s">
        <v>5175</v>
      </c>
      <c r="U378" s="2" t="s">
        <v>29</v>
      </c>
      <c r="V378" s="2" t="n">
        <v>1</v>
      </c>
    </row>
    <row r="379">
      <c r="A379" s="2" t="n">
        <v>378</v>
      </c>
      <c r="B379" s="2" t="s">
        <v>19462</v>
      </c>
      <c r="C379" s="2" t="n">
        <v>647.464747908</v>
      </c>
      <c r="D379" s="2" t="n">
        <v>4.69516446247248</v>
      </c>
      <c r="E379" s="2" t="s">
        <v>19463</v>
      </c>
      <c r="F379" s="2" t="s">
        <v>15919</v>
      </c>
      <c r="G379" s="2" t="s">
        <v>19464</v>
      </c>
      <c r="H379" s="2" t="s">
        <v>19465</v>
      </c>
      <c r="I379" s="2" t="s">
        <v>19466</v>
      </c>
      <c r="J379" s="2" t="s">
        <v>19467</v>
      </c>
      <c r="K379" s="2" t="s">
        <v>29</v>
      </c>
      <c r="L379" s="2" t="s">
        <v>29</v>
      </c>
      <c r="M379" s="2" t="s">
        <v>19468</v>
      </c>
      <c r="N379" s="2" t="s">
        <v>19469</v>
      </c>
      <c r="O379" s="2" t="s">
        <v>29</v>
      </c>
      <c r="P379" s="2" t="s">
        <v>19470</v>
      </c>
      <c r="Q379" s="2" t="s">
        <v>19471</v>
      </c>
      <c r="R379" s="2" t="s">
        <v>1490</v>
      </c>
      <c r="S379" s="2" t="s">
        <v>1491</v>
      </c>
      <c r="T379" s="2" t="s">
        <v>6924</v>
      </c>
      <c r="U379" s="2" t="s">
        <v>29</v>
      </c>
      <c r="V379" s="2" t="n">
        <v>1</v>
      </c>
    </row>
    <row r="380">
      <c r="A380" s="2" t="n">
        <v>379</v>
      </c>
      <c r="B380" s="2" t="s">
        <v>19472</v>
      </c>
      <c r="C380" s="2" t="n">
        <v>648.665895655</v>
      </c>
      <c r="D380" s="2" t="n">
        <v>0.0739285730927734</v>
      </c>
      <c r="E380" s="2" t="s">
        <v>19473</v>
      </c>
      <c r="F380" s="2" t="s">
        <v>15611</v>
      </c>
      <c r="G380" s="2" t="s">
        <v>19474</v>
      </c>
      <c r="H380" s="2" t="s">
        <v>19475</v>
      </c>
      <c r="I380" s="2" t="s">
        <v>19476</v>
      </c>
      <c r="J380" s="2" t="s">
        <v>19477</v>
      </c>
      <c r="K380" s="2" t="s">
        <v>19478</v>
      </c>
      <c r="L380" s="2" t="s">
        <v>29</v>
      </c>
      <c r="M380" s="2" t="s">
        <v>29</v>
      </c>
      <c r="N380" s="2" t="s">
        <v>19479</v>
      </c>
      <c r="O380" s="2" t="s">
        <v>29</v>
      </c>
      <c r="P380" s="2" t="s">
        <v>19480</v>
      </c>
      <c r="Q380" s="2" t="s">
        <v>19481</v>
      </c>
      <c r="R380" s="2" t="s">
        <v>1490</v>
      </c>
      <c r="S380" s="2" t="s">
        <v>8433</v>
      </c>
      <c r="T380" s="2" t="s">
        <v>18721</v>
      </c>
      <c r="U380" s="2" t="s">
        <v>29</v>
      </c>
      <c r="V380" s="2" t="n">
        <v>1</v>
      </c>
    </row>
    <row r="381">
      <c r="A381" s="2" t="n">
        <v>380</v>
      </c>
      <c r="B381" s="2" t="s">
        <v>19482</v>
      </c>
      <c r="C381" s="2" t="n">
        <v>651.10262868</v>
      </c>
      <c r="D381" s="2" t="n">
        <v>0.335020723227941</v>
      </c>
      <c r="E381" s="2" t="s">
        <v>19483</v>
      </c>
      <c r="F381" s="2" t="s">
        <v>15691</v>
      </c>
      <c r="G381" s="2" t="s">
        <v>19484</v>
      </c>
      <c r="H381" s="2" t="s">
        <v>19485</v>
      </c>
      <c r="I381" s="2" t="s">
        <v>19486</v>
      </c>
      <c r="J381" s="2" t="s">
        <v>19487</v>
      </c>
      <c r="K381" s="2" t="s">
        <v>29</v>
      </c>
      <c r="L381" s="2" t="s">
        <v>29</v>
      </c>
      <c r="M381" s="2" t="s">
        <v>29</v>
      </c>
      <c r="N381" s="2" t="s">
        <v>19488</v>
      </c>
      <c r="O381" s="2" t="s">
        <v>29</v>
      </c>
      <c r="P381" s="2" t="s">
        <v>19489</v>
      </c>
      <c r="Q381" s="2" t="s">
        <v>19490</v>
      </c>
      <c r="R381" s="2" t="s">
        <v>2509</v>
      </c>
      <c r="S381" s="2" t="s">
        <v>4720</v>
      </c>
      <c r="T381" s="2" t="s">
        <v>19491</v>
      </c>
      <c r="U381" s="2" t="s">
        <v>29</v>
      </c>
      <c r="V381" s="2" t="n">
        <v>1</v>
      </c>
    </row>
    <row r="382">
      <c r="A382" s="2" t="n">
        <v>381</v>
      </c>
      <c r="B382" s="2" t="s">
        <v>19492</v>
      </c>
      <c r="C382" s="2" t="n">
        <v>653.453751067</v>
      </c>
      <c r="D382" s="2" t="n">
        <v>5.91591600997068</v>
      </c>
      <c r="E382" s="2" t="s">
        <v>19493</v>
      </c>
      <c r="F382" s="2" t="s">
        <v>15649</v>
      </c>
      <c r="G382" s="2" t="s">
        <v>19494</v>
      </c>
      <c r="H382" s="2" t="s">
        <v>19495</v>
      </c>
      <c r="I382" s="2" t="s">
        <v>19496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19497</v>
      </c>
      <c r="Q382" s="2" t="s">
        <v>19498</v>
      </c>
      <c r="R382" s="2" t="s">
        <v>502</v>
      </c>
      <c r="S382" s="2" t="s">
        <v>503</v>
      </c>
      <c r="T382" s="2" t="s">
        <v>7641</v>
      </c>
      <c r="U382" s="2" t="s">
        <v>29</v>
      </c>
      <c r="V382" s="2" t="n">
        <v>1</v>
      </c>
    </row>
    <row r="383">
      <c r="A383" s="2" t="n">
        <v>382</v>
      </c>
      <c r="B383" s="2" t="s">
        <v>19499</v>
      </c>
      <c r="C383" s="2" t="n">
        <v>655.469678536</v>
      </c>
      <c r="D383" s="2" t="n">
        <v>2.45372519937204</v>
      </c>
      <c r="E383" s="2" t="s">
        <v>19500</v>
      </c>
      <c r="F383" s="2" t="s">
        <v>17922</v>
      </c>
      <c r="G383" s="2" t="s">
        <v>19501</v>
      </c>
      <c r="H383" s="2" t="s">
        <v>19502</v>
      </c>
      <c r="I383" s="2" t="s">
        <v>19503</v>
      </c>
      <c r="J383" s="2" t="s">
        <v>19504</v>
      </c>
      <c r="K383" s="2" t="s">
        <v>19505</v>
      </c>
      <c r="L383" s="2" t="s">
        <v>19506</v>
      </c>
      <c r="M383" s="2" t="s">
        <v>19507</v>
      </c>
      <c r="N383" s="2" t="s">
        <v>19508</v>
      </c>
      <c r="O383" s="2" t="s">
        <v>19509</v>
      </c>
      <c r="P383" s="2" t="s">
        <v>19510</v>
      </c>
      <c r="Q383" s="2" t="s">
        <v>19511</v>
      </c>
      <c r="R383" s="2" t="s">
        <v>105</v>
      </c>
      <c r="S383" s="2" t="s">
        <v>5580</v>
      </c>
      <c r="T383" s="2" t="s">
        <v>19512</v>
      </c>
      <c r="U383" s="2" t="s">
        <v>39</v>
      </c>
      <c r="V383" s="2" t="n">
        <v>3</v>
      </c>
    </row>
    <row r="384">
      <c r="A384" s="2" t="n">
        <v>383</v>
      </c>
      <c r="B384" s="2" t="s">
        <v>19513</v>
      </c>
      <c r="C384" s="2" t="n">
        <v>657.0698319</v>
      </c>
      <c r="D384" s="2" t="n">
        <v>2.78878299856998</v>
      </c>
      <c r="E384" s="2" t="s">
        <v>19514</v>
      </c>
      <c r="F384" s="2" t="s">
        <v>15858</v>
      </c>
      <c r="G384" s="2" t="s">
        <v>19515</v>
      </c>
      <c r="H384" s="2" t="s">
        <v>19516</v>
      </c>
      <c r="I384" s="2" t="s">
        <v>19517</v>
      </c>
      <c r="J384" s="2" t="s">
        <v>29</v>
      </c>
      <c r="K384" s="2" t="s">
        <v>29</v>
      </c>
      <c r="L384" s="2" t="s">
        <v>19518</v>
      </c>
      <c r="M384" s="2" t="s">
        <v>19519</v>
      </c>
      <c r="N384" s="2" t="s">
        <v>19520</v>
      </c>
      <c r="O384" s="2" t="s">
        <v>19521</v>
      </c>
      <c r="P384" s="2" t="s">
        <v>19522</v>
      </c>
      <c r="Q384" s="2" t="s">
        <v>19523</v>
      </c>
      <c r="R384" s="2" t="s">
        <v>2509</v>
      </c>
      <c r="S384" s="2" t="s">
        <v>4949</v>
      </c>
      <c r="T384" s="2" t="s">
        <v>4950</v>
      </c>
      <c r="U384" s="2" t="s">
        <v>39</v>
      </c>
      <c r="V384" s="2" t="n">
        <v>1</v>
      </c>
    </row>
    <row r="385">
      <c r="A385" s="2" t="n">
        <v>384</v>
      </c>
      <c r="B385" s="2" t="s">
        <v>19524</v>
      </c>
      <c r="C385" s="2" t="n">
        <v>657.485367074</v>
      </c>
      <c r="D385" s="2" t="n">
        <v>6.74023244352574</v>
      </c>
      <c r="E385" s="2" t="s">
        <v>19525</v>
      </c>
      <c r="F385" s="2" t="s">
        <v>15649</v>
      </c>
      <c r="G385" s="2" t="s">
        <v>19526</v>
      </c>
      <c r="H385" s="2" t="s">
        <v>19527</v>
      </c>
      <c r="I385" s="2" t="s">
        <v>19528</v>
      </c>
      <c r="J385" s="2" t="s">
        <v>19529</v>
      </c>
      <c r="K385" s="2" t="s">
        <v>19530</v>
      </c>
      <c r="L385" s="2" t="s">
        <v>19531</v>
      </c>
      <c r="M385" s="2" t="s">
        <v>29</v>
      </c>
      <c r="N385" s="2" t="s">
        <v>19532</v>
      </c>
      <c r="O385" s="2" t="s">
        <v>19533</v>
      </c>
      <c r="P385" s="2" t="s">
        <v>19534</v>
      </c>
      <c r="Q385" s="2" t="s">
        <v>19535</v>
      </c>
      <c r="R385" s="2" t="s">
        <v>1490</v>
      </c>
      <c r="S385" s="2" t="s">
        <v>4236</v>
      </c>
      <c r="T385" s="2" t="s">
        <v>5175</v>
      </c>
      <c r="U385" s="2" t="s">
        <v>39</v>
      </c>
      <c r="V385" s="2" t="n">
        <v>1</v>
      </c>
    </row>
    <row r="386">
      <c r="A386" s="2" t="n">
        <v>385</v>
      </c>
      <c r="B386" s="2" t="s">
        <v>19536</v>
      </c>
      <c r="C386" s="2" t="n">
        <v>658.112805083</v>
      </c>
      <c r="D386" s="2" t="n">
        <v>6.66034206609956</v>
      </c>
      <c r="E386" s="2" t="s">
        <v>19537</v>
      </c>
      <c r="F386" s="2" t="s">
        <v>15722</v>
      </c>
      <c r="G386" s="2" t="s">
        <v>19538</v>
      </c>
      <c r="H386" s="2" t="s">
        <v>19539</v>
      </c>
      <c r="I386" s="2" t="s">
        <v>19540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19541</v>
      </c>
      <c r="O386" s="2" t="s">
        <v>29</v>
      </c>
      <c r="P386" s="2" t="s">
        <v>19542</v>
      </c>
      <c r="Q386" s="2" t="s">
        <v>19543</v>
      </c>
      <c r="R386" s="2" t="s">
        <v>49</v>
      </c>
      <c r="S386" s="2" t="s">
        <v>165</v>
      </c>
      <c r="T386" s="2" t="s">
        <v>166</v>
      </c>
      <c r="U386" s="2" t="s">
        <v>29</v>
      </c>
      <c r="V386" s="2" t="n">
        <v>1</v>
      </c>
    </row>
    <row r="387">
      <c r="A387" s="2" t="n">
        <v>386</v>
      </c>
      <c r="B387" s="2" t="s">
        <v>19544</v>
      </c>
      <c r="C387" s="2" t="n">
        <v>659.495260176</v>
      </c>
      <c r="D387" s="2" t="n">
        <v>2.88594893108627</v>
      </c>
      <c r="E387" s="2" t="s">
        <v>19545</v>
      </c>
      <c r="F387" s="2" t="s">
        <v>16225</v>
      </c>
      <c r="G387" s="2" t="s">
        <v>19546</v>
      </c>
      <c r="H387" s="2" t="s">
        <v>19547</v>
      </c>
      <c r="I387" s="2" t="s">
        <v>19548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19549</v>
      </c>
      <c r="O387" s="2" t="s">
        <v>29</v>
      </c>
      <c r="P387" s="2" t="s">
        <v>19550</v>
      </c>
      <c r="Q387" s="2" t="s">
        <v>19551</v>
      </c>
      <c r="R387" s="2" t="s">
        <v>1490</v>
      </c>
      <c r="S387" s="2" t="s">
        <v>3546</v>
      </c>
      <c r="T387" s="2" t="s">
        <v>7375</v>
      </c>
      <c r="U387" s="2" t="s">
        <v>29</v>
      </c>
      <c r="V387" s="2" t="n">
        <v>1</v>
      </c>
    </row>
    <row r="388">
      <c r="A388" s="2" t="n">
        <v>387</v>
      </c>
      <c r="B388" s="2" t="s">
        <v>19552</v>
      </c>
      <c r="C388" s="2" t="n">
        <v>666.116123898</v>
      </c>
      <c r="D388" s="2" t="n">
        <v>9.95736641361368</v>
      </c>
      <c r="E388" s="2" t="s">
        <v>19553</v>
      </c>
      <c r="F388" s="2" t="s">
        <v>15919</v>
      </c>
      <c r="G388" s="2" t="s">
        <v>19554</v>
      </c>
      <c r="H388" s="2" t="s">
        <v>19555</v>
      </c>
      <c r="I388" s="2" t="s">
        <v>19556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19557</v>
      </c>
      <c r="O388" s="2" t="s">
        <v>29</v>
      </c>
      <c r="P388" s="2" t="s">
        <v>19558</v>
      </c>
      <c r="Q388" s="2" t="s">
        <v>19559</v>
      </c>
      <c r="R388" s="2" t="s">
        <v>49</v>
      </c>
      <c r="S388" s="2" t="s">
        <v>165</v>
      </c>
      <c r="T388" s="2" t="s">
        <v>166</v>
      </c>
      <c r="U388" s="2" t="s">
        <v>29</v>
      </c>
      <c r="V388" s="2" t="n">
        <v>1</v>
      </c>
    </row>
    <row r="389">
      <c r="A389" s="2" t="n">
        <v>388</v>
      </c>
      <c r="B389" s="2" t="s">
        <v>19560</v>
      </c>
      <c r="C389" s="2" t="n">
        <v>666.35615801</v>
      </c>
      <c r="D389" s="2" t="n">
        <v>5.00199358364327</v>
      </c>
      <c r="E389" s="2" t="s">
        <v>19561</v>
      </c>
      <c r="F389" s="2" t="s">
        <v>15691</v>
      </c>
      <c r="G389" s="2" t="s">
        <v>19562</v>
      </c>
      <c r="H389" s="2" t="s">
        <v>19563</v>
      </c>
      <c r="I389" s="2" t="s">
        <v>19564</v>
      </c>
      <c r="J389" s="2" t="s">
        <v>10576</v>
      </c>
      <c r="K389" s="2" t="s">
        <v>29</v>
      </c>
      <c r="L389" s="2" t="s">
        <v>19565</v>
      </c>
      <c r="M389" s="2" t="s">
        <v>19566</v>
      </c>
      <c r="N389" s="2" t="s">
        <v>19567</v>
      </c>
      <c r="O389" s="2" t="s">
        <v>19568</v>
      </c>
      <c r="P389" s="2" t="s">
        <v>19569</v>
      </c>
      <c r="Q389" s="2" t="s">
        <v>19570</v>
      </c>
      <c r="R389" s="2" t="s">
        <v>49</v>
      </c>
      <c r="S389" s="2" t="s">
        <v>165</v>
      </c>
      <c r="T389" s="2" t="s">
        <v>166</v>
      </c>
      <c r="U389" s="2" t="s">
        <v>39</v>
      </c>
      <c r="V389" s="2" t="n">
        <v>1</v>
      </c>
    </row>
    <row r="390">
      <c r="A390" s="2" t="n">
        <v>389</v>
      </c>
      <c r="B390" s="2" t="s">
        <v>19571</v>
      </c>
      <c r="C390" s="2" t="n">
        <v>667.61360575</v>
      </c>
      <c r="D390" s="2" t="n">
        <v>1.56520160607171</v>
      </c>
      <c r="E390" s="2" t="s">
        <v>19572</v>
      </c>
      <c r="F390" s="2" t="s">
        <v>15778</v>
      </c>
      <c r="G390" s="2" t="s">
        <v>19573</v>
      </c>
      <c r="H390" s="2" t="s">
        <v>19574</v>
      </c>
      <c r="I390" s="2" t="s">
        <v>19575</v>
      </c>
      <c r="J390" s="2" t="s">
        <v>19576</v>
      </c>
      <c r="K390" s="2" t="s">
        <v>72</v>
      </c>
      <c r="L390" s="2" t="s">
        <v>72</v>
      </c>
      <c r="M390" s="2" t="s">
        <v>72</v>
      </c>
      <c r="N390" s="2" t="s">
        <v>19577</v>
      </c>
      <c r="O390" s="2" t="s">
        <v>19578</v>
      </c>
      <c r="P390" s="2" t="s">
        <v>19579</v>
      </c>
      <c r="Q390" s="2" t="s">
        <v>19580</v>
      </c>
      <c r="R390" s="2" t="s">
        <v>19581</v>
      </c>
      <c r="S390" s="2" t="s">
        <v>19582</v>
      </c>
      <c r="T390" s="2" t="s">
        <v>19583</v>
      </c>
      <c r="U390" s="2" t="s">
        <v>29</v>
      </c>
      <c r="V390" s="2" t="n">
        <v>2</v>
      </c>
    </row>
    <row r="391">
      <c r="A391" s="2" t="n">
        <v>390</v>
      </c>
      <c r="B391" s="2" t="s">
        <v>19584</v>
      </c>
      <c r="C391" s="2" t="n">
        <v>671.594879048</v>
      </c>
      <c r="D391" s="2" t="n">
        <v>7.68328309398755</v>
      </c>
      <c r="E391" s="2" t="s">
        <v>19585</v>
      </c>
      <c r="F391" s="2" t="s">
        <v>17922</v>
      </c>
      <c r="G391" s="2" t="s">
        <v>19586</v>
      </c>
      <c r="H391" s="2" t="s">
        <v>19587</v>
      </c>
      <c r="I391" s="2" t="s">
        <v>19588</v>
      </c>
      <c r="J391" s="2" t="s">
        <v>19589</v>
      </c>
      <c r="K391" s="2" t="s">
        <v>72</v>
      </c>
      <c r="L391" s="2" t="s">
        <v>72</v>
      </c>
      <c r="M391" s="2" t="s">
        <v>72</v>
      </c>
      <c r="N391" s="2" t="s">
        <v>19590</v>
      </c>
      <c r="O391" s="2" t="s">
        <v>72</v>
      </c>
      <c r="P391" s="2" t="s">
        <v>19591</v>
      </c>
      <c r="Q391" s="2" t="s">
        <v>19592</v>
      </c>
      <c r="R391" s="2" t="s">
        <v>150</v>
      </c>
      <c r="S391" s="2" t="s">
        <v>151</v>
      </c>
      <c r="T391" s="2" t="s">
        <v>411</v>
      </c>
      <c r="U391" s="2" t="s">
        <v>29</v>
      </c>
      <c r="V391" s="2" t="n">
        <v>2</v>
      </c>
    </row>
    <row r="392">
      <c r="A392" s="2" t="n">
        <v>391</v>
      </c>
      <c r="B392" s="2" t="s">
        <v>19593</v>
      </c>
      <c r="C392" s="2" t="n">
        <v>673.137517534</v>
      </c>
      <c r="D392" s="2" t="n">
        <v>7.7757638405823</v>
      </c>
      <c r="E392" s="2" t="s">
        <v>19594</v>
      </c>
      <c r="F392" s="2" t="s">
        <v>15858</v>
      </c>
      <c r="G392" s="2" t="s">
        <v>19595</v>
      </c>
      <c r="H392" s="2" t="s">
        <v>19596</v>
      </c>
      <c r="I392" s="2" t="s">
        <v>19597</v>
      </c>
      <c r="J392" s="2" t="s">
        <v>19598</v>
      </c>
      <c r="K392" s="2" t="s">
        <v>226</v>
      </c>
      <c r="L392" s="2" t="s">
        <v>226</v>
      </c>
      <c r="M392" s="2" t="s">
        <v>226</v>
      </c>
      <c r="N392" s="2" t="s">
        <v>19599</v>
      </c>
      <c r="O392" s="2" t="s">
        <v>19600</v>
      </c>
      <c r="P392" s="2" t="s">
        <v>19601</v>
      </c>
      <c r="Q392" s="2" t="s">
        <v>19602</v>
      </c>
      <c r="R392" s="2" t="s">
        <v>19603</v>
      </c>
      <c r="S392" s="2" t="s">
        <v>19604</v>
      </c>
      <c r="T392" s="2" t="s">
        <v>19605</v>
      </c>
      <c r="U392" s="2" t="s">
        <v>29</v>
      </c>
      <c r="V392" s="2" t="n">
        <v>3</v>
      </c>
    </row>
    <row r="393">
      <c r="A393" s="2" t="n">
        <v>392</v>
      </c>
      <c r="B393" s="2" t="s">
        <v>19606</v>
      </c>
      <c r="C393" s="2" t="n">
        <v>678.841377398</v>
      </c>
      <c r="D393" s="2" t="n">
        <v>3.7340451729438</v>
      </c>
      <c r="E393" s="2" t="s">
        <v>19607</v>
      </c>
      <c r="F393" s="2" t="s">
        <v>15722</v>
      </c>
      <c r="G393" s="2" t="s">
        <v>19608</v>
      </c>
      <c r="H393" s="2" t="s">
        <v>19609</v>
      </c>
      <c r="I393" s="2" t="s">
        <v>19610</v>
      </c>
      <c r="J393" s="2" t="s">
        <v>19611</v>
      </c>
      <c r="K393" s="2" t="s">
        <v>29</v>
      </c>
      <c r="L393" s="2" t="s">
        <v>29</v>
      </c>
      <c r="M393" s="2" t="s">
        <v>29</v>
      </c>
      <c r="N393" s="2" t="s">
        <v>19612</v>
      </c>
      <c r="O393" s="2" t="s">
        <v>19613</v>
      </c>
      <c r="P393" s="2" t="s">
        <v>19614</v>
      </c>
      <c r="Q393" s="2" t="s">
        <v>19615</v>
      </c>
      <c r="R393" s="2" t="s">
        <v>64</v>
      </c>
      <c r="S393" s="2" t="s">
        <v>65</v>
      </c>
      <c r="T393" s="2" t="s">
        <v>66</v>
      </c>
      <c r="U393" s="2" t="s">
        <v>29</v>
      </c>
      <c r="V393" s="2" t="n">
        <v>1</v>
      </c>
    </row>
    <row r="394">
      <c r="A394" s="2" t="n">
        <v>393</v>
      </c>
      <c r="B394" s="2" t="s">
        <v>19616</v>
      </c>
      <c r="C394" s="2" t="n">
        <v>679.446934354</v>
      </c>
      <c r="D394" s="2" t="n">
        <v>4.73784767311522</v>
      </c>
      <c r="E394" s="2" t="s">
        <v>19617</v>
      </c>
      <c r="F394" s="2" t="s">
        <v>15778</v>
      </c>
      <c r="G394" s="2" t="s">
        <v>19618</v>
      </c>
      <c r="H394" s="2" t="s">
        <v>19619</v>
      </c>
      <c r="I394" s="2" t="s">
        <v>19620</v>
      </c>
      <c r="J394" s="2" t="s">
        <v>29</v>
      </c>
      <c r="K394" s="2" t="s">
        <v>29</v>
      </c>
      <c r="L394" s="2" t="s">
        <v>19621</v>
      </c>
      <c r="M394" s="2" t="s">
        <v>19622</v>
      </c>
      <c r="N394" s="2" t="s">
        <v>19623</v>
      </c>
      <c r="O394" s="2" t="s">
        <v>19624</v>
      </c>
      <c r="P394" s="2" t="s">
        <v>19625</v>
      </c>
      <c r="Q394" s="2" t="s">
        <v>19626</v>
      </c>
      <c r="R394" s="2" t="s">
        <v>2509</v>
      </c>
      <c r="S394" s="2" t="s">
        <v>4367</v>
      </c>
      <c r="T394" s="2" t="s">
        <v>205</v>
      </c>
      <c r="U394" s="2" t="s">
        <v>39</v>
      </c>
      <c r="V394" s="2" t="n">
        <v>1</v>
      </c>
    </row>
    <row r="395">
      <c r="A395" s="2" t="n">
        <v>394</v>
      </c>
      <c r="B395" s="2" t="s">
        <v>19627</v>
      </c>
      <c r="C395" s="2" t="n">
        <v>683.130816832</v>
      </c>
      <c r="D395" s="2" t="n">
        <v>0.715954447399153</v>
      </c>
      <c r="E395" s="2" t="s">
        <v>19628</v>
      </c>
      <c r="F395" s="2" t="s">
        <v>17922</v>
      </c>
      <c r="G395" s="2" t="s">
        <v>19629</v>
      </c>
      <c r="H395" s="2" t="s">
        <v>19630</v>
      </c>
      <c r="I395" s="2" t="s">
        <v>19631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19632</v>
      </c>
      <c r="O395" s="2" t="s">
        <v>29</v>
      </c>
      <c r="P395" s="2" t="s">
        <v>19633</v>
      </c>
      <c r="Q395" s="2" t="s">
        <v>19634</v>
      </c>
      <c r="R395" s="2" t="s">
        <v>49</v>
      </c>
      <c r="S395" s="2" t="s">
        <v>165</v>
      </c>
      <c r="T395" s="2" t="s">
        <v>166</v>
      </c>
      <c r="U395" s="2" t="s">
        <v>29</v>
      </c>
      <c r="V395" s="2" t="n">
        <v>1</v>
      </c>
    </row>
    <row r="396">
      <c r="A396" s="2" t="n">
        <v>395</v>
      </c>
      <c r="B396" s="2" t="s">
        <v>19635</v>
      </c>
      <c r="C396" s="2" t="n">
        <v>685.0932206</v>
      </c>
      <c r="D396" s="2" t="n">
        <v>7.00671615614586</v>
      </c>
      <c r="E396" s="2" t="s">
        <v>19636</v>
      </c>
      <c r="F396" s="2" t="s">
        <v>15919</v>
      </c>
      <c r="G396" s="2" t="s">
        <v>19637</v>
      </c>
      <c r="H396" s="2" t="s">
        <v>19638</v>
      </c>
      <c r="I396" s="2" t="s">
        <v>19639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19640</v>
      </c>
      <c r="O396" s="2" t="s">
        <v>29</v>
      </c>
      <c r="P396" s="2" t="s">
        <v>19641</v>
      </c>
      <c r="Q396" s="2" t="s">
        <v>19642</v>
      </c>
      <c r="R396" s="2" t="s">
        <v>2509</v>
      </c>
      <c r="S396" s="2" t="s">
        <v>5520</v>
      </c>
      <c r="T396" s="2" t="s">
        <v>5664</v>
      </c>
      <c r="U396" s="2" t="s">
        <v>29</v>
      </c>
      <c r="V396" s="2" t="n">
        <v>1</v>
      </c>
    </row>
    <row r="397">
      <c r="A397" s="2" t="n">
        <v>396</v>
      </c>
      <c r="B397" s="2" t="s">
        <v>19643</v>
      </c>
      <c r="C397" s="2" t="n">
        <v>690.506830797</v>
      </c>
      <c r="D397" s="2" t="n">
        <v>6.86881417898044</v>
      </c>
      <c r="E397" s="2" t="s">
        <v>19644</v>
      </c>
      <c r="F397" s="2" t="s">
        <v>15649</v>
      </c>
      <c r="G397" s="2" t="s">
        <v>19645</v>
      </c>
      <c r="H397" s="2" t="s">
        <v>19646</v>
      </c>
      <c r="I397" s="2" t="s">
        <v>19647</v>
      </c>
      <c r="J397" s="2" t="s">
        <v>19648</v>
      </c>
      <c r="K397" s="2" t="s">
        <v>19649</v>
      </c>
      <c r="L397" s="2" t="s">
        <v>8177</v>
      </c>
      <c r="M397" s="2" t="s">
        <v>72</v>
      </c>
      <c r="N397" s="2" t="s">
        <v>19650</v>
      </c>
      <c r="O397" s="2" t="s">
        <v>72</v>
      </c>
      <c r="P397" s="2" t="s">
        <v>19651</v>
      </c>
      <c r="Q397" s="2" t="s">
        <v>19652</v>
      </c>
      <c r="R397" s="2" t="s">
        <v>575</v>
      </c>
      <c r="S397" s="2" t="s">
        <v>6260</v>
      </c>
      <c r="T397" s="2" t="s">
        <v>7805</v>
      </c>
      <c r="U397" s="2" t="s">
        <v>39</v>
      </c>
      <c r="V397" s="2" t="n">
        <v>2</v>
      </c>
    </row>
    <row r="398">
      <c r="A398" s="2" t="n">
        <v>397</v>
      </c>
      <c r="B398" s="2" t="s">
        <v>19653</v>
      </c>
      <c r="C398" s="2" t="n">
        <v>693.106372156</v>
      </c>
      <c r="D398" s="2" t="n">
        <v>1.0228529569792</v>
      </c>
      <c r="E398" s="2" t="s">
        <v>19654</v>
      </c>
      <c r="F398" s="2" t="s">
        <v>15919</v>
      </c>
      <c r="G398" s="2" t="s">
        <v>19655</v>
      </c>
      <c r="H398" s="2" t="s">
        <v>19656</v>
      </c>
      <c r="I398" s="2" t="s">
        <v>19657</v>
      </c>
      <c r="J398" s="2" t="s">
        <v>19658</v>
      </c>
      <c r="K398" s="2" t="s">
        <v>226</v>
      </c>
      <c r="L398" s="2" t="s">
        <v>226</v>
      </c>
      <c r="M398" s="2" t="s">
        <v>226</v>
      </c>
      <c r="N398" s="2" t="s">
        <v>19659</v>
      </c>
      <c r="O398" s="2" t="s">
        <v>19660</v>
      </c>
      <c r="P398" s="2" t="s">
        <v>19661</v>
      </c>
      <c r="Q398" s="2" t="s">
        <v>19662</v>
      </c>
      <c r="R398" s="2" t="s">
        <v>5230</v>
      </c>
      <c r="S398" s="2" t="s">
        <v>19663</v>
      </c>
      <c r="T398" s="2" t="s">
        <v>19664</v>
      </c>
      <c r="U398" s="2" t="s">
        <v>29</v>
      </c>
      <c r="V398" s="2" t="n">
        <v>3</v>
      </c>
    </row>
    <row r="399">
      <c r="A399" s="2" t="n">
        <v>398</v>
      </c>
      <c r="B399" s="2" t="s">
        <v>19665</v>
      </c>
      <c r="C399" s="2" t="n">
        <v>701.026551972</v>
      </c>
      <c r="D399" s="2" t="n">
        <v>5.52754874872879</v>
      </c>
      <c r="E399" s="2" t="s">
        <v>19666</v>
      </c>
      <c r="F399" s="2" t="s">
        <v>15778</v>
      </c>
      <c r="G399" s="2" t="s">
        <v>19667</v>
      </c>
      <c r="H399" s="2" t="s">
        <v>19668</v>
      </c>
      <c r="I399" s="2" t="s">
        <v>19669</v>
      </c>
      <c r="J399" s="2" t="s">
        <v>19670</v>
      </c>
      <c r="K399" s="2" t="s">
        <v>19671</v>
      </c>
      <c r="L399" s="2" t="s">
        <v>72</v>
      </c>
      <c r="M399" s="2" t="s">
        <v>72</v>
      </c>
      <c r="N399" s="2" t="s">
        <v>19672</v>
      </c>
      <c r="O399" s="2" t="s">
        <v>19673</v>
      </c>
      <c r="P399" s="2" t="s">
        <v>19674</v>
      </c>
      <c r="Q399" s="2" t="s">
        <v>19675</v>
      </c>
      <c r="R399" s="2" t="s">
        <v>3167</v>
      </c>
      <c r="S399" s="2" t="s">
        <v>19676</v>
      </c>
      <c r="T399" s="2" t="s">
        <v>19677</v>
      </c>
      <c r="U399" s="2" t="s">
        <v>29</v>
      </c>
      <c r="V399" s="2" t="n">
        <v>2</v>
      </c>
    </row>
    <row r="400">
      <c r="A400" s="2" t="n">
        <v>399</v>
      </c>
      <c r="B400" s="2" t="s">
        <v>19678</v>
      </c>
      <c r="C400" s="2" t="n">
        <v>707.372184928</v>
      </c>
      <c r="D400" s="2" t="n">
        <v>5.84039693513701</v>
      </c>
      <c r="E400" s="2" t="s">
        <v>19679</v>
      </c>
      <c r="F400" s="2" t="s">
        <v>16225</v>
      </c>
      <c r="G400" s="2" t="s">
        <v>19680</v>
      </c>
      <c r="H400" s="2" t="s">
        <v>19681</v>
      </c>
      <c r="I400" s="2" t="s">
        <v>19682</v>
      </c>
      <c r="J400" s="2" t="s">
        <v>72</v>
      </c>
      <c r="K400" s="2" t="s">
        <v>72</v>
      </c>
      <c r="L400" s="2" t="s">
        <v>72</v>
      </c>
      <c r="M400" s="2" t="s">
        <v>72</v>
      </c>
      <c r="N400" s="2" t="s">
        <v>19683</v>
      </c>
      <c r="O400" s="2" t="s">
        <v>19684</v>
      </c>
      <c r="P400" s="2" t="s">
        <v>19685</v>
      </c>
      <c r="Q400" s="2" t="s">
        <v>19686</v>
      </c>
      <c r="R400" s="2" t="s">
        <v>480</v>
      </c>
      <c r="S400" s="2" t="s">
        <v>19687</v>
      </c>
      <c r="T400" s="2" t="s">
        <v>19688</v>
      </c>
      <c r="U400" s="2" t="s">
        <v>29</v>
      </c>
      <c r="V400" s="2" t="n">
        <v>2</v>
      </c>
    </row>
    <row r="401">
      <c r="A401" s="2" t="n">
        <v>400</v>
      </c>
      <c r="B401" s="2" t="s">
        <v>19689</v>
      </c>
      <c r="C401" s="2" t="n">
        <v>709.468732428</v>
      </c>
      <c r="D401" s="2" t="n">
        <v>3.40811342988379</v>
      </c>
      <c r="E401" s="2" t="s">
        <v>19690</v>
      </c>
      <c r="F401" s="2" t="s">
        <v>15778</v>
      </c>
      <c r="G401" s="2" t="s">
        <v>19691</v>
      </c>
      <c r="H401" s="2" t="s">
        <v>19692</v>
      </c>
      <c r="I401" s="2" t="s">
        <v>19693</v>
      </c>
      <c r="J401" s="2" t="s">
        <v>19694</v>
      </c>
      <c r="K401" s="2" t="s">
        <v>29</v>
      </c>
      <c r="L401" s="2" t="s">
        <v>19695</v>
      </c>
      <c r="M401" s="2" t="s">
        <v>19696</v>
      </c>
      <c r="N401" s="2" t="s">
        <v>19697</v>
      </c>
      <c r="O401" s="2" t="s">
        <v>19698</v>
      </c>
      <c r="P401" s="2" t="s">
        <v>19699</v>
      </c>
      <c r="Q401" s="2" t="s">
        <v>19700</v>
      </c>
      <c r="R401" s="2" t="s">
        <v>4189</v>
      </c>
      <c r="S401" s="2" t="s">
        <v>19701</v>
      </c>
      <c r="T401" s="2" t="s">
        <v>205</v>
      </c>
      <c r="U401" s="2" t="s">
        <v>39</v>
      </c>
      <c r="V401" s="2" t="n">
        <v>1</v>
      </c>
    </row>
    <row r="402">
      <c r="A402" s="2" t="n">
        <v>401</v>
      </c>
      <c r="B402" s="2" t="s">
        <v>19702</v>
      </c>
      <c r="C402" s="2" t="n">
        <v>709.634066425</v>
      </c>
      <c r="D402" s="2" t="n">
        <v>5.95841269928095</v>
      </c>
      <c r="E402" s="2" t="s">
        <v>19703</v>
      </c>
      <c r="F402" s="2" t="s">
        <v>15649</v>
      </c>
      <c r="G402" s="2" t="s">
        <v>19704</v>
      </c>
      <c r="H402" s="2" t="s">
        <v>19705</v>
      </c>
      <c r="I402" s="2" t="s">
        <v>19706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19707</v>
      </c>
      <c r="O402" s="2" t="s">
        <v>29</v>
      </c>
      <c r="P402" s="2" t="s">
        <v>19708</v>
      </c>
      <c r="Q402" s="2" t="s">
        <v>19709</v>
      </c>
      <c r="R402" s="2" t="s">
        <v>1490</v>
      </c>
      <c r="S402" s="2" t="s">
        <v>6728</v>
      </c>
      <c r="T402" s="2" t="s">
        <v>6754</v>
      </c>
      <c r="U402" s="2" t="s">
        <v>29</v>
      </c>
      <c r="V402" s="2" t="n">
        <v>1</v>
      </c>
    </row>
    <row r="403">
      <c r="A403" s="2" t="n">
        <v>402</v>
      </c>
      <c r="B403" s="2" t="s">
        <v>19710</v>
      </c>
      <c r="C403" s="2" t="n">
        <v>714.506830797</v>
      </c>
      <c r="D403" s="2" t="n">
        <v>0.793702114905333</v>
      </c>
      <c r="E403" s="2" t="s">
        <v>19711</v>
      </c>
      <c r="F403" s="2" t="s">
        <v>15649</v>
      </c>
      <c r="G403" s="2" t="s">
        <v>19712</v>
      </c>
      <c r="H403" s="2" t="s">
        <v>19713</v>
      </c>
      <c r="I403" s="2" t="s">
        <v>19714</v>
      </c>
      <c r="J403" s="2" t="s">
        <v>19715</v>
      </c>
      <c r="K403" s="2" t="s">
        <v>29</v>
      </c>
      <c r="L403" s="2" t="s">
        <v>7680</v>
      </c>
      <c r="M403" s="2" t="s">
        <v>29</v>
      </c>
      <c r="N403" s="2" t="s">
        <v>19716</v>
      </c>
      <c r="O403" s="2" t="s">
        <v>29</v>
      </c>
      <c r="P403" s="2" t="s">
        <v>19717</v>
      </c>
      <c r="Q403" s="2" t="s">
        <v>19718</v>
      </c>
      <c r="R403" s="2" t="s">
        <v>1490</v>
      </c>
      <c r="S403" s="2" t="s">
        <v>4236</v>
      </c>
      <c r="T403" s="2" t="s">
        <v>5369</v>
      </c>
      <c r="U403" s="2" t="s">
        <v>39</v>
      </c>
      <c r="V403" s="2" t="n">
        <v>1</v>
      </c>
    </row>
    <row r="404">
      <c r="A404" s="2" t="n">
        <v>403</v>
      </c>
      <c r="B404" s="2" t="s">
        <v>19719</v>
      </c>
      <c r="C404" s="2" t="n">
        <v>715.611824974</v>
      </c>
      <c r="D404" s="2" t="n">
        <v>4.57745706086758</v>
      </c>
      <c r="E404" s="2" t="s">
        <v>19720</v>
      </c>
      <c r="F404" s="2" t="s">
        <v>15611</v>
      </c>
      <c r="G404" s="2" t="s">
        <v>19721</v>
      </c>
      <c r="H404" s="2" t="s">
        <v>19722</v>
      </c>
      <c r="I404" s="2" t="s">
        <v>19723</v>
      </c>
      <c r="J404" s="2" t="s">
        <v>19724</v>
      </c>
      <c r="K404" s="2" t="s">
        <v>19725</v>
      </c>
      <c r="L404" s="2" t="s">
        <v>8853</v>
      </c>
      <c r="M404" s="2" t="s">
        <v>19726</v>
      </c>
      <c r="N404" s="2" t="s">
        <v>19727</v>
      </c>
      <c r="O404" s="2" t="s">
        <v>29</v>
      </c>
      <c r="P404" s="2" t="s">
        <v>19728</v>
      </c>
      <c r="Q404" s="2" t="s">
        <v>19729</v>
      </c>
      <c r="R404" s="2" t="s">
        <v>1490</v>
      </c>
      <c r="S404" s="2" t="s">
        <v>8433</v>
      </c>
      <c r="T404" s="2" t="s">
        <v>8858</v>
      </c>
      <c r="U404" s="2" t="s">
        <v>39</v>
      </c>
      <c r="V404" s="2" t="n">
        <v>1</v>
      </c>
    </row>
    <row r="405">
      <c r="A405" s="2" t="n">
        <v>404</v>
      </c>
      <c r="B405" s="2" t="s">
        <v>19730</v>
      </c>
      <c r="C405" s="2" t="n">
        <v>716.521416258</v>
      </c>
      <c r="D405" s="2" t="n">
        <v>2.61037587445188</v>
      </c>
      <c r="E405" s="2" t="s">
        <v>19731</v>
      </c>
      <c r="F405" s="2" t="s">
        <v>15611</v>
      </c>
      <c r="G405" s="2" t="s">
        <v>19732</v>
      </c>
      <c r="H405" s="2" t="s">
        <v>19733</v>
      </c>
      <c r="I405" s="2" t="s">
        <v>19734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19735</v>
      </c>
      <c r="O405" s="2" t="s">
        <v>29</v>
      </c>
      <c r="P405" s="2" t="s">
        <v>19736</v>
      </c>
      <c r="Q405" s="2" t="s">
        <v>19737</v>
      </c>
      <c r="R405" s="2" t="s">
        <v>64</v>
      </c>
      <c r="S405" s="2" t="s">
        <v>65</v>
      </c>
      <c r="T405" s="2" t="s">
        <v>66</v>
      </c>
      <c r="U405" s="2" t="s">
        <v>29</v>
      </c>
      <c r="V405" s="2" t="n">
        <v>1</v>
      </c>
    </row>
    <row r="406">
      <c r="A406" s="2" t="n">
        <v>405</v>
      </c>
      <c r="B406" s="2" t="s">
        <v>19738</v>
      </c>
      <c r="C406" s="2" t="n">
        <v>721.176860008</v>
      </c>
      <c r="D406" s="2" t="n">
        <v>7.39129514576838</v>
      </c>
      <c r="E406" s="2" t="s">
        <v>19739</v>
      </c>
      <c r="F406" s="2" t="s">
        <v>15624</v>
      </c>
      <c r="G406" s="2" t="s">
        <v>19740</v>
      </c>
      <c r="H406" s="2" t="s">
        <v>19741</v>
      </c>
      <c r="I406" s="2" t="s">
        <v>19742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19743</v>
      </c>
      <c r="O406" s="2" t="s">
        <v>29</v>
      </c>
      <c r="P406" s="2" t="s">
        <v>19744</v>
      </c>
      <c r="Q406" s="2" t="s">
        <v>19745</v>
      </c>
      <c r="R406" s="2" t="s">
        <v>2509</v>
      </c>
      <c r="S406" s="2" t="s">
        <v>5520</v>
      </c>
      <c r="T406" s="2" t="s">
        <v>7136</v>
      </c>
      <c r="U406" s="2" t="s">
        <v>29</v>
      </c>
      <c r="V406" s="2" t="n">
        <v>1</v>
      </c>
    </row>
    <row r="407">
      <c r="A407" s="2" t="n">
        <v>406</v>
      </c>
      <c r="B407" s="2" t="s">
        <v>19746</v>
      </c>
      <c r="C407" s="2" t="n">
        <v>721.886478601</v>
      </c>
      <c r="D407" s="2" t="n">
        <v>0.253695564477317</v>
      </c>
      <c r="E407" s="2" t="s">
        <v>19747</v>
      </c>
      <c r="F407" s="2" t="s">
        <v>15919</v>
      </c>
      <c r="G407" s="2" t="s">
        <v>19748</v>
      </c>
      <c r="H407" s="2" t="s">
        <v>19749</v>
      </c>
      <c r="I407" s="2" t="s">
        <v>19750</v>
      </c>
      <c r="J407" s="2" t="s">
        <v>19751</v>
      </c>
      <c r="K407" s="2" t="s">
        <v>29</v>
      </c>
      <c r="L407" s="2" t="s">
        <v>19752</v>
      </c>
      <c r="M407" s="2" t="s">
        <v>19753</v>
      </c>
      <c r="N407" s="2" t="s">
        <v>19754</v>
      </c>
      <c r="O407" s="2" t="s">
        <v>29</v>
      </c>
      <c r="P407" s="2" t="s">
        <v>19755</v>
      </c>
      <c r="Q407" s="2" t="s">
        <v>19756</v>
      </c>
      <c r="R407" s="2" t="s">
        <v>2590</v>
      </c>
      <c r="S407" s="2" t="s">
        <v>6120</v>
      </c>
      <c r="T407" s="2" t="s">
        <v>7366</v>
      </c>
      <c r="U407" s="2" t="s">
        <v>39</v>
      </c>
      <c r="V407" s="2" t="n">
        <v>1</v>
      </c>
    </row>
    <row r="408">
      <c r="A408" s="2" t="n">
        <v>407</v>
      </c>
      <c r="B408" s="2" t="s">
        <v>19757</v>
      </c>
      <c r="C408" s="2" t="n">
        <v>723.401436458</v>
      </c>
      <c r="D408" s="2" t="n">
        <v>9.75114081073971</v>
      </c>
      <c r="E408" s="2" t="s">
        <v>19758</v>
      </c>
      <c r="F408" s="2" t="s">
        <v>15691</v>
      </c>
      <c r="G408" s="2" t="s">
        <v>19759</v>
      </c>
      <c r="H408" s="2" t="s">
        <v>19760</v>
      </c>
      <c r="I408" s="2" t="s">
        <v>19761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19762</v>
      </c>
      <c r="O408" s="2" t="s">
        <v>29</v>
      </c>
      <c r="P408" s="2" t="s">
        <v>19763</v>
      </c>
      <c r="Q408" s="2" t="s">
        <v>19764</v>
      </c>
      <c r="R408" s="2" t="s">
        <v>64</v>
      </c>
      <c r="S408" s="2" t="s">
        <v>65</v>
      </c>
      <c r="T408" s="2" t="s">
        <v>66</v>
      </c>
      <c r="U408" s="2" t="s">
        <v>29</v>
      </c>
      <c r="V408" s="2" t="n">
        <v>1</v>
      </c>
    </row>
    <row r="409">
      <c r="A409" s="2" t="n">
        <v>408</v>
      </c>
      <c r="B409" s="2" t="s">
        <v>19765</v>
      </c>
      <c r="C409" s="2" t="n">
        <v>729.095888806</v>
      </c>
      <c r="D409" s="2" t="n">
        <v>5.37386527488131</v>
      </c>
      <c r="E409" s="2" t="s">
        <v>19766</v>
      </c>
      <c r="F409" s="2" t="s">
        <v>17922</v>
      </c>
      <c r="G409" s="2" t="s">
        <v>19767</v>
      </c>
      <c r="H409" s="2" t="s">
        <v>19768</v>
      </c>
      <c r="I409" s="2" t="s">
        <v>19769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19770</v>
      </c>
      <c r="O409" s="2" t="s">
        <v>29</v>
      </c>
      <c r="P409" s="2" t="s">
        <v>19771</v>
      </c>
      <c r="Q409" s="2" t="s">
        <v>19772</v>
      </c>
      <c r="R409" s="2" t="s">
        <v>64</v>
      </c>
      <c r="S409" s="2" t="s">
        <v>65</v>
      </c>
      <c r="T409" s="2" t="s">
        <v>1214</v>
      </c>
      <c r="U409" s="2" t="s">
        <v>29</v>
      </c>
      <c r="V409" s="2" t="n">
        <v>1</v>
      </c>
    </row>
    <row r="410">
      <c r="A410" s="2" t="n">
        <v>409</v>
      </c>
      <c r="B410" s="2" t="s">
        <v>19773</v>
      </c>
      <c r="C410" s="2" t="n">
        <v>730.70435375</v>
      </c>
      <c r="D410" s="2" t="n">
        <v>4.11348506602136</v>
      </c>
      <c r="E410" s="2" t="s">
        <v>19774</v>
      </c>
      <c r="F410" s="2" t="s">
        <v>17922</v>
      </c>
      <c r="G410" s="2" t="s">
        <v>19775</v>
      </c>
      <c r="H410" s="2" t="s">
        <v>19776</v>
      </c>
      <c r="I410" s="2" t="s">
        <v>19777</v>
      </c>
      <c r="J410" s="2" t="s">
        <v>19778</v>
      </c>
      <c r="K410" s="2" t="s">
        <v>29</v>
      </c>
      <c r="L410" s="2" t="s">
        <v>19779</v>
      </c>
      <c r="M410" s="2" t="s">
        <v>29</v>
      </c>
      <c r="N410" s="2" t="s">
        <v>19780</v>
      </c>
      <c r="O410" s="2" t="s">
        <v>19781</v>
      </c>
      <c r="P410" s="2" t="s">
        <v>19782</v>
      </c>
      <c r="Q410" s="2" t="s">
        <v>19783</v>
      </c>
      <c r="R410" s="2" t="s">
        <v>355</v>
      </c>
      <c r="S410" s="2" t="s">
        <v>19784</v>
      </c>
      <c r="T410" s="2" t="s">
        <v>19785</v>
      </c>
      <c r="U410" s="2" t="s">
        <v>39</v>
      </c>
      <c r="V410" s="2" t="n">
        <v>1</v>
      </c>
    </row>
    <row r="411">
      <c r="A411" s="2" t="n">
        <v>410</v>
      </c>
      <c r="B411" s="2" t="s">
        <v>19786</v>
      </c>
      <c r="C411" s="2" t="n">
        <v>738.188025565</v>
      </c>
      <c r="D411" s="2" t="n">
        <v>5.74638560497309</v>
      </c>
      <c r="E411" s="2" t="s">
        <v>19787</v>
      </c>
      <c r="F411" s="2" t="s">
        <v>15919</v>
      </c>
      <c r="G411" s="2" t="s">
        <v>19788</v>
      </c>
      <c r="H411" s="2" t="s">
        <v>19789</v>
      </c>
      <c r="I411" s="2" t="s">
        <v>19790</v>
      </c>
      <c r="J411" s="2" t="s">
        <v>19791</v>
      </c>
      <c r="K411" s="2" t="s">
        <v>29</v>
      </c>
      <c r="L411" s="2" t="s">
        <v>29</v>
      </c>
      <c r="M411" s="2" t="s">
        <v>19792</v>
      </c>
      <c r="N411" s="2" t="s">
        <v>19793</v>
      </c>
      <c r="O411" s="2" t="s">
        <v>19794</v>
      </c>
      <c r="P411" s="2" t="s">
        <v>19795</v>
      </c>
      <c r="Q411" s="2" t="s">
        <v>19796</v>
      </c>
      <c r="R411" s="2" t="s">
        <v>49</v>
      </c>
      <c r="S411" s="2" t="s">
        <v>165</v>
      </c>
      <c r="T411" s="2" t="s">
        <v>166</v>
      </c>
      <c r="U411" s="2" t="s">
        <v>29</v>
      </c>
      <c r="V411" s="2" t="n">
        <v>1</v>
      </c>
    </row>
    <row r="412">
      <c r="A412" s="2" t="n">
        <v>411</v>
      </c>
      <c r="B412" s="2" t="s">
        <v>19797</v>
      </c>
      <c r="C412" s="2" t="n">
        <v>738.491690939</v>
      </c>
      <c r="D412" s="2" t="n">
        <v>0.33832300509651</v>
      </c>
      <c r="E412" s="2" t="s">
        <v>19798</v>
      </c>
      <c r="F412" s="2" t="s">
        <v>15919</v>
      </c>
      <c r="G412" s="2" t="s">
        <v>19799</v>
      </c>
      <c r="H412" s="2" t="s">
        <v>19800</v>
      </c>
      <c r="I412" s="2" t="s">
        <v>19801</v>
      </c>
      <c r="J412" s="2" t="s">
        <v>19802</v>
      </c>
      <c r="K412" s="2" t="s">
        <v>72</v>
      </c>
      <c r="L412" s="2" t="s">
        <v>72</v>
      </c>
      <c r="M412" s="2" t="s">
        <v>19803</v>
      </c>
      <c r="N412" s="2" t="s">
        <v>19804</v>
      </c>
      <c r="O412" s="2" t="s">
        <v>19805</v>
      </c>
      <c r="P412" s="2" t="s">
        <v>19806</v>
      </c>
      <c r="Q412" s="2" t="s">
        <v>19807</v>
      </c>
      <c r="R412" s="2" t="s">
        <v>575</v>
      </c>
      <c r="S412" s="2" t="s">
        <v>8105</v>
      </c>
      <c r="T412" s="2" t="s">
        <v>19808</v>
      </c>
      <c r="U412" s="2" t="s">
        <v>29</v>
      </c>
      <c r="V412" s="2" t="n">
        <v>2</v>
      </c>
    </row>
    <row r="413">
      <c r="A413" s="2" t="n">
        <v>412</v>
      </c>
      <c r="B413" s="2" t="s">
        <v>19809</v>
      </c>
      <c r="C413" s="2" t="n">
        <v>740.522480861</v>
      </c>
      <c r="D413" s="2" t="n">
        <v>0.944189096447507</v>
      </c>
      <c r="E413" s="2" t="s">
        <v>19810</v>
      </c>
      <c r="F413" s="2" t="s">
        <v>15649</v>
      </c>
      <c r="G413" s="2" t="s">
        <v>19811</v>
      </c>
      <c r="H413" s="2" t="s">
        <v>19812</v>
      </c>
      <c r="I413" s="2" t="s">
        <v>19813</v>
      </c>
      <c r="J413" s="2" t="s">
        <v>19814</v>
      </c>
      <c r="K413" s="2" t="s">
        <v>19815</v>
      </c>
      <c r="L413" s="2" t="s">
        <v>8177</v>
      </c>
      <c r="M413" s="2" t="s">
        <v>72</v>
      </c>
      <c r="N413" s="2" t="s">
        <v>19816</v>
      </c>
      <c r="O413" s="2" t="s">
        <v>72</v>
      </c>
      <c r="P413" s="2" t="s">
        <v>19817</v>
      </c>
      <c r="Q413" s="2" t="s">
        <v>19818</v>
      </c>
      <c r="R413" s="2" t="s">
        <v>575</v>
      </c>
      <c r="S413" s="2" t="s">
        <v>6260</v>
      </c>
      <c r="T413" s="2" t="s">
        <v>7805</v>
      </c>
      <c r="U413" s="2" t="s">
        <v>39</v>
      </c>
      <c r="V413" s="2" t="n">
        <v>2</v>
      </c>
    </row>
    <row r="414">
      <c r="A414" s="2" t="n">
        <v>413</v>
      </c>
      <c r="B414" s="2" t="s">
        <v>19819</v>
      </c>
      <c r="C414" s="2" t="n">
        <v>745.054958</v>
      </c>
      <c r="D414" s="2" t="n">
        <v>4.14266625082856</v>
      </c>
      <c r="E414" s="2" t="s">
        <v>19820</v>
      </c>
      <c r="F414" s="2" t="s">
        <v>17922</v>
      </c>
      <c r="G414" s="2" t="s">
        <v>19821</v>
      </c>
      <c r="H414" s="2" t="s">
        <v>19822</v>
      </c>
      <c r="I414" s="2" t="s">
        <v>19823</v>
      </c>
      <c r="J414" s="2" t="s">
        <v>19824</v>
      </c>
      <c r="K414" s="2" t="s">
        <v>29</v>
      </c>
      <c r="L414" s="2" t="s">
        <v>19825</v>
      </c>
      <c r="M414" s="2" t="s">
        <v>19826</v>
      </c>
      <c r="N414" s="2" t="s">
        <v>19827</v>
      </c>
      <c r="O414" s="2" t="s">
        <v>19828</v>
      </c>
      <c r="P414" s="2" t="s">
        <v>19829</v>
      </c>
      <c r="Q414" s="2" t="s">
        <v>19830</v>
      </c>
      <c r="R414" s="2" t="s">
        <v>502</v>
      </c>
      <c r="S414" s="2" t="s">
        <v>503</v>
      </c>
      <c r="T414" s="2" t="s">
        <v>3362</v>
      </c>
      <c r="U414" s="2" t="s">
        <v>39</v>
      </c>
      <c r="V414" s="2" t="n">
        <v>1</v>
      </c>
    </row>
    <row r="415">
      <c r="A415" s="2" t="n">
        <v>414</v>
      </c>
      <c r="B415" s="2" t="s">
        <v>19831</v>
      </c>
      <c r="C415" s="2" t="n">
        <v>745.767459292</v>
      </c>
      <c r="D415" s="2" t="n">
        <v>3.09201531309735</v>
      </c>
      <c r="E415" s="2" t="s">
        <v>19832</v>
      </c>
      <c r="F415" s="2" t="s">
        <v>16225</v>
      </c>
      <c r="G415" s="2" t="s">
        <v>19833</v>
      </c>
      <c r="H415" s="2" t="s">
        <v>19834</v>
      </c>
      <c r="I415" s="2" t="s">
        <v>19835</v>
      </c>
      <c r="J415" s="2" t="s">
        <v>19836</v>
      </c>
      <c r="K415" s="2" t="s">
        <v>29</v>
      </c>
      <c r="L415" s="2" t="s">
        <v>29</v>
      </c>
      <c r="M415" s="2" t="s">
        <v>29</v>
      </c>
      <c r="N415" s="2" t="s">
        <v>19837</v>
      </c>
      <c r="O415" s="2" t="s">
        <v>29</v>
      </c>
      <c r="P415" s="2" t="s">
        <v>19838</v>
      </c>
      <c r="Q415" s="2" t="s">
        <v>19839</v>
      </c>
      <c r="R415" s="2" t="s">
        <v>36</v>
      </c>
      <c r="S415" s="2" t="s">
        <v>37</v>
      </c>
      <c r="T415" s="2" t="s">
        <v>679</v>
      </c>
      <c r="U415" s="2" t="s">
        <v>29</v>
      </c>
      <c r="V415" s="2" t="n">
        <v>1</v>
      </c>
    </row>
    <row r="416">
      <c r="A416" s="2" t="n">
        <v>415</v>
      </c>
      <c r="B416" s="2" t="s">
        <v>19840</v>
      </c>
      <c r="C416" s="2" t="n">
        <v>751.111851464</v>
      </c>
      <c r="D416" s="2" t="n">
        <v>4.92755594066657</v>
      </c>
      <c r="E416" s="2" t="s">
        <v>19841</v>
      </c>
      <c r="F416" s="2" t="s">
        <v>15919</v>
      </c>
      <c r="G416" s="2" t="s">
        <v>19842</v>
      </c>
      <c r="H416" s="2" t="s">
        <v>19843</v>
      </c>
      <c r="I416" s="2" t="s">
        <v>19844</v>
      </c>
      <c r="J416" s="2" t="s">
        <v>19845</v>
      </c>
      <c r="K416" s="2" t="s">
        <v>29</v>
      </c>
      <c r="L416" s="2" t="s">
        <v>29</v>
      </c>
      <c r="M416" s="2" t="s">
        <v>19846</v>
      </c>
      <c r="N416" s="2" t="s">
        <v>19847</v>
      </c>
      <c r="O416" s="2" t="s">
        <v>19848</v>
      </c>
      <c r="P416" s="2" t="s">
        <v>19849</v>
      </c>
      <c r="Q416" s="2" t="s">
        <v>19850</v>
      </c>
      <c r="R416" s="2" t="s">
        <v>2509</v>
      </c>
      <c r="S416" s="2" t="s">
        <v>5520</v>
      </c>
      <c r="T416" s="2" t="s">
        <v>5664</v>
      </c>
      <c r="U416" s="2" t="s">
        <v>29</v>
      </c>
      <c r="V416" s="2" t="n">
        <v>1</v>
      </c>
    </row>
    <row r="417">
      <c r="A417" s="2" t="n">
        <v>416</v>
      </c>
      <c r="B417" s="2" t="s">
        <v>19851</v>
      </c>
      <c r="C417" s="2" t="n">
        <v>753.485956244</v>
      </c>
      <c r="D417" s="2" t="n">
        <v>0.832867663762971</v>
      </c>
      <c r="E417" s="2" t="s">
        <v>19852</v>
      </c>
      <c r="F417" s="2" t="s">
        <v>15611</v>
      </c>
      <c r="G417" s="2" t="s">
        <v>19853</v>
      </c>
      <c r="H417" s="2" t="s">
        <v>19854</v>
      </c>
      <c r="I417" s="2" t="s">
        <v>19855</v>
      </c>
      <c r="J417" s="2" t="s">
        <v>19856</v>
      </c>
      <c r="K417" s="2" t="s">
        <v>19857</v>
      </c>
      <c r="L417" s="2" t="s">
        <v>72</v>
      </c>
      <c r="M417" s="2" t="s">
        <v>72</v>
      </c>
      <c r="N417" s="2" t="s">
        <v>19858</v>
      </c>
      <c r="O417" s="2" t="s">
        <v>72</v>
      </c>
      <c r="P417" s="2" t="s">
        <v>19859</v>
      </c>
      <c r="Q417" s="2" t="s">
        <v>19860</v>
      </c>
      <c r="R417" s="2" t="s">
        <v>575</v>
      </c>
      <c r="S417" s="2" t="s">
        <v>6260</v>
      </c>
      <c r="T417" s="2" t="s">
        <v>8001</v>
      </c>
      <c r="U417" s="2" t="s">
        <v>29</v>
      </c>
      <c r="V417" s="2" t="n">
        <v>2</v>
      </c>
    </row>
    <row r="418">
      <c r="A418" s="2" t="n">
        <v>417</v>
      </c>
      <c r="B418" s="2" t="s">
        <v>19861</v>
      </c>
      <c r="C418" s="2" t="n">
        <v>754.478362861</v>
      </c>
      <c r="D418" s="2" t="n">
        <v>0.990810557157142</v>
      </c>
      <c r="E418" s="2" t="s">
        <v>19862</v>
      </c>
      <c r="F418" s="2" t="s">
        <v>15919</v>
      </c>
      <c r="G418" s="2" t="s">
        <v>19863</v>
      </c>
      <c r="H418" s="2" t="s">
        <v>19864</v>
      </c>
      <c r="I418" s="2" t="s">
        <v>19865</v>
      </c>
      <c r="J418" s="2" t="s">
        <v>19866</v>
      </c>
      <c r="K418" s="2" t="s">
        <v>19867</v>
      </c>
      <c r="L418" s="2" t="s">
        <v>7680</v>
      </c>
      <c r="M418" s="2" t="s">
        <v>29</v>
      </c>
      <c r="N418" s="2" t="s">
        <v>19868</v>
      </c>
      <c r="O418" s="2" t="s">
        <v>29</v>
      </c>
      <c r="P418" s="2" t="s">
        <v>19869</v>
      </c>
      <c r="Q418" s="2" t="s">
        <v>19870</v>
      </c>
      <c r="R418" s="2" t="s">
        <v>1490</v>
      </c>
      <c r="S418" s="2" t="s">
        <v>4236</v>
      </c>
      <c r="T418" s="2" t="s">
        <v>5369</v>
      </c>
      <c r="U418" s="2" t="s">
        <v>39</v>
      </c>
      <c r="V418" s="2" t="n">
        <v>1</v>
      </c>
    </row>
    <row r="419">
      <c r="A419" s="2" t="n">
        <v>418</v>
      </c>
      <c r="B419" s="2" t="s">
        <v>19871</v>
      </c>
      <c r="C419" s="2" t="n">
        <v>756.551373053</v>
      </c>
      <c r="D419" s="2" t="n">
        <v>1.09354509730231</v>
      </c>
      <c r="E419" s="2" t="s">
        <v>19872</v>
      </c>
      <c r="F419" s="2" t="s">
        <v>15858</v>
      </c>
      <c r="G419" s="2" t="s">
        <v>19873</v>
      </c>
      <c r="H419" s="2" t="s">
        <v>19874</v>
      </c>
      <c r="I419" s="2" t="s">
        <v>19875</v>
      </c>
      <c r="J419" s="2" t="s">
        <v>19876</v>
      </c>
      <c r="K419" s="2" t="s">
        <v>19877</v>
      </c>
      <c r="L419" s="2" t="s">
        <v>8009</v>
      </c>
      <c r="M419" s="2" t="s">
        <v>19878</v>
      </c>
      <c r="N419" s="2" t="s">
        <v>19879</v>
      </c>
      <c r="O419" s="2" t="s">
        <v>19880</v>
      </c>
      <c r="P419" s="2" t="s">
        <v>19881</v>
      </c>
      <c r="Q419" s="2" t="s">
        <v>19882</v>
      </c>
      <c r="R419" s="2" t="s">
        <v>575</v>
      </c>
      <c r="S419" s="2" t="s">
        <v>6260</v>
      </c>
      <c r="T419" s="2" t="s">
        <v>6261</v>
      </c>
      <c r="U419" s="2" t="s">
        <v>39</v>
      </c>
      <c r="V419" s="2" t="n">
        <v>2</v>
      </c>
    </row>
    <row r="420">
      <c r="A420" s="2" t="n">
        <v>419</v>
      </c>
      <c r="B420" s="2" t="s">
        <v>19883</v>
      </c>
      <c r="C420" s="2" t="n">
        <v>757.553249904</v>
      </c>
      <c r="D420" s="2" t="n">
        <v>1.07695864216499</v>
      </c>
      <c r="E420" s="2" t="s">
        <v>19884</v>
      </c>
      <c r="F420" s="2" t="s">
        <v>15778</v>
      </c>
      <c r="G420" s="2" t="s">
        <v>19885</v>
      </c>
      <c r="H420" s="2" t="s">
        <v>19886</v>
      </c>
      <c r="I420" s="2" t="s">
        <v>19887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19888</v>
      </c>
      <c r="Q420" s="2" t="s">
        <v>19889</v>
      </c>
      <c r="R420" s="2" t="s">
        <v>64</v>
      </c>
      <c r="S420" s="2" t="s">
        <v>65</v>
      </c>
      <c r="T420" s="2" t="s">
        <v>66</v>
      </c>
      <c r="U420" s="2" t="s">
        <v>29</v>
      </c>
      <c r="V420" s="2" t="n">
        <v>1</v>
      </c>
    </row>
    <row r="421">
      <c r="A421" s="2" t="n">
        <v>420</v>
      </c>
      <c r="B421" s="2" t="s">
        <v>19890</v>
      </c>
      <c r="C421" s="2" t="n">
        <v>758.569431053</v>
      </c>
      <c r="D421" s="2" t="n">
        <v>1.00142809920491</v>
      </c>
      <c r="E421" s="2" t="s">
        <v>19891</v>
      </c>
      <c r="F421" s="2" t="s">
        <v>15649</v>
      </c>
      <c r="G421" s="2" t="s">
        <v>19892</v>
      </c>
      <c r="H421" s="2" t="s">
        <v>19893</v>
      </c>
      <c r="I421" s="2" t="s">
        <v>19894</v>
      </c>
      <c r="J421" s="2" t="s">
        <v>19895</v>
      </c>
      <c r="K421" s="2" t="s">
        <v>19896</v>
      </c>
      <c r="L421" s="2" t="s">
        <v>8608</v>
      </c>
      <c r="M421" s="2" t="s">
        <v>19897</v>
      </c>
      <c r="N421" s="2" t="s">
        <v>19898</v>
      </c>
      <c r="O421" s="2" t="s">
        <v>29</v>
      </c>
      <c r="P421" s="2" t="s">
        <v>19899</v>
      </c>
      <c r="Q421" s="2" t="s">
        <v>19900</v>
      </c>
      <c r="R421" s="2" t="s">
        <v>1490</v>
      </c>
      <c r="S421" s="2" t="s">
        <v>4236</v>
      </c>
      <c r="T421" s="2" t="s">
        <v>8613</v>
      </c>
      <c r="U421" s="2" t="s">
        <v>39</v>
      </c>
      <c r="V421" s="2" t="n">
        <v>1</v>
      </c>
    </row>
    <row r="422">
      <c r="A422" s="2" t="n">
        <v>421</v>
      </c>
      <c r="B422" s="2" t="s">
        <v>19901</v>
      </c>
      <c r="C422" s="2" t="n">
        <v>766.911430248</v>
      </c>
      <c r="D422" s="2" t="n">
        <v>7.12716092720036</v>
      </c>
      <c r="E422" s="2" t="s">
        <v>19902</v>
      </c>
      <c r="F422" s="2" t="s">
        <v>16225</v>
      </c>
      <c r="G422" s="2" t="s">
        <v>19903</v>
      </c>
      <c r="H422" s="2" t="s">
        <v>19904</v>
      </c>
      <c r="I422" s="2" t="s">
        <v>19905</v>
      </c>
      <c r="J422" s="2" t="s">
        <v>19906</v>
      </c>
      <c r="K422" s="2" t="s">
        <v>29</v>
      </c>
      <c r="L422" s="2" t="s">
        <v>29</v>
      </c>
      <c r="M422" s="2" t="s">
        <v>29</v>
      </c>
      <c r="N422" s="2" t="s">
        <v>19907</v>
      </c>
      <c r="O422" s="2" t="s">
        <v>29</v>
      </c>
      <c r="P422" s="2" t="s">
        <v>19908</v>
      </c>
      <c r="Q422" s="2" t="s">
        <v>19909</v>
      </c>
      <c r="R422" s="2" t="s">
        <v>49</v>
      </c>
      <c r="S422" s="2" t="s">
        <v>771</v>
      </c>
      <c r="T422" s="2" t="s">
        <v>772</v>
      </c>
      <c r="U422" s="2" t="s">
        <v>29</v>
      </c>
      <c r="V422" s="2" t="n">
        <v>1</v>
      </c>
    </row>
    <row r="423">
      <c r="A423" s="2" t="n">
        <v>422</v>
      </c>
      <c r="B423" s="2" t="s">
        <v>19910</v>
      </c>
      <c r="C423" s="2" t="n">
        <v>767.115437754</v>
      </c>
      <c r="D423" s="2" t="n">
        <v>6.68326778020355</v>
      </c>
      <c r="E423" s="2" t="s">
        <v>19911</v>
      </c>
      <c r="F423" s="2" t="s">
        <v>15691</v>
      </c>
      <c r="G423" s="2" t="s">
        <v>19912</v>
      </c>
      <c r="H423" s="2" t="s">
        <v>19913</v>
      </c>
      <c r="I423" s="2" t="s">
        <v>19914</v>
      </c>
      <c r="J423" s="2" t="s">
        <v>19915</v>
      </c>
      <c r="K423" s="2" t="s">
        <v>29</v>
      </c>
      <c r="L423" s="2" t="s">
        <v>29</v>
      </c>
      <c r="M423" s="2" t="s">
        <v>29</v>
      </c>
      <c r="N423" s="2" t="s">
        <v>19916</v>
      </c>
      <c r="O423" s="2" t="s">
        <v>29</v>
      </c>
      <c r="P423" s="2" t="s">
        <v>19917</v>
      </c>
      <c r="Q423" s="2" t="s">
        <v>19918</v>
      </c>
      <c r="R423" s="2" t="s">
        <v>49</v>
      </c>
      <c r="S423" s="2" t="s">
        <v>165</v>
      </c>
      <c r="T423" s="2" t="s">
        <v>166</v>
      </c>
      <c r="U423" s="2" t="s">
        <v>29</v>
      </c>
      <c r="V423" s="2" t="n">
        <v>1</v>
      </c>
    </row>
    <row r="424">
      <c r="A424" s="2" t="n">
        <v>423</v>
      </c>
      <c r="B424" s="2" t="s">
        <v>19919</v>
      </c>
      <c r="C424" s="2" t="n">
        <v>768.2062094</v>
      </c>
      <c r="D424" s="2" t="n">
        <v>5.85532018178459</v>
      </c>
      <c r="E424" s="2" t="s">
        <v>19920</v>
      </c>
      <c r="F424" s="2" t="s">
        <v>15722</v>
      </c>
      <c r="G424" s="2" t="s">
        <v>19921</v>
      </c>
      <c r="H424" s="2" t="s">
        <v>19922</v>
      </c>
      <c r="I424" s="2" t="s">
        <v>19923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19924</v>
      </c>
      <c r="O424" s="2" t="s">
        <v>29</v>
      </c>
      <c r="P424" s="2" t="s">
        <v>19925</v>
      </c>
      <c r="Q424" s="2" t="s">
        <v>19926</v>
      </c>
      <c r="R424" s="2" t="s">
        <v>2509</v>
      </c>
      <c r="S424" s="2" t="s">
        <v>8580</v>
      </c>
      <c r="T424" s="2" t="s">
        <v>205</v>
      </c>
      <c r="U424" s="2" t="s">
        <v>29</v>
      </c>
      <c r="V424" s="2" t="n">
        <v>1</v>
      </c>
    </row>
    <row r="425">
      <c r="A425" s="2" t="n">
        <v>424</v>
      </c>
      <c r="B425" s="2" t="s">
        <v>19927</v>
      </c>
      <c r="C425" s="2" t="n">
        <v>769.176310976</v>
      </c>
      <c r="D425" s="2" t="n">
        <v>1.95998303492801</v>
      </c>
      <c r="E425" s="2" t="s">
        <v>19928</v>
      </c>
      <c r="F425" s="2" t="s">
        <v>15778</v>
      </c>
      <c r="G425" s="2" t="s">
        <v>19929</v>
      </c>
      <c r="H425" s="2" t="s">
        <v>19930</v>
      </c>
      <c r="I425" s="2" t="s">
        <v>19931</v>
      </c>
      <c r="J425" s="2" t="s">
        <v>19932</v>
      </c>
      <c r="K425" s="2" t="s">
        <v>72</v>
      </c>
      <c r="L425" s="2" t="s">
        <v>72</v>
      </c>
      <c r="M425" s="2" t="s">
        <v>72</v>
      </c>
      <c r="N425" s="2" t="s">
        <v>19933</v>
      </c>
      <c r="O425" s="2" t="s">
        <v>19934</v>
      </c>
      <c r="P425" s="2" t="s">
        <v>19935</v>
      </c>
      <c r="Q425" s="2" t="s">
        <v>19936</v>
      </c>
      <c r="R425" s="2" t="s">
        <v>4770</v>
      </c>
      <c r="S425" s="2" t="s">
        <v>19937</v>
      </c>
      <c r="T425" s="2" t="s">
        <v>247</v>
      </c>
      <c r="U425" s="2" t="s">
        <v>29</v>
      </c>
      <c r="V425" s="2" t="n">
        <v>2</v>
      </c>
    </row>
    <row r="426">
      <c r="A426" s="2" t="n">
        <v>425</v>
      </c>
      <c r="B426" s="2" t="s">
        <v>19938</v>
      </c>
      <c r="C426" s="2" t="n">
        <v>771.187146168</v>
      </c>
      <c r="D426" s="2" t="n">
        <v>1.62655128390034</v>
      </c>
      <c r="E426" s="2" t="s">
        <v>19939</v>
      </c>
      <c r="F426" s="2" t="s">
        <v>15691</v>
      </c>
      <c r="G426" s="2" t="s">
        <v>19940</v>
      </c>
      <c r="H426" s="2" t="s">
        <v>19941</v>
      </c>
      <c r="I426" s="2" t="s">
        <v>19942</v>
      </c>
      <c r="J426" s="2" t="s">
        <v>72</v>
      </c>
      <c r="K426" s="2" t="s">
        <v>72</v>
      </c>
      <c r="L426" s="2" t="s">
        <v>72</v>
      </c>
      <c r="M426" s="2" t="s">
        <v>72</v>
      </c>
      <c r="N426" s="2" t="s">
        <v>19943</v>
      </c>
      <c r="O426" s="2" t="s">
        <v>72</v>
      </c>
      <c r="P426" s="2" t="s">
        <v>19944</v>
      </c>
      <c r="Q426" s="2" t="s">
        <v>19945</v>
      </c>
      <c r="R426" s="2" t="s">
        <v>3167</v>
      </c>
      <c r="S426" s="2" t="s">
        <v>4213</v>
      </c>
      <c r="T426" s="2" t="s">
        <v>9139</v>
      </c>
      <c r="U426" s="2" t="s">
        <v>29</v>
      </c>
      <c r="V426" s="2" t="n">
        <v>2</v>
      </c>
    </row>
    <row r="427">
      <c r="A427" s="2" t="n">
        <v>426</v>
      </c>
      <c r="B427" s="2" t="s">
        <v>19946</v>
      </c>
      <c r="C427" s="2" t="n">
        <v>773.1582002</v>
      </c>
      <c r="D427" s="2" t="n">
        <v>1.29983801664225</v>
      </c>
      <c r="E427" s="2" t="s">
        <v>19947</v>
      </c>
      <c r="F427" s="2" t="s">
        <v>16225</v>
      </c>
      <c r="G427" s="2" t="s">
        <v>19948</v>
      </c>
      <c r="H427" s="2" t="s">
        <v>19949</v>
      </c>
      <c r="I427" s="2" t="s">
        <v>19950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19951</v>
      </c>
      <c r="Q427" s="2" t="s">
        <v>19952</v>
      </c>
      <c r="R427" s="2" t="s">
        <v>355</v>
      </c>
      <c r="S427" s="2" t="s">
        <v>3869</v>
      </c>
      <c r="T427" s="2" t="s">
        <v>19953</v>
      </c>
      <c r="U427" s="2" t="s">
        <v>29</v>
      </c>
      <c r="V427" s="2" t="n">
        <v>1</v>
      </c>
    </row>
    <row r="428">
      <c r="A428" s="2" t="n">
        <v>427</v>
      </c>
      <c r="B428" s="2" t="s">
        <v>19954</v>
      </c>
      <c r="C428" s="2" t="n">
        <v>773.411878874</v>
      </c>
      <c r="D428" s="2" t="n">
        <v>2.08979248885487</v>
      </c>
      <c r="E428" s="2" t="s">
        <v>19955</v>
      </c>
      <c r="F428" s="2" t="s">
        <v>15611</v>
      </c>
      <c r="G428" s="2" t="s">
        <v>19956</v>
      </c>
      <c r="H428" s="2" t="s">
        <v>19957</v>
      </c>
      <c r="I428" s="2" t="s">
        <v>19958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19959</v>
      </c>
      <c r="O428" s="2" t="s">
        <v>29</v>
      </c>
      <c r="P428" s="2" t="s">
        <v>19960</v>
      </c>
      <c r="Q428" s="2" t="s">
        <v>19961</v>
      </c>
      <c r="R428" s="2" t="s">
        <v>64</v>
      </c>
      <c r="S428" s="2" t="s">
        <v>65</v>
      </c>
      <c r="T428" s="2" t="s">
        <v>66</v>
      </c>
      <c r="U428" s="2" t="s">
        <v>29</v>
      </c>
      <c r="V428" s="2" t="n">
        <v>1</v>
      </c>
    </row>
    <row r="429">
      <c r="A429" s="2" t="n">
        <v>428</v>
      </c>
      <c r="B429" s="2" t="s">
        <v>19962</v>
      </c>
      <c r="C429" s="2" t="n">
        <v>773.481031074</v>
      </c>
      <c r="D429" s="2" t="n">
        <v>3.94686996028502</v>
      </c>
      <c r="E429" s="2" t="s">
        <v>19963</v>
      </c>
      <c r="F429" s="2" t="s">
        <v>15858</v>
      </c>
      <c r="G429" s="2" t="s">
        <v>19964</v>
      </c>
      <c r="H429" s="2" t="s">
        <v>19965</v>
      </c>
      <c r="I429" s="2" t="s">
        <v>19966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19967</v>
      </c>
      <c r="O429" s="2" t="s">
        <v>29</v>
      </c>
      <c r="P429" s="2" t="s">
        <v>19968</v>
      </c>
      <c r="Q429" s="2" t="s">
        <v>19969</v>
      </c>
      <c r="R429" s="2" t="s">
        <v>1490</v>
      </c>
      <c r="S429" s="2" t="s">
        <v>4971</v>
      </c>
      <c r="T429" s="2" t="s">
        <v>5010</v>
      </c>
      <c r="U429" s="2" t="s">
        <v>29</v>
      </c>
      <c r="V429" s="2" t="n">
        <v>1</v>
      </c>
    </row>
    <row r="430">
      <c r="A430" s="2" t="n">
        <v>429</v>
      </c>
      <c r="B430" s="2" t="s">
        <v>19970</v>
      </c>
      <c r="C430" s="2" t="n">
        <v>774.564934842</v>
      </c>
      <c r="D430" s="2" t="n">
        <v>4.95427504096015</v>
      </c>
      <c r="E430" s="2" t="s">
        <v>19971</v>
      </c>
      <c r="F430" s="2" t="s">
        <v>15611</v>
      </c>
      <c r="G430" s="2" t="s">
        <v>19972</v>
      </c>
      <c r="H430" s="2" t="s">
        <v>19973</v>
      </c>
      <c r="I430" s="2" t="s">
        <v>19974</v>
      </c>
      <c r="J430" s="2" t="s">
        <v>19975</v>
      </c>
      <c r="K430" s="2" t="s">
        <v>19976</v>
      </c>
      <c r="L430" s="2" t="s">
        <v>29</v>
      </c>
      <c r="M430" s="2" t="s">
        <v>19977</v>
      </c>
      <c r="N430" s="2" t="s">
        <v>19978</v>
      </c>
      <c r="O430" s="2" t="s">
        <v>19979</v>
      </c>
      <c r="P430" s="2" t="s">
        <v>19980</v>
      </c>
      <c r="Q430" s="2" t="s">
        <v>19981</v>
      </c>
      <c r="R430" s="2" t="s">
        <v>1490</v>
      </c>
      <c r="S430" s="2" t="s">
        <v>4236</v>
      </c>
      <c r="T430" s="2" t="s">
        <v>8380</v>
      </c>
      <c r="U430" s="2" t="s">
        <v>29</v>
      </c>
      <c r="V430" s="2" t="n">
        <v>1</v>
      </c>
    </row>
    <row r="431">
      <c r="A431" s="2" t="n">
        <v>430</v>
      </c>
      <c r="B431" s="2" t="s">
        <v>19982</v>
      </c>
      <c r="C431" s="2" t="n">
        <v>781.550912798</v>
      </c>
      <c r="D431" s="2" t="n">
        <v>1.502422031595</v>
      </c>
      <c r="E431" s="2" t="s">
        <v>19983</v>
      </c>
      <c r="F431" s="2" t="s">
        <v>15722</v>
      </c>
      <c r="G431" s="2" t="s">
        <v>19984</v>
      </c>
      <c r="H431" s="2" t="s">
        <v>19985</v>
      </c>
      <c r="I431" s="2" t="s">
        <v>19986</v>
      </c>
      <c r="J431" s="2" t="s">
        <v>19987</v>
      </c>
      <c r="K431" s="2" t="s">
        <v>29</v>
      </c>
      <c r="L431" s="2" t="s">
        <v>29</v>
      </c>
      <c r="M431" s="2" t="s">
        <v>29</v>
      </c>
      <c r="N431" s="2" t="s">
        <v>19988</v>
      </c>
      <c r="O431" s="2" t="s">
        <v>29</v>
      </c>
      <c r="P431" s="2" t="s">
        <v>19989</v>
      </c>
      <c r="Q431" s="2" t="s">
        <v>19990</v>
      </c>
      <c r="R431" s="2" t="s">
        <v>1490</v>
      </c>
      <c r="S431" s="2" t="s">
        <v>6728</v>
      </c>
      <c r="T431" s="2" t="s">
        <v>6729</v>
      </c>
      <c r="U431" s="2" t="s">
        <v>29</v>
      </c>
      <c r="V431" s="2" t="n">
        <v>1</v>
      </c>
    </row>
    <row r="432">
      <c r="A432" s="2" t="n">
        <v>431</v>
      </c>
      <c r="B432" s="2" t="s">
        <v>19991</v>
      </c>
      <c r="C432" s="2" t="n">
        <v>782.567023117</v>
      </c>
      <c r="D432" s="2" t="n">
        <v>4.27918419361839</v>
      </c>
      <c r="E432" s="2" t="s">
        <v>19992</v>
      </c>
      <c r="F432" s="2" t="s">
        <v>15858</v>
      </c>
      <c r="G432" s="2" t="s">
        <v>19993</v>
      </c>
      <c r="H432" s="2" t="s">
        <v>19994</v>
      </c>
      <c r="I432" s="2" t="s">
        <v>19995</v>
      </c>
      <c r="J432" s="2" t="s">
        <v>19996</v>
      </c>
      <c r="K432" s="2" t="s">
        <v>19997</v>
      </c>
      <c r="L432" s="2" t="s">
        <v>8608</v>
      </c>
      <c r="M432" s="2" t="s">
        <v>19998</v>
      </c>
      <c r="N432" s="2" t="s">
        <v>19999</v>
      </c>
      <c r="O432" s="2" t="s">
        <v>29</v>
      </c>
      <c r="P432" s="2" t="s">
        <v>20000</v>
      </c>
      <c r="Q432" s="2" t="s">
        <v>20001</v>
      </c>
      <c r="R432" s="2" t="s">
        <v>1490</v>
      </c>
      <c r="S432" s="2" t="s">
        <v>4236</v>
      </c>
      <c r="T432" s="2" t="s">
        <v>8613</v>
      </c>
      <c r="U432" s="2" t="s">
        <v>39</v>
      </c>
      <c r="V432" s="2" t="n">
        <v>1</v>
      </c>
    </row>
    <row r="433">
      <c r="A433" s="2" t="n">
        <v>432</v>
      </c>
      <c r="B433" s="2" t="s">
        <v>20002</v>
      </c>
      <c r="C433" s="2" t="n">
        <v>783.067548388</v>
      </c>
      <c r="D433" s="2" t="n">
        <v>2.67210439915021</v>
      </c>
      <c r="E433" s="2" t="s">
        <v>20003</v>
      </c>
      <c r="F433" s="2" t="s">
        <v>15649</v>
      </c>
      <c r="G433" s="2" t="s">
        <v>20004</v>
      </c>
      <c r="H433" s="2" t="s">
        <v>20005</v>
      </c>
      <c r="I433" s="2" t="s">
        <v>20006</v>
      </c>
      <c r="J433" s="2" t="s">
        <v>20007</v>
      </c>
      <c r="K433" s="2" t="s">
        <v>29</v>
      </c>
      <c r="L433" s="2" t="s">
        <v>29</v>
      </c>
      <c r="M433" s="2" t="s">
        <v>29</v>
      </c>
      <c r="N433" s="2" t="s">
        <v>20008</v>
      </c>
      <c r="O433" s="2" t="s">
        <v>20009</v>
      </c>
      <c r="P433" s="2" t="s">
        <v>20010</v>
      </c>
      <c r="Q433" s="2" t="s">
        <v>20011</v>
      </c>
      <c r="R433" s="2" t="s">
        <v>2509</v>
      </c>
      <c r="S433" s="2" t="s">
        <v>4949</v>
      </c>
      <c r="T433" s="2" t="s">
        <v>4950</v>
      </c>
      <c r="U433" s="2" t="s">
        <v>29</v>
      </c>
      <c r="V433" s="2" t="n">
        <v>1</v>
      </c>
    </row>
    <row r="434">
      <c r="A434" s="2" t="n">
        <v>433</v>
      </c>
      <c r="B434" s="2" t="s">
        <v>20012</v>
      </c>
      <c r="C434" s="2" t="n">
        <v>783.191913656</v>
      </c>
      <c r="D434" s="2" t="n">
        <v>6.34828391983151</v>
      </c>
      <c r="E434" s="2" t="s">
        <v>20013</v>
      </c>
      <c r="F434" s="2" t="s">
        <v>16225</v>
      </c>
      <c r="G434" s="2" t="s">
        <v>20014</v>
      </c>
      <c r="H434" s="2" t="s">
        <v>20015</v>
      </c>
      <c r="I434" s="2" t="s">
        <v>20016</v>
      </c>
      <c r="J434" s="2" t="s">
        <v>29</v>
      </c>
      <c r="K434" s="2" t="s">
        <v>29</v>
      </c>
      <c r="L434" s="2" t="s">
        <v>29</v>
      </c>
      <c r="M434" s="2" t="s">
        <v>20017</v>
      </c>
      <c r="N434" s="2" t="s">
        <v>20018</v>
      </c>
      <c r="O434" s="2" t="s">
        <v>29</v>
      </c>
      <c r="P434" s="2" t="s">
        <v>20019</v>
      </c>
      <c r="Q434" s="2" t="s">
        <v>20020</v>
      </c>
      <c r="R434" s="2" t="s">
        <v>502</v>
      </c>
      <c r="S434" s="2" t="s">
        <v>1467</v>
      </c>
      <c r="T434" s="2" t="s">
        <v>205</v>
      </c>
      <c r="U434" s="2" t="s">
        <v>29</v>
      </c>
      <c r="V434" s="2" t="n">
        <v>1</v>
      </c>
    </row>
    <row r="435">
      <c r="A435" s="2" t="n">
        <v>434</v>
      </c>
      <c r="B435" s="2" t="s">
        <v>20021</v>
      </c>
      <c r="C435" s="2" t="n">
        <v>784.186980165</v>
      </c>
      <c r="D435" s="2" t="n">
        <v>1.86651095050286</v>
      </c>
      <c r="E435" s="2" t="s">
        <v>20022</v>
      </c>
      <c r="F435" s="2" t="s">
        <v>15919</v>
      </c>
      <c r="G435" s="2" t="s">
        <v>20023</v>
      </c>
      <c r="H435" s="2" t="s">
        <v>20024</v>
      </c>
      <c r="I435" s="2" t="s">
        <v>20025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20026</v>
      </c>
      <c r="O435" s="2" t="s">
        <v>29</v>
      </c>
      <c r="P435" s="2" t="s">
        <v>20027</v>
      </c>
      <c r="Q435" s="2" t="s">
        <v>20028</v>
      </c>
      <c r="R435" s="2" t="s">
        <v>49</v>
      </c>
      <c r="S435" s="2" t="s">
        <v>165</v>
      </c>
      <c r="T435" s="2" t="s">
        <v>166</v>
      </c>
      <c r="U435" s="2" t="s">
        <v>29</v>
      </c>
      <c r="V435" s="2" t="n">
        <v>1</v>
      </c>
    </row>
    <row r="436">
      <c r="A436" s="2" t="n">
        <v>435</v>
      </c>
      <c r="B436" s="2" t="s">
        <v>20029</v>
      </c>
      <c r="C436" s="2" t="n">
        <v>784.582673181</v>
      </c>
      <c r="D436" s="2" t="n">
        <v>1.21616436208987</v>
      </c>
      <c r="E436" s="2" t="s">
        <v>20030</v>
      </c>
      <c r="F436" s="2" t="s">
        <v>15858</v>
      </c>
      <c r="G436" s="2" t="s">
        <v>20031</v>
      </c>
      <c r="H436" s="2" t="s">
        <v>20032</v>
      </c>
      <c r="I436" s="2" t="s">
        <v>20033</v>
      </c>
      <c r="J436" s="2" t="s">
        <v>20034</v>
      </c>
      <c r="K436" s="2" t="s">
        <v>20035</v>
      </c>
      <c r="L436" s="2" t="s">
        <v>8608</v>
      </c>
      <c r="M436" s="2" t="s">
        <v>29</v>
      </c>
      <c r="N436" s="2" t="s">
        <v>20036</v>
      </c>
      <c r="O436" s="2" t="s">
        <v>29</v>
      </c>
      <c r="P436" s="2" t="s">
        <v>20037</v>
      </c>
      <c r="Q436" s="2" t="s">
        <v>20038</v>
      </c>
      <c r="R436" s="2" t="s">
        <v>1490</v>
      </c>
      <c r="S436" s="2" t="s">
        <v>4236</v>
      </c>
      <c r="T436" s="2" t="s">
        <v>8613</v>
      </c>
      <c r="U436" s="2" t="s">
        <v>39</v>
      </c>
      <c r="V436" s="2" t="n">
        <v>1</v>
      </c>
    </row>
    <row r="437">
      <c r="A437" s="2" t="n">
        <v>436</v>
      </c>
      <c r="B437" s="2" t="s">
        <v>20039</v>
      </c>
      <c r="C437" s="2" t="n">
        <v>786.180136685</v>
      </c>
      <c r="D437" s="2" t="n">
        <v>2.1994132759392</v>
      </c>
      <c r="E437" s="2" t="s">
        <v>20040</v>
      </c>
      <c r="F437" s="2" t="s">
        <v>15722</v>
      </c>
      <c r="G437" s="2" t="s">
        <v>20041</v>
      </c>
      <c r="H437" s="2" t="s">
        <v>20042</v>
      </c>
      <c r="I437" s="2" t="s">
        <v>20043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20044</v>
      </c>
      <c r="Q437" s="2" t="s">
        <v>20045</v>
      </c>
      <c r="R437" s="2" t="s">
        <v>502</v>
      </c>
      <c r="S437" s="2" t="s">
        <v>503</v>
      </c>
      <c r="T437" s="2" t="s">
        <v>20046</v>
      </c>
      <c r="U437" s="2" t="s">
        <v>29</v>
      </c>
      <c r="V437" s="2" t="n">
        <v>1</v>
      </c>
    </row>
    <row r="438">
      <c r="A438" s="2" t="n">
        <v>437</v>
      </c>
      <c r="B438" s="2" t="s">
        <v>20047</v>
      </c>
      <c r="C438" s="2" t="n">
        <v>787.600119176</v>
      </c>
      <c r="D438" s="2" t="n">
        <v>5.28637118431255</v>
      </c>
      <c r="E438" s="2" t="s">
        <v>20048</v>
      </c>
      <c r="F438" s="2" t="s">
        <v>16225</v>
      </c>
      <c r="G438" s="2" t="s">
        <v>20049</v>
      </c>
      <c r="H438" s="2" t="s">
        <v>20050</v>
      </c>
      <c r="I438" s="2" t="s">
        <v>20051</v>
      </c>
      <c r="J438" s="2" t="s">
        <v>20052</v>
      </c>
      <c r="K438" s="2" t="s">
        <v>226</v>
      </c>
      <c r="L438" s="2" t="s">
        <v>226</v>
      </c>
      <c r="M438" s="2" t="s">
        <v>20053</v>
      </c>
      <c r="N438" s="2" t="s">
        <v>20054</v>
      </c>
      <c r="O438" s="2" t="s">
        <v>20055</v>
      </c>
      <c r="P438" s="2" t="s">
        <v>20056</v>
      </c>
      <c r="Q438" s="2" t="s">
        <v>20057</v>
      </c>
      <c r="R438" s="2" t="s">
        <v>3699</v>
      </c>
      <c r="S438" s="2" t="s">
        <v>20058</v>
      </c>
      <c r="T438" s="2" t="s">
        <v>20059</v>
      </c>
      <c r="U438" s="2" t="s">
        <v>29</v>
      </c>
      <c r="V438" s="2" t="n">
        <v>3</v>
      </c>
    </row>
    <row r="439">
      <c r="A439" s="2" t="n">
        <v>438</v>
      </c>
      <c r="B439" s="2" t="s">
        <v>20060</v>
      </c>
      <c r="C439" s="2" t="n">
        <v>789.077045066</v>
      </c>
      <c r="D439" s="2" t="n">
        <v>0.726813446805691</v>
      </c>
      <c r="E439" s="2" t="s">
        <v>20061</v>
      </c>
      <c r="F439" s="2" t="s">
        <v>17922</v>
      </c>
      <c r="G439" s="2" t="s">
        <v>20062</v>
      </c>
      <c r="H439" s="2" t="s">
        <v>20063</v>
      </c>
      <c r="I439" s="2" t="s">
        <v>20064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20065</v>
      </c>
      <c r="O439" s="2" t="s">
        <v>29</v>
      </c>
      <c r="P439" s="2" t="s">
        <v>20066</v>
      </c>
      <c r="Q439" s="2" t="s">
        <v>20067</v>
      </c>
      <c r="R439" s="2" t="s">
        <v>64</v>
      </c>
      <c r="S439" s="2" t="s">
        <v>65</v>
      </c>
      <c r="T439" s="2" t="s">
        <v>1214</v>
      </c>
      <c r="U439" s="2" t="s">
        <v>29</v>
      </c>
      <c r="V439" s="2" t="n">
        <v>1</v>
      </c>
    </row>
    <row r="440">
      <c r="A440" s="2" t="n">
        <v>439</v>
      </c>
      <c r="B440" s="2" t="s">
        <v>20068</v>
      </c>
      <c r="C440" s="2" t="n">
        <v>790.559260778</v>
      </c>
      <c r="D440" s="2" t="n">
        <v>5.79080993423115</v>
      </c>
      <c r="E440" s="2" t="s">
        <v>20069</v>
      </c>
      <c r="F440" s="2" t="s">
        <v>15649</v>
      </c>
      <c r="G440" s="2" t="s">
        <v>20070</v>
      </c>
      <c r="H440" s="2" t="s">
        <v>20071</v>
      </c>
      <c r="I440" s="2" t="s">
        <v>20072</v>
      </c>
      <c r="J440" s="2" t="s">
        <v>20073</v>
      </c>
      <c r="K440" s="2" t="s">
        <v>20074</v>
      </c>
      <c r="L440" s="2" t="s">
        <v>8986</v>
      </c>
      <c r="M440" s="2" t="s">
        <v>20075</v>
      </c>
      <c r="N440" s="2" t="s">
        <v>20076</v>
      </c>
      <c r="O440" s="2" t="s">
        <v>20077</v>
      </c>
      <c r="P440" s="2" t="s">
        <v>20078</v>
      </c>
      <c r="Q440" s="2" t="s">
        <v>20079</v>
      </c>
      <c r="R440" s="2" t="s">
        <v>1490</v>
      </c>
      <c r="S440" s="2" t="s">
        <v>4236</v>
      </c>
      <c r="T440" s="2" t="s">
        <v>8380</v>
      </c>
      <c r="U440" s="2" t="s">
        <v>39</v>
      </c>
      <c r="V440" s="2" t="n">
        <v>1</v>
      </c>
    </row>
    <row r="441">
      <c r="A441" s="2" t="n">
        <v>440</v>
      </c>
      <c r="B441" s="2" t="s">
        <v>20080</v>
      </c>
      <c r="C441" s="2" t="n">
        <v>792.566784427</v>
      </c>
      <c r="D441" s="2" t="n">
        <v>1.95393301866195</v>
      </c>
      <c r="E441" s="2" t="s">
        <v>20081</v>
      </c>
      <c r="F441" s="2" t="s">
        <v>15919</v>
      </c>
      <c r="G441" s="2" t="s">
        <v>20082</v>
      </c>
      <c r="H441" s="2" t="s">
        <v>20083</v>
      </c>
      <c r="I441" s="2" t="s">
        <v>20084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20085</v>
      </c>
      <c r="O441" s="2" t="s">
        <v>29</v>
      </c>
      <c r="P441" s="2" t="s">
        <v>20086</v>
      </c>
      <c r="Q441" s="2" t="s">
        <v>20087</v>
      </c>
      <c r="R441" s="2" t="s">
        <v>1490</v>
      </c>
      <c r="S441" s="2" t="s">
        <v>4236</v>
      </c>
      <c r="T441" s="2" t="s">
        <v>8613</v>
      </c>
      <c r="U441" s="2" t="s">
        <v>29</v>
      </c>
      <c r="V441" s="2" t="n">
        <v>1</v>
      </c>
    </row>
    <row r="442">
      <c r="A442" s="2" t="n">
        <v>441</v>
      </c>
      <c r="B442" s="2" t="s">
        <v>20088</v>
      </c>
      <c r="C442" s="2" t="n">
        <v>793.549146238</v>
      </c>
      <c r="D442" s="2" t="n">
        <v>5.15311264248977</v>
      </c>
      <c r="E442" s="2" t="s">
        <v>20089</v>
      </c>
      <c r="F442" s="2" t="s">
        <v>16225</v>
      </c>
      <c r="G442" s="2" t="s">
        <v>20090</v>
      </c>
      <c r="H442" s="2" t="s">
        <v>20091</v>
      </c>
      <c r="I442" s="2" t="s">
        <v>20092</v>
      </c>
      <c r="J442" s="2" t="s">
        <v>20093</v>
      </c>
      <c r="K442" s="2" t="s">
        <v>20094</v>
      </c>
      <c r="L442" s="2" t="s">
        <v>29</v>
      </c>
      <c r="M442" s="2" t="s">
        <v>20095</v>
      </c>
      <c r="N442" s="2" t="s">
        <v>20096</v>
      </c>
      <c r="O442" s="2" t="s">
        <v>20097</v>
      </c>
      <c r="P442" s="2" t="s">
        <v>20098</v>
      </c>
      <c r="Q442" s="2" t="s">
        <v>20099</v>
      </c>
      <c r="R442" s="2" t="s">
        <v>1490</v>
      </c>
      <c r="S442" s="2" t="s">
        <v>1491</v>
      </c>
      <c r="T442" s="2" t="s">
        <v>20100</v>
      </c>
      <c r="U442" s="2" t="s">
        <v>29</v>
      </c>
      <c r="V442" s="2" t="n">
        <v>1</v>
      </c>
    </row>
    <row r="443">
      <c r="A443" s="2" t="n">
        <v>442</v>
      </c>
      <c r="B443" s="2" t="s">
        <v>20101</v>
      </c>
      <c r="C443" s="2" t="n">
        <v>795.072505798</v>
      </c>
      <c r="D443" s="2" t="n">
        <v>2.97528278470612</v>
      </c>
      <c r="E443" s="2" t="s">
        <v>20102</v>
      </c>
      <c r="F443" s="2" t="s">
        <v>16225</v>
      </c>
      <c r="G443" s="2" t="s">
        <v>20103</v>
      </c>
      <c r="H443" s="2" t="s">
        <v>20104</v>
      </c>
      <c r="I443" s="2" t="s">
        <v>20105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20106</v>
      </c>
      <c r="O443" s="2" t="s">
        <v>29</v>
      </c>
      <c r="P443" s="2" t="s">
        <v>20107</v>
      </c>
      <c r="Q443" s="2" t="s">
        <v>20108</v>
      </c>
      <c r="R443" s="2" t="s">
        <v>49</v>
      </c>
      <c r="S443" s="2" t="s">
        <v>165</v>
      </c>
      <c r="T443" s="2" t="s">
        <v>6223</v>
      </c>
      <c r="U443" s="2" t="s">
        <v>29</v>
      </c>
      <c r="V443" s="2" t="n">
        <v>1</v>
      </c>
    </row>
    <row r="444">
      <c r="A444" s="2" t="n">
        <v>443</v>
      </c>
      <c r="B444" s="2" t="s">
        <v>20109</v>
      </c>
      <c r="C444" s="2" t="n">
        <v>795.517061132</v>
      </c>
      <c r="D444" s="2" t="n">
        <v>2.48747617796704</v>
      </c>
      <c r="E444" s="2" t="s">
        <v>20110</v>
      </c>
      <c r="F444" s="2" t="s">
        <v>15649</v>
      </c>
      <c r="G444" s="2" t="s">
        <v>20111</v>
      </c>
      <c r="H444" s="2" t="s">
        <v>20112</v>
      </c>
      <c r="I444" s="2" t="s">
        <v>20113</v>
      </c>
      <c r="J444" s="2" t="s">
        <v>20114</v>
      </c>
      <c r="K444" s="2" t="s">
        <v>20115</v>
      </c>
      <c r="L444" s="2" t="s">
        <v>29</v>
      </c>
      <c r="M444" s="2" t="s">
        <v>20116</v>
      </c>
      <c r="N444" s="2" t="s">
        <v>20117</v>
      </c>
      <c r="O444" s="2" t="s">
        <v>29</v>
      </c>
      <c r="P444" s="2" t="s">
        <v>20118</v>
      </c>
      <c r="Q444" s="2" t="s">
        <v>20119</v>
      </c>
      <c r="R444" s="2" t="s">
        <v>1490</v>
      </c>
      <c r="S444" s="2" t="s">
        <v>4236</v>
      </c>
      <c r="T444" s="2" t="s">
        <v>8063</v>
      </c>
      <c r="U444" s="2" t="s">
        <v>29</v>
      </c>
      <c r="V444" s="2" t="n">
        <v>1</v>
      </c>
    </row>
    <row r="445">
      <c r="A445" s="2" t="n">
        <v>444</v>
      </c>
      <c r="B445" s="2" t="s">
        <v>20120</v>
      </c>
      <c r="C445" s="2" t="n">
        <v>797.198652358</v>
      </c>
      <c r="D445" s="2" t="n">
        <v>1.54952419466007</v>
      </c>
      <c r="E445" s="2" t="s">
        <v>20121</v>
      </c>
      <c r="F445" s="2" t="s">
        <v>16225</v>
      </c>
      <c r="G445" s="2" t="s">
        <v>20122</v>
      </c>
      <c r="H445" s="2" t="s">
        <v>20123</v>
      </c>
      <c r="I445" s="2" t="s">
        <v>20124</v>
      </c>
      <c r="J445" s="2" t="s">
        <v>20125</v>
      </c>
      <c r="K445" s="2" t="s">
        <v>29</v>
      </c>
      <c r="L445" s="2" t="s">
        <v>29</v>
      </c>
      <c r="M445" s="2" t="s">
        <v>29</v>
      </c>
      <c r="N445" s="2" t="s">
        <v>20126</v>
      </c>
      <c r="O445" s="2" t="s">
        <v>29</v>
      </c>
      <c r="P445" s="2" t="s">
        <v>20127</v>
      </c>
      <c r="Q445" s="2" t="s">
        <v>20128</v>
      </c>
      <c r="R445" s="2" t="s">
        <v>36</v>
      </c>
      <c r="S445" s="2" t="s">
        <v>37</v>
      </c>
      <c r="T445" s="2" t="s">
        <v>20129</v>
      </c>
      <c r="U445" s="2" t="s">
        <v>29</v>
      </c>
      <c r="V445" s="2" t="n">
        <v>1</v>
      </c>
    </row>
    <row r="446">
      <c r="A446" s="2" t="n">
        <v>445</v>
      </c>
      <c r="B446" s="2" t="s">
        <v>20130</v>
      </c>
      <c r="C446" s="2" t="n">
        <v>805.124669336</v>
      </c>
      <c r="D446" s="2" t="n">
        <v>1.78930753410734</v>
      </c>
      <c r="E446" s="2" t="s">
        <v>20131</v>
      </c>
      <c r="F446" s="2" t="s">
        <v>15778</v>
      </c>
      <c r="G446" s="2" t="s">
        <v>20132</v>
      </c>
      <c r="H446" s="2" t="s">
        <v>20133</v>
      </c>
      <c r="I446" s="2" t="s">
        <v>20134</v>
      </c>
      <c r="J446" s="2" t="s">
        <v>20135</v>
      </c>
      <c r="K446" s="2" t="s">
        <v>29</v>
      </c>
      <c r="L446" s="2" t="s">
        <v>29</v>
      </c>
      <c r="M446" s="2" t="s">
        <v>20136</v>
      </c>
      <c r="N446" s="2" t="s">
        <v>20137</v>
      </c>
      <c r="O446" s="2" t="s">
        <v>20138</v>
      </c>
      <c r="P446" s="2" t="s">
        <v>20139</v>
      </c>
      <c r="Q446" s="2" t="s">
        <v>20140</v>
      </c>
      <c r="R446" s="2" t="s">
        <v>2509</v>
      </c>
      <c r="S446" s="2" t="s">
        <v>4720</v>
      </c>
      <c r="T446" s="2" t="s">
        <v>4721</v>
      </c>
      <c r="U446" s="2" t="s">
        <v>29</v>
      </c>
      <c r="V446" s="2" t="n">
        <v>1</v>
      </c>
    </row>
    <row r="447">
      <c r="A447" s="2" t="n">
        <v>446</v>
      </c>
      <c r="B447" s="2" t="s">
        <v>20141</v>
      </c>
      <c r="C447" s="2" t="n">
        <v>805.561295408</v>
      </c>
      <c r="D447" s="2" t="n">
        <v>5.78836314641277</v>
      </c>
      <c r="E447" s="2" t="s">
        <v>20142</v>
      </c>
      <c r="F447" s="2" t="s">
        <v>15778</v>
      </c>
      <c r="G447" s="2" t="s">
        <v>20143</v>
      </c>
      <c r="H447" s="2" t="s">
        <v>20144</v>
      </c>
      <c r="I447" s="2" t="s">
        <v>20145</v>
      </c>
      <c r="J447" s="2" t="s">
        <v>20146</v>
      </c>
      <c r="K447" s="2" t="s">
        <v>20147</v>
      </c>
      <c r="L447" s="2" t="s">
        <v>226</v>
      </c>
      <c r="M447" s="2" t="s">
        <v>20148</v>
      </c>
      <c r="N447" s="2" t="s">
        <v>20149</v>
      </c>
      <c r="O447" s="2" t="s">
        <v>20150</v>
      </c>
      <c r="P447" s="2" t="s">
        <v>20151</v>
      </c>
      <c r="Q447" s="2" t="s">
        <v>20152</v>
      </c>
      <c r="R447" s="2" t="s">
        <v>105</v>
      </c>
      <c r="S447" s="2" t="s">
        <v>20153</v>
      </c>
      <c r="T447" s="2" t="s">
        <v>20154</v>
      </c>
      <c r="U447" s="2" t="s">
        <v>29</v>
      </c>
      <c r="V447" s="2" t="n">
        <v>3</v>
      </c>
    </row>
    <row r="448">
      <c r="A448" s="2" t="n">
        <v>447</v>
      </c>
      <c r="B448" s="2" t="s">
        <v>20155</v>
      </c>
      <c r="C448" s="2" t="n">
        <v>808.561698559</v>
      </c>
      <c r="D448" s="2" t="n">
        <v>9.30150113597131</v>
      </c>
      <c r="E448" s="2" t="s">
        <v>20156</v>
      </c>
      <c r="F448" s="2" t="s">
        <v>15919</v>
      </c>
      <c r="G448" s="2" t="s">
        <v>20157</v>
      </c>
      <c r="H448" s="2" t="s">
        <v>20158</v>
      </c>
      <c r="I448" s="2" t="s">
        <v>20159</v>
      </c>
      <c r="J448" s="2" t="s">
        <v>20160</v>
      </c>
      <c r="K448" s="2" t="s">
        <v>29</v>
      </c>
      <c r="L448" s="2" t="s">
        <v>8608</v>
      </c>
      <c r="M448" s="2" t="s">
        <v>20161</v>
      </c>
      <c r="N448" s="2" t="s">
        <v>20162</v>
      </c>
      <c r="O448" s="2" t="s">
        <v>29</v>
      </c>
      <c r="P448" s="2" t="s">
        <v>20163</v>
      </c>
      <c r="Q448" s="2" t="s">
        <v>20164</v>
      </c>
      <c r="R448" s="2" t="s">
        <v>1490</v>
      </c>
      <c r="S448" s="2" t="s">
        <v>4236</v>
      </c>
      <c r="T448" s="2" t="s">
        <v>8613</v>
      </c>
      <c r="U448" s="2" t="s">
        <v>39</v>
      </c>
      <c r="V448" s="2" t="n">
        <v>1</v>
      </c>
    </row>
    <row r="449">
      <c r="A449" s="2" t="n">
        <v>448</v>
      </c>
      <c r="B449" s="2" t="s">
        <v>20165</v>
      </c>
      <c r="C449" s="2" t="n">
        <v>809.450005726</v>
      </c>
      <c r="D449" s="2" t="n">
        <v>7.30224735632102</v>
      </c>
      <c r="E449" s="2" t="s">
        <v>20166</v>
      </c>
      <c r="F449" s="2" t="s">
        <v>17922</v>
      </c>
      <c r="G449" s="2" t="s">
        <v>20167</v>
      </c>
      <c r="H449" s="2" t="s">
        <v>20168</v>
      </c>
      <c r="I449" s="2" t="s">
        <v>20169</v>
      </c>
      <c r="J449" s="2" t="s">
        <v>20170</v>
      </c>
      <c r="K449" s="2" t="s">
        <v>29</v>
      </c>
      <c r="L449" s="2" t="s">
        <v>29</v>
      </c>
      <c r="M449" s="2" t="s">
        <v>29</v>
      </c>
      <c r="N449" s="2" t="s">
        <v>20171</v>
      </c>
      <c r="O449" s="2" t="s">
        <v>20172</v>
      </c>
      <c r="P449" s="2" t="s">
        <v>20173</v>
      </c>
      <c r="Q449" s="2" t="s">
        <v>20174</v>
      </c>
      <c r="R449" s="2" t="s">
        <v>1490</v>
      </c>
      <c r="S449" s="2" t="s">
        <v>4971</v>
      </c>
      <c r="T449" s="2" t="s">
        <v>6636</v>
      </c>
      <c r="U449" s="2" t="s">
        <v>29</v>
      </c>
      <c r="V449" s="2" t="n">
        <v>1</v>
      </c>
    </row>
    <row r="450">
      <c r="A450" s="2" t="n">
        <v>449</v>
      </c>
      <c r="B450" s="2" t="s">
        <v>20175</v>
      </c>
      <c r="C450" s="2" t="n">
        <v>809.569685388</v>
      </c>
      <c r="D450" s="2" t="n">
        <v>0.847614351266195</v>
      </c>
      <c r="E450" s="2" t="s">
        <v>20176</v>
      </c>
      <c r="F450" s="2" t="s">
        <v>15611</v>
      </c>
      <c r="G450" s="2" t="s">
        <v>20177</v>
      </c>
      <c r="H450" s="2" t="s">
        <v>20178</v>
      </c>
      <c r="I450" s="2" t="s">
        <v>20179</v>
      </c>
      <c r="J450" s="2" t="s">
        <v>20180</v>
      </c>
      <c r="K450" s="2" t="s">
        <v>20181</v>
      </c>
      <c r="L450" s="2" t="s">
        <v>29</v>
      </c>
      <c r="M450" s="2" t="s">
        <v>20182</v>
      </c>
      <c r="N450" s="2" t="s">
        <v>20183</v>
      </c>
      <c r="O450" s="2" t="s">
        <v>29</v>
      </c>
      <c r="P450" s="2" t="s">
        <v>20184</v>
      </c>
      <c r="Q450" s="2" t="s">
        <v>20185</v>
      </c>
      <c r="R450" s="2" t="s">
        <v>1490</v>
      </c>
      <c r="S450" s="2" t="s">
        <v>4236</v>
      </c>
      <c r="T450" s="2" t="s">
        <v>8063</v>
      </c>
      <c r="U450" s="2" t="s">
        <v>29</v>
      </c>
      <c r="V450" s="2" t="n">
        <v>1</v>
      </c>
    </row>
    <row r="451">
      <c r="A451" s="2" t="n">
        <v>450</v>
      </c>
      <c r="B451" s="2" t="s">
        <v>20186</v>
      </c>
      <c r="C451" s="2" t="n">
        <v>810.45536573</v>
      </c>
      <c r="D451" s="2" t="n">
        <v>4.29721577265932</v>
      </c>
      <c r="E451" s="2" t="s">
        <v>20187</v>
      </c>
      <c r="F451" s="2" t="s">
        <v>15649</v>
      </c>
      <c r="G451" s="2" t="s">
        <v>20188</v>
      </c>
      <c r="H451" s="2" t="s">
        <v>20189</v>
      </c>
      <c r="I451" s="2" t="s">
        <v>20190</v>
      </c>
      <c r="J451" s="2" t="s">
        <v>20191</v>
      </c>
      <c r="K451" s="2" t="s">
        <v>29</v>
      </c>
      <c r="L451" s="2" t="s">
        <v>29</v>
      </c>
      <c r="M451" s="2" t="s">
        <v>29</v>
      </c>
      <c r="N451" s="2" t="s">
        <v>20192</v>
      </c>
      <c r="O451" s="2" t="s">
        <v>20193</v>
      </c>
      <c r="P451" s="2" t="s">
        <v>20194</v>
      </c>
      <c r="Q451" s="2" t="s">
        <v>20195</v>
      </c>
      <c r="R451" s="2" t="s">
        <v>2509</v>
      </c>
      <c r="S451" s="2" t="s">
        <v>20196</v>
      </c>
      <c r="T451" s="2" t="s">
        <v>205</v>
      </c>
      <c r="U451" s="2" t="s">
        <v>29</v>
      </c>
      <c r="V451" s="2" t="n">
        <v>1</v>
      </c>
    </row>
    <row r="452">
      <c r="A452" s="2" t="n">
        <v>451</v>
      </c>
      <c r="B452" s="2" t="s">
        <v>20197</v>
      </c>
      <c r="C452" s="2" t="n">
        <v>812.520228158</v>
      </c>
      <c r="D452" s="2" t="n">
        <v>0.702245997985967</v>
      </c>
      <c r="E452" s="2" t="s">
        <v>20198</v>
      </c>
      <c r="F452" s="2" t="s">
        <v>15919</v>
      </c>
      <c r="G452" s="2" t="s">
        <v>20199</v>
      </c>
      <c r="H452" s="2" t="s">
        <v>20200</v>
      </c>
      <c r="I452" s="2" t="s">
        <v>20201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20202</v>
      </c>
      <c r="O452" s="2" t="s">
        <v>29</v>
      </c>
      <c r="P452" s="2" t="s">
        <v>20203</v>
      </c>
      <c r="Q452" s="2" t="s">
        <v>20204</v>
      </c>
      <c r="R452" s="2" t="s">
        <v>1490</v>
      </c>
      <c r="S452" s="2" t="s">
        <v>4236</v>
      </c>
      <c r="T452" s="2" t="s">
        <v>8613</v>
      </c>
      <c r="U452" s="2" t="s">
        <v>29</v>
      </c>
      <c r="V452" s="2" t="n">
        <v>1</v>
      </c>
    </row>
    <row r="453">
      <c r="A453" s="2" t="n">
        <v>452</v>
      </c>
      <c r="B453" s="2" t="s">
        <v>20205</v>
      </c>
      <c r="C453" s="2" t="n">
        <v>813.49584581</v>
      </c>
      <c r="D453" s="2" t="n">
        <v>1.14196102879155</v>
      </c>
      <c r="E453" s="2" t="s">
        <v>20206</v>
      </c>
      <c r="F453" s="2" t="s">
        <v>15858</v>
      </c>
      <c r="G453" s="2" t="s">
        <v>20207</v>
      </c>
      <c r="H453" s="2" t="s">
        <v>20208</v>
      </c>
      <c r="I453" s="2" t="s">
        <v>20209</v>
      </c>
      <c r="J453" s="2" t="s">
        <v>20210</v>
      </c>
      <c r="K453" s="2" t="s">
        <v>29</v>
      </c>
      <c r="L453" s="2" t="s">
        <v>20211</v>
      </c>
      <c r="M453" s="2" t="s">
        <v>29</v>
      </c>
      <c r="N453" s="2" t="s">
        <v>20212</v>
      </c>
      <c r="O453" s="2" t="s">
        <v>20213</v>
      </c>
      <c r="P453" s="2" t="s">
        <v>20214</v>
      </c>
      <c r="Q453" s="2" t="s">
        <v>20215</v>
      </c>
      <c r="R453" s="2" t="s">
        <v>1490</v>
      </c>
      <c r="S453" s="2" t="s">
        <v>4971</v>
      </c>
      <c r="T453" s="2" t="s">
        <v>9640</v>
      </c>
      <c r="U453" s="2" t="s">
        <v>39</v>
      </c>
      <c r="V453" s="2" t="n">
        <v>1</v>
      </c>
    </row>
    <row r="454">
      <c r="A454" s="2" t="n">
        <v>453</v>
      </c>
      <c r="B454" s="2" t="s">
        <v>20216</v>
      </c>
      <c r="C454" s="2" t="n">
        <v>813.651999996</v>
      </c>
      <c r="D454" s="2" t="n">
        <v>4.9205287185788</v>
      </c>
      <c r="E454" s="2" t="s">
        <v>20217</v>
      </c>
      <c r="F454" s="2" t="s">
        <v>15858</v>
      </c>
      <c r="G454" s="2" t="s">
        <v>20218</v>
      </c>
      <c r="H454" s="2" t="s">
        <v>20219</v>
      </c>
      <c r="I454" s="2" t="s">
        <v>20220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20221</v>
      </c>
      <c r="Q454" s="2" t="s">
        <v>20222</v>
      </c>
      <c r="R454" s="2" t="s">
        <v>1490</v>
      </c>
      <c r="S454" s="2" t="s">
        <v>4971</v>
      </c>
      <c r="T454" s="2" t="s">
        <v>20223</v>
      </c>
      <c r="U454" s="2" t="s">
        <v>29</v>
      </c>
      <c r="V454" s="2" t="n">
        <v>1</v>
      </c>
    </row>
    <row r="455">
      <c r="A455" s="2" t="n">
        <v>454</v>
      </c>
      <c r="B455" s="2" t="s">
        <v>20224</v>
      </c>
      <c r="C455" s="2" t="n">
        <v>815.1988902</v>
      </c>
      <c r="D455" s="2" t="n">
        <v>0.825065660432246</v>
      </c>
      <c r="E455" s="2" t="s">
        <v>20225</v>
      </c>
      <c r="F455" s="2" t="s">
        <v>15778</v>
      </c>
      <c r="G455" s="2" t="s">
        <v>20226</v>
      </c>
      <c r="H455" s="2" t="s">
        <v>20227</v>
      </c>
      <c r="I455" s="2" t="s">
        <v>20228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20229</v>
      </c>
      <c r="Q455" s="2" t="s">
        <v>20230</v>
      </c>
      <c r="R455" s="2" t="s">
        <v>502</v>
      </c>
      <c r="S455" s="2" t="s">
        <v>20231</v>
      </c>
      <c r="T455" s="2" t="s">
        <v>205</v>
      </c>
      <c r="U455" s="2" t="s">
        <v>29</v>
      </c>
      <c r="V455" s="2" t="n">
        <v>1</v>
      </c>
    </row>
    <row r="456">
      <c r="A456" s="2" t="n">
        <v>455</v>
      </c>
      <c r="B456" s="2" t="s">
        <v>20232</v>
      </c>
      <c r="C456" s="2" t="n">
        <v>815.498764437</v>
      </c>
      <c r="D456" s="2" t="n">
        <v>2.42826257610167</v>
      </c>
      <c r="E456" s="2" t="s">
        <v>20233</v>
      </c>
      <c r="F456" s="2" t="s">
        <v>15919</v>
      </c>
      <c r="G456" s="2" t="s">
        <v>20234</v>
      </c>
      <c r="H456" s="2" t="s">
        <v>20235</v>
      </c>
      <c r="I456" s="2" t="s">
        <v>20236</v>
      </c>
      <c r="J456" s="2" t="s">
        <v>20237</v>
      </c>
      <c r="K456" s="2" t="s">
        <v>20238</v>
      </c>
      <c r="L456" s="2" t="s">
        <v>72</v>
      </c>
      <c r="M456" s="2" t="s">
        <v>72</v>
      </c>
      <c r="N456" s="2" t="s">
        <v>20239</v>
      </c>
      <c r="O456" s="2" t="s">
        <v>72</v>
      </c>
      <c r="P456" s="2" t="s">
        <v>20240</v>
      </c>
      <c r="Q456" s="2" t="s">
        <v>20241</v>
      </c>
      <c r="R456" s="2" t="s">
        <v>575</v>
      </c>
      <c r="S456" s="2" t="s">
        <v>6260</v>
      </c>
      <c r="T456" s="2" t="s">
        <v>8001</v>
      </c>
      <c r="U456" s="2" t="s">
        <v>29</v>
      </c>
      <c r="V456" s="2" t="n">
        <v>2</v>
      </c>
    </row>
    <row r="457">
      <c r="A457" s="2" t="n">
        <v>456</v>
      </c>
      <c r="B457" s="2" t="s">
        <v>20242</v>
      </c>
      <c r="C457" s="2" t="n">
        <v>817.194708572</v>
      </c>
      <c r="D457" s="2" t="n">
        <v>4.13375109687223</v>
      </c>
      <c r="E457" s="2" t="s">
        <v>20243</v>
      </c>
      <c r="F457" s="2" t="s">
        <v>16225</v>
      </c>
      <c r="G457" s="2" t="s">
        <v>20244</v>
      </c>
      <c r="H457" s="2" t="s">
        <v>20245</v>
      </c>
      <c r="I457" s="2" t="s">
        <v>20246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20247</v>
      </c>
      <c r="O457" s="2" t="s">
        <v>29</v>
      </c>
      <c r="P457" s="2" t="s">
        <v>20248</v>
      </c>
      <c r="Q457" s="2" t="s">
        <v>20249</v>
      </c>
      <c r="R457" s="2" t="s">
        <v>49</v>
      </c>
      <c r="S457" s="2" t="s">
        <v>165</v>
      </c>
      <c r="T457" s="2" t="s">
        <v>166</v>
      </c>
      <c r="U457" s="2" t="s">
        <v>29</v>
      </c>
      <c r="V457" s="2" t="n">
        <v>1</v>
      </c>
    </row>
    <row r="458">
      <c r="A458" s="2" t="n">
        <v>457</v>
      </c>
      <c r="B458" s="2" t="s">
        <v>20250</v>
      </c>
      <c r="C458" s="2" t="n">
        <v>817.438808832</v>
      </c>
      <c r="D458" s="2" t="n">
        <v>5.44775150539699</v>
      </c>
      <c r="E458" s="2" t="s">
        <v>20251</v>
      </c>
      <c r="F458" s="2" t="s">
        <v>15611</v>
      </c>
      <c r="G458" s="2" t="s">
        <v>20252</v>
      </c>
      <c r="H458" s="2" t="s">
        <v>20253</v>
      </c>
      <c r="I458" s="2" t="s">
        <v>20254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20255</v>
      </c>
      <c r="O458" s="2" t="s">
        <v>29</v>
      </c>
      <c r="P458" s="2" t="s">
        <v>20256</v>
      </c>
      <c r="Q458" s="2" t="s">
        <v>20257</v>
      </c>
      <c r="R458" s="2" t="s">
        <v>2509</v>
      </c>
      <c r="S458" s="2" t="s">
        <v>8580</v>
      </c>
      <c r="T458" s="2" t="s">
        <v>205</v>
      </c>
      <c r="U458" s="2" t="s">
        <v>29</v>
      </c>
      <c r="V458" s="2" t="n">
        <v>1</v>
      </c>
    </row>
    <row r="459">
      <c r="A459" s="2" t="n">
        <v>458</v>
      </c>
      <c r="B459" s="2" t="s">
        <v>20258</v>
      </c>
      <c r="C459" s="2" t="n">
        <v>817.523129602</v>
      </c>
      <c r="D459" s="2" t="n">
        <v>7.71541041317138</v>
      </c>
      <c r="E459" s="2" t="s">
        <v>20259</v>
      </c>
      <c r="F459" s="2" t="s">
        <v>15611</v>
      </c>
      <c r="G459" s="2" t="s">
        <v>20260</v>
      </c>
      <c r="H459" s="2" t="s">
        <v>20261</v>
      </c>
      <c r="I459" s="2" t="s">
        <v>20262</v>
      </c>
      <c r="J459" s="2" t="s">
        <v>29</v>
      </c>
      <c r="K459" s="2" t="s">
        <v>20263</v>
      </c>
      <c r="L459" s="2" t="s">
        <v>29</v>
      </c>
      <c r="M459" s="2" t="s">
        <v>20264</v>
      </c>
      <c r="N459" s="2" t="s">
        <v>20265</v>
      </c>
      <c r="O459" s="2" t="s">
        <v>20266</v>
      </c>
      <c r="P459" s="2" t="s">
        <v>20267</v>
      </c>
      <c r="Q459" s="2" t="s">
        <v>20268</v>
      </c>
      <c r="R459" s="2" t="s">
        <v>1490</v>
      </c>
      <c r="S459" s="2" t="s">
        <v>4236</v>
      </c>
      <c r="T459" s="2" t="s">
        <v>4237</v>
      </c>
      <c r="U459" s="2" t="s">
        <v>29</v>
      </c>
      <c r="V459" s="2" t="n">
        <v>1</v>
      </c>
    </row>
    <row r="460">
      <c r="A460" s="2" t="n">
        <v>459</v>
      </c>
      <c r="B460" s="2" t="s">
        <v>20269</v>
      </c>
      <c r="C460" s="2" t="n">
        <v>818.099340987</v>
      </c>
      <c r="D460" s="2" t="n">
        <v>7.69255855785331</v>
      </c>
      <c r="E460" s="2" t="s">
        <v>20270</v>
      </c>
      <c r="F460" s="2" t="s">
        <v>15858</v>
      </c>
      <c r="G460" s="2" t="s">
        <v>20271</v>
      </c>
      <c r="H460" s="2" t="s">
        <v>20272</v>
      </c>
      <c r="I460" s="2" t="s">
        <v>20273</v>
      </c>
      <c r="J460" s="2" t="s">
        <v>29</v>
      </c>
      <c r="K460" s="2" t="s">
        <v>29</v>
      </c>
      <c r="L460" s="2" t="s">
        <v>20274</v>
      </c>
      <c r="M460" s="2" t="s">
        <v>20275</v>
      </c>
      <c r="N460" s="2" t="s">
        <v>20276</v>
      </c>
      <c r="O460" s="2" t="s">
        <v>20277</v>
      </c>
      <c r="P460" s="2" t="s">
        <v>20278</v>
      </c>
      <c r="Q460" s="2" t="s">
        <v>20279</v>
      </c>
      <c r="R460" s="2" t="s">
        <v>2590</v>
      </c>
      <c r="S460" s="2" t="s">
        <v>6120</v>
      </c>
      <c r="T460" s="2" t="s">
        <v>7366</v>
      </c>
      <c r="U460" s="2" t="s">
        <v>39</v>
      </c>
      <c r="V460" s="2" t="n">
        <v>1</v>
      </c>
    </row>
    <row r="461">
      <c r="A461" s="2" t="n">
        <v>460</v>
      </c>
      <c r="B461" s="2" t="s">
        <v>20280</v>
      </c>
      <c r="C461" s="2" t="n">
        <v>818.509663474</v>
      </c>
      <c r="D461" s="2" t="n">
        <v>5.36561486555343</v>
      </c>
      <c r="E461" s="2" t="s">
        <v>20281</v>
      </c>
      <c r="F461" s="2" t="s">
        <v>15919</v>
      </c>
      <c r="G461" s="2" t="s">
        <v>20282</v>
      </c>
      <c r="H461" s="2" t="s">
        <v>20283</v>
      </c>
      <c r="I461" s="2" t="s">
        <v>20284</v>
      </c>
      <c r="J461" s="2" t="s">
        <v>72</v>
      </c>
      <c r="K461" s="2" t="s">
        <v>72</v>
      </c>
      <c r="L461" s="2" t="s">
        <v>72</v>
      </c>
      <c r="M461" s="2" t="s">
        <v>72</v>
      </c>
      <c r="N461" s="2" t="s">
        <v>20285</v>
      </c>
      <c r="O461" s="2" t="s">
        <v>72</v>
      </c>
      <c r="P461" s="2" t="s">
        <v>20286</v>
      </c>
      <c r="Q461" s="2" t="s">
        <v>20287</v>
      </c>
      <c r="R461" s="2" t="s">
        <v>575</v>
      </c>
      <c r="S461" s="2" t="s">
        <v>6260</v>
      </c>
      <c r="T461" s="2" t="s">
        <v>20288</v>
      </c>
      <c r="U461" s="2" t="s">
        <v>29</v>
      </c>
      <c r="V461" s="2" t="n">
        <v>2</v>
      </c>
    </row>
    <row r="462">
      <c r="A462" s="2" t="n">
        <v>461</v>
      </c>
      <c r="B462" s="2" t="s">
        <v>20289</v>
      </c>
      <c r="C462" s="2" t="n">
        <v>819.52001928</v>
      </c>
      <c r="D462" s="2" t="n">
        <v>4.20103250135774</v>
      </c>
      <c r="E462" s="2" t="s">
        <v>20290</v>
      </c>
      <c r="F462" s="2" t="s">
        <v>15611</v>
      </c>
      <c r="G462" s="2" t="s">
        <v>20291</v>
      </c>
      <c r="H462" s="2" t="s">
        <v>20292</v>
      </c>
      <c r="I462" s="2" t="s">
        <v>20293</v>
      </c>
      <c r="J462" s="2" t="s">
        <v>20294</v>
      </c>
      <c r="K462" s="2" t="s">
        <v>29</v>
      </c>
      <c r="L462" s="2" t="s">
        <v>29</v>
      </c>
      <c r="M462" s="2" t="s">
        <v>29</v>
      </c>
      <c r="N462" s="2" t="s">
        <v>20295</v>
      </c>
      <c r="O462" s="2" t="s">
        <v>20296</v>
      </c>
      <c r="P462" s="2" t="s">
        <v>20297</v>
      </c>
      <c r="Q462" s="2" t="s">
        <v>20298</v>
      </c>
      <c r="R462" s="2" t="s">
        <v>1490</v>
      </c>
      <c r="S462" s="2" t="s">
        <v>4971</v>
      </c>
      <c r="T462" s="2" t="s">
        <v>6983</v>
      </c>
      <c r="U462" s="2" t="s">
        <v>29</v>
      </c>
      <c r="V462" s="2" t="n">
        <v>1</v>
      </c>
    </row>
    <row r="463">
      <c r="A463" s="2" t="n">
        <v>462</v>
      </c>
      <c r="B463" s="2" t="s">
        <v>20299</v>
      </c>
      <c r="C463" s="2" t="n">
        <v>820.522751367</v>
      </c>
      <c r="D463" s="2" t="n">
        <v>3.7269478975155</v>
      </c>
      <c r="E463" s="2" t="s">
        <v>20300</v>
      </c>
      <c r="F463" s="2" t="s">
        <v>15691</v>
      </c>
      <c r="G463" s="2" t="s">
        <v>20301</v>
      </c>
      <c r="H463" s="2" t="s">
        <v>20302</v>
      </c>
      <c r="I463" s="2" t="s">
        <v>20303</v>
      </c>
      <c r="J463" s="2" t="s">
        <v>20304</v>
      </c>
      <c r="K463" s="2" t="s">
        <v>29</v>
      </c>
      <c r="L463" s="2" t="s">
        <v>7680</v>
      </c>
      <c r="M463" s="2" t="s">
        <v>29</v>
      </c>
      <c r="N463" s="2" t="s">
        <v>20305</v>
      </c>
      <c r="O463" s="2" t="s">
        <v>29</v>
      </c>
      <c r="P463" s="2" t="s">
        <v>20306</v>
      </c>
      <c r="Q463" s="2" t="s">
        <v>20307</v>
      </c>
      <c r="R463" s="2" t="s">
        <v>1490</v>
      </c>
      <c r="S463" s="2" t="s">
        <v>4236</v>
      </c>
      <c r="T463" s="2" t="s">
        <v>5369</v>
      </c>
      <c r="U463" s="2" t="s">
        <v>39</v>
      </c>
      <c r="V463" s="2" t="n">
        <v>1</v>
      </c>
    </row>
    <row r="464">
      <c r="A464" s="2" t="n">
        <v>463</v>
      </c>
      <c r="B464" s="2" t="s">
        <v>20308</v>
      </c>
      <c r="C464" s="2" t="n">
        <v>822.540963117</v>
      </c>
      <c r="D464" s="2" t="n">
        <v>5.25118227313124</v>
      </c>
      <c r="E464" s="2" t="s">
        <v>20309</v>
      </c>
      <c r="F464" s="2" t="s">
        <v>15919</v>
      </c>
      <c r="G464" s="2" t="s">
        <v>20310</v>
      </c>
      <c r="H464" s="2" t="s">
        <v>20311</v>
      </c>
      <c r="I464" s="2" t="s">
        <v>20312</v>
      </c>
      <c r="J464" s="2" t="s">
        <v>20313</v>
      </c>
      <c r="K464" s="2" t="s">
        <v>20314</v>
      </c>
      <c r="L464" s="2" t="s">
        <v>8608</v>
      </c>
      <c r="M464" s="2" t="s">
        <v>29</v>
      </c>
      <c r="N464" s="2" t="s">
        <v>20315</v>
      </c>
      <c r="O464" s="2" t="s">
        <v>29</v>
      </c>
      <c r="P464" s="2" t="s">
        <v>20316</v>
      </c>
      <c r="Q464" s="2" t="s">
        <v>20317</v>
      </c>
      <c r="R464" s="2" t="s">
        <v>1490</v>
      </c>
      <c r="S464" s="2" t="s">
        <v>4236</v>
      </c>
      <c r="T464" s="2" t="s">
        <v>8613</v>
      </c>
      <c r="U464" s="2" t="s">
        <v>39</v>
      </c>
      <c r="V464" s="2" t="n">
        <v>1</v>
      </c>
    </row>
    <row r="465">
      <c r="A465" s="2" t="n">
        <v>464</v>
      </c>
      <c r="B465" s="2" t="s">
        <v>20318</v>
      </c>
      <c r="C465" s="2" t="n">
        <v>824.544159265</v>
      </c>
      <c r="D465" s="2" t="n">
        <v>3.66953805565842</v>
      </c>
      <c r="E465" s="2" t="s">
        <v>20319</v>
      </c>
      <c r="F465" s="2" t="s">
        <v>15624</v>
      </c>
      <c r="G465" s="2" t="s">
        <v>20320</v>
      </c>
      <c r="H465" s="2" t="s">
        <v>20321</v>
      </c>
      <c r="I465" s="2" t="s">
        <v>20322</v>
      </c>
      <c r="J465" s="2" t="s">
        <v>226</v>
      </c>
      <c r="K465" s="2" t="s">
        <v>226</v>
      </c>
      <c r="L465" s="2" t="s">
        <v>226</v>
      </c>
      <c r="M465" s="2" t="s">
        <v>226</v>
      </c>
      <c r="N465" s="2" t="s">
        <v>226</v>
      </c>
      <c r="O465" s="2" t="s">
        <v>226</v>
      </c>
      <c r="P465" s="2" t="s">
        <v>20323</v>
      </c>
      <c r="Q465" s="2" t="s">
        <v>20324</v>
      </c>
      <c r="R465" s="2" t="s">
        <v>105</v>
      </c>
      <c r="S465" s="2" t="s">
        <v>5723</v>
      </c>
      <c r="T465" s="2" t="s">
        <v>20325</v>
      </c>
      <c r="U465" s="2" t="s">
        <v>29</v>
      </c>
      <c r="V465" s="2" t="n">
        <v>3</v>
      </c>
    </row>
    <row r="466">
      <c r="A466" s="2" t="n">
        <v>465</v>
      </c>
      <c r="B466" s="2" t="s">
        <v>20326</v>
      </c>
      <c r="C466" s="2" t="n">
        <v>825.564011324</v>
      </c>
      <c r="D466" s="2" t="n">
        <v>8.02179156840349</v>
      </c>
      <c r="E466" s="2" t="s">
        <v>20327</v>
      </c>
      <c r="F466" s="2" t="s">
        <v>15649</v>
      </c>
      <c r="G466" s="2" t="s">
        <v>20328</v>
      </c>
      <c r="H466" s="2" t="s">
        <v>20329</v>
      </c>
      <c r="I466" s="2" t="s">
        <v>20330</v>
      </c>
      <c r="J466" s="2" t="s">
        <v>20331</v>
      </c>
      <c r="K466" s="2" t="s">
        <v>29</v>
      </c>
      <c r="L466" s="2" t="s">
        <v>29</v>
      </c>
      <c r="M466" s="2" t="s">
        <v>20332</v>
      </c>
      <c r="N466" s="2" t="s">
        <v>20333</v>
      </c>
      <c r="O466" s="2" t="s">
        <v>29</v>
      </c>
      <c r="P466" s="2" t="s">
        <v>20334</v>
      </c>
      <c r="Q466" s="2" t="s">
        <v>20335</v>
      </c>
      <c r="R466" s="2" t="s">
        <v>1490</v>
      </c>
      <c r="S466" s="2" t="s">
        <v>4236</v>
      </c>
      <c r="T466" s="2" t="s">
        <v>8063</v>
      </c>
      <c r="U466" s="2" t="s">
        <v>29</v>
      </c>
      <c r="V466" s="2" t="n">
        <v>1</v>
      </c>
    </row>
    <row r="467">
      <c r="A467" s="2" t="n">
        <v>466</v>
      </c>
      <c r="B467" s="2" t="s">
        <v>20336</v>
      </c>
      <c r="C467" s="2" t="n">
        <v>830.99225941</v>
      </c>
      <c r="D467" s="2" t="n">
        <v>9.05243232665592</v>
      </c>
      <c r="E467" s="2" t="s">
        <v>20337</v>
      </c>
      <c r="F467" s="2" t="s">
        <v>16225</v>
      </c>
      <c r="G467" s="2" t="s">
        <v>20338</v>
      </c>
      <c r="H467" s="2" t="s">
        <v>20339</v>
      </c>
      <c r="I467" s="2" t="s">
        <v>20340</v>
      </c>
      <c r="J467" s="2" t="s">
        <v>29</v>
      </c>
      <c r="K467" s="2" t="s">
        <v>29</v>
      </c>
      <c r="L467" s="2" t="s">
        <v>20341</v>
      </c>
      <c r="M467" s="2" t="s">
        <v>29</v>
      </c>
      <c r="N467" s="2" t="s">
        <v>20342</v>
      </c>
      <c r="O467" s="2" t="s">
        <v>20343</v>
      </c>
      <c r="P467" s="2" t="s">
        <v>20344</v>
      </c>
      <c r="Q467" s="2" t="s">
        <v>20345</v>
      </c>
      <c r="R467" s="2" t="s">
        <v>64</v>
      </c>
      <c r="S467" s="2" t="s">
        <v>65</v>
      </c>
      <c r="T467" s="2" t="s">
        <v>66</v>
      </c>
      <c r="U467" s="2" t="s">
        <v>39</v>
      </c>
      <c r="V467" s="2" t="n">
        <v>1</v>
      </c>
    </row>
    <row r="468">
      <c r="A468" s="2" t="n">
        <v>467</v>
      </c>
      <c r="B468" s="2" t="s">
        <v>20346</v>
      </c>
      <c r="C468" s="2" t="n">
        <v>832.45254252</v>
      </c>
      <c r="D468" s="2" t="n">
        <v>9.1286955063088</v>
      </c>
      <c r="E468" s="2" t="s">
        <v>20347</v>
      </c>
      <c r="F468" s="2" t="s">
        <v>15919</v>
      </c>
      <c r="G468" s="2" t="s">
        <v>20348</v>
      </c>
      <c r="H468" s="2" t="s">
        <v>20349</v>
      </c>
      <c r="I468" s="2" t="s">
        <v>20350</v>
      </c>
      <c r="J468" s="2" t="s">
        <v>20351</v>
      </c>
      <c r="K468" s="2" t="s">
        <v>20352</v>
      </c>
      <c r="L468" s="2" t="s">
        <v>29</v>
      </c>
      <c r="M468" s="2" t="s">
        <v>29</v>
      </c>
      <c r="N468" s="2" t="s">
        <v>20353</v>
      </c>
      <c r="O468" s="2" t="s">
        <v>29</v>
      </c>
      <c r="P468" s="2" t="s">
        <v>20354</v>
      </c>
      <c r="Q468" s="2" t="s">
        <v>20355</v>
      </c>
      <c r="R468" s="2" t="s">
        <v>1490</v>
      </c>
      <c r="S468" s="2" t="s">
        <v>4236</v>
      </c>
      <c r="T468" s="2" t="s">
        <v>8380</v>
      </c>
      <c r="U468" s="2" t="s">
        <v>29</v>
      </c>
      <c r="V468" s="2" t="n">
        <v>1</v>
      </c>
    </row>
    <row r="469">
      <c r="A469" s="2" t="n">
        <v>468</v>
      </c>
      <c r="B469" s="2" t="s">
        <v>20356</v>
      </c>
      <c r="C469" s="2" t="n">
        <v>833.118611678</v>
      </c>
      <c r="D469" s="2" t="n">
        <v>3.30463734468128</v>
      </c>
      <c r="E469" s="2" t="s">
        <v>20357</v>
      </c>
      <c r="F469" s="2" t="s">
        <v>17922</v>
      </c>
      <c r="G469" s="2" t="s">
        <v>20358</v>
      </c>
      <c r="H469" s="2" t="s">
        <v>20359</v>
      </c>
      <c r="I469" s="2" t="s">
        <v>20360</v>
      </c>
      <c r="J469" s="2" t="s">
        <v>20361</v>
      </c>
      <c r="K469" s="2" t="s">
        <v>29</v>
      </c>
      <c r="L469" s="2" t="s">
        <v>20362</v>
      </c>
      <c r="M469" s="2" t="s">
        <v>20363</v>
      </c>
      <c r="N469" s="2" t="s">
        <v>20364</v>
      </c>
      <c r="O469" s="2" t="s">
        <v>20365</v>
      </c>
      <c r="P469" s="2" t="s">
        <v>20366</v>
      </c>
      <c r="Q469" s="2" t="s">
        <v>20367</v>
      </c>
      <c r="R469" s="2" t="s">
        <v>502</v>
      </c>
      <c r="S469" s="2" t="s">
        <v>503</v>
      </c>
      <c r="T469" s="2" t="s">
        <v>3258</v>
      </c>
      <c r="U469" s="2" t="s">
        <v>39</v>
      </c>
      <c r="V469" s="2" t="n">
        <v>1</v>
      </c>
    </row>
    <row r="470">
      <c r="A470" s="2" t="n">
        <v>469</v>
      </c>
      <c r="B470" s="2" t="s">
        <v>20368</v>
      </c>
      <c r="C470" s="2" t="n">
        <v>833.584469112</v>
      </c>
      <c r="D470" s="2" t="n">
        <v>0.837493994683914</v>
      </c>
      <c r="E470" s="2" t="s">
        <v>20369</v>
      </c>
      <c r="F470" s="2" t="s">
        <v>15919</v>
      </c>
      <c r="G470" s="2" t="s">
        <v>20370</v>
      </c>
      <c r="H470" s="2" t="s">
        <v>20371</v>
      </c>
      <c r="I470" s="2" t="s">
        <v>20372</v>
      </c>
      <c r="J470" s="2" t="s">
        <v>20373</v>
      </c>
      <c r="K470" s="2" t="s">
        <v>20374</v>
      </c>
      <c r="L470" s="2" t="s">
        <v>20375</v>
      </c>
      <c r="M470" s="2" t="s">
        <v>20376</v>
      </c>
      <c r="N470" s="2" t="s">
        <v>20377</v>
      </c>
      <c r="O470" s="2" t="s">
        <v>20378</v>
      </c>
      <c r="P470" s="2" t="s">
        <v>20379</v>
      </c>
      <c r="Q470" s="2" t="s">
        <v>20380</v>
      </c>
      <c r="R470" s="2" t="s">
        <v>1490</v>
      </c>
      <c r="S470" s="2" t="s">
        <v>4971</v>
      </c>
      <c r="T470" s="2" t="s">
        <v>5979</v>
      </c>
      <c r="U470" s="2" t="s">
        <v>39</v>
      </c>
      <c r="V470" s="2" t="n">
        <v>1</v>
      </c>
    </row>
    <row r="471">
      <c r="A471" s="2" t="n">
        <v>470</v>
      </c>
      <c r="B471" s="2" t="s">
        <v>20381</v>
      </c>
      <c r="C471" s="2" t="n">
        <v>834.584761696</v>
      </c>
      <c r="D471" s="2" t="n">
        <v>0.573431305863444</v>
      </c>
      <c r="E471" s="2" t="s">
        <v>20382</v>
      </c>
      <c r="F471" s="2" t="s">
        <v>17922</v>
      </c>
      <c r="G471" s="2" t="s">
        <v>20383</v>
      </c>
      <c r="H471" s="2" t="s">
        <v>20384</v>
      </c>
      <c r="I471" s="2" t="s">
        <v>20385</v>
      </c>
      <c r="J471" s="2" t="s">
        <v>20386</v>
      </c>
      <c r="K471" s="2" t="s">
        <v>29</v>
      </c>
      <c r="L471" s="2" t="s">
        <v>20387</v>
      </c>
      <c r="M471" s="2" t="s">
        <v>20388</v>
      </c>
      <c r="N471" s="2" t="s">
        <v>20389</v>
      </c>
      <c r="O471" s="2" t="s">
        <v>20390</v>
      </c>
      <c r="P471" s="2" t="s">
        <v>20391</v>
      </c>
      <c r="Q471" s="2" t="s">
        <v>20392</v>
      </c>
      <c r="R471" s="2" t="s">
        <v>203</v>
      </c>
      <c r="S471" s="2" t="s">
        <v>599</v>
      </c>
      <c r="T471" s="2" t="s">
        <v>20393</v>
      </c>
      <c r="U471" s="2" t="s">
        <v>39</v>
      </c>
      <c r="V471" s="2" t="n">
        <v>1</v>
      </c>
    </row>
    <row r="472">
      <c r="A472" s="2" t="n">
        <v>471</v>
      </c>
      <c r="B472" s="2" t="s">
        <v>20394</v>
      </c>
      <c r="C472" s="2" t="n">
        <v>836.522480861</v>
      </c>
      <c r="D472" s="2" t="n">
        <v>7.89326869695513</v>
      </c>
      <c r="E472" s="2" t="s">
        <v>20395</v>
      </c>
      <c r="F472" s="2" t="s">
        <v>15649</v>
      </c>
      <c r="G472" s="2" t="s">
        <v>20396</v>
      </c>
      <c r="H472" s="2" t="s">
        <v>20397</v>
      </c>
      <c r="I472" s="2" t="s">
        <v>20398</v>
      </c>
      <c r="J472" s="2" t="s">
        <v>20399</v>
      </c>
      <c r="K472" s="2" t="s">
        <v>20400</v>
      </c>
      <c r="L472" s="2" t="s">
        <v>29</v>
      </c>
      <c r="M472" s="2" t="s">
        <v>20401</v>
      </c>
      <c r="N472" s="2" t="s">
        <v>20402</v>
      </c>
      <c r="O472" s="2" t="s">
        <v>29</v>
      </c>
      <c r="P472" s="2" t="s">
        <v>20403</v>
      </c>
      <c r="Q472" s="2" t="s">
        <v>20404</v>
      </c>
      <c r="R472" s="2" t="s">
        <v>1490</v>
      </c>
      <c r="S472" s="2" t="s">
        <v>4236</v>
      </c>
      <c r="T472" s="2" t="s">
        <v>5369</v>
      </c>
      <c r="U472" s="2" t="s">
        <v>29</v>
      </c>
      <c r="V472" s="2" t="n">
        <v>1</v>
      </c>
    </row>
    <row r="473">
      <c r="A473" s="2" t="n">
        <v>472</v>
      </c>
      <c r="B473" s="2" t="s">
        <v>20405</v>
      </c>
      <c r="C473" s="2" t="n">
        <v>844.505885339</v>
      </c>
      <c r="D473" s="2" t="n">
        <v>6.63995783942303</v>
      </c>
      <c r="E473" s="2" t="s">
        <v>20406</v>
      </c>
      <c r="F473" s="2" t="s">
        <v>15611</v>
      </c>
      <c r="G473" s="2" t="s">
        <v>20407</v>
      </c>
      <c r="H473" s="2" t="s">
        <v>20408</v>
      </c>
      <c r="I473" s="2" t="s">
        <v>20409</v>
      </c>
      <c r="J473" s="2" t="s">
        <v>29</v>
      </c>
      <c r="K473" s="2" t="s">
        <v>29</v>
      </c>
      <c r="L473" s="2" t="s">
        <v>29</v>
      </c>
      <c r="M473" s="2" t="s">
        <v>20410</v>
      </c>
      <c r="N473" s="2" t="s">
        <v>20411</v>
      </c>
      <c r="O473" s="2" t="s">
        <v>29</v>
      </c>
      <c r="P473" s="2" t="s">
        <v>20412</v>
      </c>
      <c r="Q473" s="2" t="s">
        <v>20413</v>
      </c>
      <c r="R473" s="2" t="s">
        <v>64</v>
      </c>
      <c r="S473" s="2" t="s">
        <v>65</v>
      </c>
      <c r="T473" s="2" t="s">
        <v>66</v>
      </c>
      <c r="U473" s="2" t="s">
        <v>29</v>
      </c>
      <c r="V473" s="2" t="n">
        <v>1</v>
      </c>
    </row>
    <row r="474">
      <c r="A474" s="2" t="n">
        <v>473</v>
      </c>
      <c r="B474" s="2" t="s">
        <v>20414</v>
      </c>
      <c r="C474" s="2" t="n">
        <v>849.452486298</v>
      </c>
      <c r="D474" s="2" t="n">
        <v>7.7753520348613</v>
      </c>
      <c r="E474" s="2" t="s">
        <v>20415</v>
      </c>
      <c r="F474" s="2" t="s">
        <v>15778</v>
      </c>
      <c r="G474" s="2" t="s">
        <v>20416</v>
      </c>
      <c r="H474" s="2" t="s">
        <v>20417</v>
      </c>
      <c r="I474" s="2" t="s">
        <v>20418</v>
      </c>
      <c r="J474" s="2" t="s">
        <v>20419</v>
      </c>
      <c r="K474" s="2" t="s">
        <v>20420</v>
      </c>
      <c r="L474" s="2" t="s">
        <v>29</v>
      </c>
      <c r="M474" s="2" t="s">
        <v>20421</v>
      </c>
      <c r="N474" s="2" t="s">
        <v>20422</v>
      </c>
      <c r="O474" s="2" t="s">
        <v>29</v>
      </c>
      <c r="P474" s="2" t="s">
        <v>20423</v>
      </c>
      <c r="Q474" s="2" t="s">
        <v>20424</v>
      </c>
      <c r="R474" s="2" t="s">
        <v>1490</v>
      </c>
      <c r="S474" s="2" t="s">
        <v>4236</v>
      </c>
      <c r="T474" s="2" t="s">
        <v>5175</v>
      </c>
      <c r="U474" s="2" t="s">
        <v>29</v>
      </c>
      <c r="V474" s="2" t="n">
        <v>1</v>
      </c>
    </row>
    <row r="475">
      <c r="A475" s="2" t="n">
        <v>474</v>
      </c>
      <c r="B475" s="2" t="s">
        <v>20425</v>
      </c>
      <c r="C475" s="2" t="n">
        <v>853.121312854</v>
      </c>
      <c r="D475" s="2" t="n">
        <v>3.38021496407853</v>
      </c>
      <c r="E475" s="2" t="s">
        <v>20426</v>
      </c>
      <c r="F475" s="2" t="s">
        <v>17922</v>
      </c>
      <c r="G475" s="2" t="s">
        <v>20427</v>
      </c>
      <c r="H475" s="2" t="s">
        <v>20428</v>
      </c>
      <c r="I475" s="2" t="s">
        <v>20429</v>
      </c>
      <c r="J475" s="2" t="s">
        <v>20430</v>
      </c>
      <c r="K475" s="2" t="s">
        <v>29</v>
      </c>
      <c r="L475" s="2" t="s">
        <v>20431</v>
      </c>
      <c r="M475" s="2" t="s">
        <v>20432</v>
      </c>
      <c r="N475" s="2" t="s">
        <v>20433</v>
      </c>
      <c r="O475" s="2" t="s">
        <v>20434</v>
      </c>
      <c r="P475" s="2" t="s">
        <v>20435</v>
      </c>
      <c r="Q475" s="2" t="s">
        <v>20436</v>
      </c>
      <c r="R475" s="2" t="s">
        <v>355</v>
      </c>
      <c r="S475" s="2" t="s">
        <v>4796</v>
      </c>
      <c r="T475" s="2" t="s">
        <v>4797</v>
      </c>
      <c r="U475" s="2" t="s">
        <v>39</v>
      </c>
      <c r="V475" s="2" t="n">
        <v>1</v>
      </c>
    </row>
    <row r="476">
      <c r="A476" s="2" t="n">
        <v>475</v>
      </c>
      <c r="B476" s="2" t="s">
        <v>20437</v>
      </c>
      <c r="C476" s="2" t="n">
        <v>853.468732428</v>
      </c>
      <c r="D476" s="2" t="n">
        <v>8.52845148182591</v>
      </c>
      <c r="E476" s="2" t="s">
        <v>20438</v>
      </c>
      <c r="F476" s="2" t="s">
        <v>15778</v>
      </c>
      <c r="G476" s="2" t="s">
        <v>20439</v>
      </c>
      <c r="H476" s="2" t="s">
        <v>14357</v>
      </c>
      <c r="I476" s="2" t="s">
        <v>20440</v>
      </c>
      <c r="J476" s="2" t="s">
        <v>20441</v>
      </c>
      <c r="K476" s="2" t="s">
        <v>29</v>
      </c>
      <c r="L476" s="2" t="s">
        <v>29</v>
      </c>
      <c r="M476" s="2" t="s">
        <v>20442</v>
      </c>
      <c r="N476" s="2" t="s">
        <v>20443</v>
      </c>
      <c r="O476" s="2" t="s">
        <v>20444</v>
      </c>
      <c r="P476" s="2" t="s">
        <v>20445</v>
      </c>
      <c r="Q476" s="2" t="s">
        <v>20446</v>
      </c>
      <c r="R476" s="2" t="s">
        <v>502</v>
      </c>
      <c r="S476" s="2" t="s">
        <v>503</v>
      </c>
      <c r="T476" s="2" t="s">
        <v>5166</v>
      </c>
      <c r="U476" s="2" t="s">
        <v>29</v>
      </c>
      <c r="V476" s="2" t="n">
        <v>1</v>
      </c>
    </row>
    <row r="477">
      <c r="A477" s="2" t="n">
        <v>476</v>
      </c>
      <c r="B477" s="2" t="s">
        <v>20447</v>
      </c>
      <c r="C477" s="2" t="n">
        <v>855.145679526</v>
      </c>
      <c r="D477" s="2" t="n">
        <v>4.36040413031005</v>
      </c>
      <c r="E477" s="2" t="s">
        <v>20448</v>
      </c>
      <c r="F477" s="2" t="s">
        <v>15778</v>
      </c>
      <c r="G477" s="2" t="s">
        <v>20449</v>
      </c>
      <c r="H477" s="2" t="s">
        <v>20450</v>
      </c>
      <c r="I477" s="2" t="s">
        <v>20451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20452</v>
      </c>
      <c r="Q477" s="2" t="s">
        <v>20453</v>
      </c>
      <c r="R477" s="2" t="s">
        <v>355</v>
      </c>
      <c r="S477" s="2" t="s">
        <v>5537</v>
      </c>
      <c r="T477" s="2" t="s">
        <v>5538</v>
      </c>
      <c r="U477" s="2" t="s">
        <v>29</v>
      </c>
      <c r="V477" s="2" t="n">
        <v>1</v>
      </c>
    </row>
    <row r="478">
      <c r="A478" s="2" t="n">
        <v>477</v>
      </c>
      <c r="B478" s="2" t="s">
        <v>20454</v>
      </c>
      <c r="C478" s="2" t="n">
        <v>861.138207808</v>
      </c>
      <c r="D478" s="2" t="n">
        <v>1.83141149393288</v>
      </c>
      <c r="E478" s="2" t="s">
        <v>20455</v>
      </c>
      <c r="F478" s="2" t="s">
        <v>15778</v>
      </c>
      <c r="G478" s="2" t="s">
        <v>20456</v>
      </c>
      <c r="H478" s="2" t="s">
        <v>20457</v>
      </c>
      <c r="I478" s="2" t="s">
        <v>20458</v>
      </c>
      <c r="J478" s="2" t="s">
        <v>20459</v>
      </c>
      <c r="K478" s="2" t="s">
        <v>29</v>
      </c>
      <c r="L478" s="2" t="s">
        <v>20460</v>
      </c>
      <c r="M478" s="2" t="s">
        <v>20461</v>
      </c>
      <c r="N478" s="2" t="s">
        <v>20462</v>
      </c>
      <c r="O478" s="2" t="s">
        <v>29</v>
      </c>
      <c r="P478" s="2" t="s">
        <v>20463</v>
      </c>
      <c r="Q478" s="2" t="s">
        <v>20464</v>
      </c>
      <c r="R478" s="2" t="s">
        <v>64</v>
      </c>
      <c r="S478" s="2" t="s">
        <v>65</v>
      </c>
      <c r="T478" s="2" t="s">
        <v>66</v>
      </c>
      <c r="U478" s="2" t="s">
        <v>39</v>
      </c>
      <c r="V478" s="2" t="n">
        <v>1</v>
      </c>
    </row>
    <row r="479">
      <c r="A479" s="2" t="n">
        <v>478</v>
      </c>
      <c r="B479" s="2" t="s">
        <v>20465</v>
      </c>
      <c r="C479" s="2" t="n">
        <v>862.104581115</v>
      </c>
      <c r="D479" s="2" t="n">
        <v>6.65463148868608</v>
      </c>
      <c r="E479" s="2" t="s">
        <v>20466</v>
      </c>
      <c r="F479" s="2" t="s">
        <v>15919</v>
      </c>
      <c r="G479" s="2" t="s">
        <v>20467</v>
      </c>
      <c r="H479" s="2" t="s">
        <v>20468</v>
      </c>
      <c r="I479" s="2" t="s">
        <v>20469</v>
      </c>
      <c r="J479" s="2" t="s">
        <v>29</v>
      </c>
      <c r="K479" s="2" t="s">
        <v>20470</v>
      </c>
      <c r="L479" s="2" t="s">
        <v>20471</v>
      </c>
      <c r="M479" s="2" t="s">
        <v>20472</v>
      </c>
      <c r="N479" s="2" t="s">
        <v>20473</v>
      </c>
      <c r="O479" s="2" t="s">
        <v>20474</v>
      </c>
      <c r="P479" s="2" t="s">
        <v>20475</v>
      </c>
      <c r="Q479" s="2" t="s">
        <v>20476</v>
      </c>
      <c r="R479" s="2" t="s">
        <v>1490</v>
      </c>
      <c r="S479" s="2" t="s">
        <v>1491</v>
      </c>
      <c r="T479" s="2" t="s">
        <v>9107</v>
      </c>
      <c r="U479" s="2" t="s">
        <v>39</v>
      </c>
      <c r="V479" s="2" t="n">
        <v>1</v>
      </c>
    </row>
    <row r="480">
      <c r="A480" s="2" t="n">
        <v>479</v>
      </c>
      <c r="B480" s="2" t="s">
        <v>20477</v>
      </c>
      <c r="C480" s="2" t="n">
        <v>864.553781474</v>
      </c>
      <c r="D480" s="2" t="n">
        <v>5.06090106332412</v>
      </c>
      <c r="E480" s="2" t="s">
        <v>20478</v>
      </c>
      <c r="F480" s="2" t="s">
        <v>15649</v>
      </c>
      <c r="G480" s="2" t="s">
        <v>20479</v>
      </c>
      <c r="H480" s="2" t="s">
        <v>20480</v>
      </c>
      <c r="I480" s="2" t="s">
        <v>20481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20482</v>
      </c>
      <c r="O480" s="2" t="s">
        <v>29</v>
      </c>
      <c r="P480" s="2" t="s">
        <v>20483</v>
      </c>
      <c r="Q480" s="2" t="s">
        <v>20484</v>
      </c>
      <c r="R480" s="2" t="s">
        <v>1490</v>
      </c>
      <c r="S480" s="2" t="s">
        <v>4236</v>
      </c>
      <c r="T480" s="2" t="s">
        <v>5369</v>
      </c>
      <c r="U480" s="2" t="s">
        <v>29</v>
      </c>
      <c r="V480" s="2" t="n">
        <v>1</v>
      </c>
    </row>
    <row r="481">
      <c r="A481" s="2" t="n">
        <v>480</v>
      </c>
      <c r="B481" s="2" t="s">
        <v>20485</v>
      </c>
      <c r="C481" s="2" t="n">
        <v>873.497075076</v>
      </c>
      <c r="D481" s="2" t="n">
        <v>4.35024724823433</v>
      </c>
      <c r="E481" s="2" t="s">
        <v>20486</v>
      </c>
      <c r="F481" s="2" t="s">
        <v>15858</v>
      </c>
      <c r="G481" s="2" t="s">
        <v>20487</v>
      </c>
      <c r="H481" s="2" t="s">
        <v>20488</v>
      </c>
      <c r="I481" s="2" t="s">
        <v>20489</v>
      </c>
      <c r="J481" s="2" t="s">
        <v>72</v>
      </c>
      <c r="K481" s="2" t="s">
        <v>72</v>
      </c>
      <c r="L481" s="2" t="s">
        <v>72</v>
      </c>
      <c r="M481" s="2" t="s">
        <v>72</v>
      </c>
      <c r="N481" s="2" t="s">
        <v>20490</v>
      </c>
      <c r="O481" s="2" t="s">
        <v>20491</v>
      </c>
      <c r="P481" s="2" t="s">
        <v>20492</v>
      </c>
      <c r="Q481" s="2" t="s">
        <v>20493</v>
      </c>
      <c r="R481" s="2" t="s">
        <v>575</v>
      </c>
      <c r="S481" s="2" t="s">
        <v>6794</v>
      </c>
      <c r="T481" s="2" t="s">
        <v>20494</v>
      </c>
      <c r="U481" s="2" t="s">
        <v>29</v>
      </c>
      <c r="V481" s="2" t="n">
        <v>2</v>
      </c>
    </row>
    <row r="482">
      <c r="A482" s="2" t="n">
        <v>481</v>
      </c>
      <c r="B482" s="2" t="s">
        <v>20495</v>
      </c>
      <c r="C482" s="2" t="n">
        <v>875.157190216</v>
      </c>
      <c r="D482" s="2" t="n">
        <v>3.11261153966357</v>
      </c>
      <c r="E482" s="2" t="s">
        <v>20496</v>
      </c>
      <c r="F482" s="2" t="s">
        <v>15858</v>
      </c>
      <c r="G482" s="2" t="s">
        <v>20497</v>
      </c>
      <c r="H482" s="2" t="s">
        <v>20498</v>
      </c>
      <c r="I482" s="2" t="s">
        <v>20499</v>
      </c>
      <c r="J482" s="2" t="s">
        <v>29</v>
      </c>
      <c r="K482" s="2" t="s">
        <v>29</v>
      </c>
      <c r="L482" s="2" t="s">
        <v>20500</v>
      </c>
      <c r="M482" s="2" t="s">
        <v>20501</v>
      </c>
      <c r="N482" s="2" t="s">
        <v>20502</v>
      </c>
      <c r="O482" s="2" t="s">
        <v>29</v>
      </c>
      <c r="P482" s="2" t="s">
        <v>20503</v>
      </c>
      <c r="Q482" s="2" t="s">
        <v>20504</v>
      </c>
      <c r="R482" s="2" t="s">
        <v>1490</v>
      </c>
      <c r="S482" s="2" t="s">
        <v>1491</v>
      </c>
      <c r="T482" s="2" t="s">
        <v>9107</v>
      </c>
      <c r="U482" s="2" t="s">
        <v>39</v>
      </c>
      <c r="V482" s="2" t="n">
        <v>1</v>
      </c>
    </row>
    <row r="483">
      <c r="A483" s="2" t="n">
        <v>482</v>
      </c>
      <c r="B483" s="2" t="s">
        <v>20505</v>
      </c>
      <c r="C483" s="2" t="n">
        <v>876.47860252</v>
      </c>
      <c r="D483" s="2" t="n">
        <v>5.60318558133309</v>
      </c>
      <c r="E483" s="2" t="s">
        <v>20506</v>
      </c>
      <c r="F483" s="2" t="s">
        <v>15858</v>
      </c>
      <c r="G483" s="2" t="s">
        <v>20507</v>
      </c>
      <c r="H483" s="2" t="s">
        <v>20508</v>
      </c>
      <c r="I483" s="2" t="s">
        <v>20509</v>
      </c>
      <c r="J483" s="2" t="s">
        <v>20510</v>
      </c>
      <c r="K483" s="2" t="s">
        <v>20511</v>
      </c>
      <c r="L483" s="2" t="s">
        <v>29</v>
      </c>
      <c r="M483" s="2" t="s">
        <v>29</v>
      </c>
      <c r="N483" s="2" t="s">
        <v>20512</v>
      </c>
      <c r="O483" s="2" t="s">
        <v>29</v>
      </c>
      <c r="P483" s="2" t="s">
        <v>20513</v>
      </c>
      <c r="Q483" s="2" t="s">
        <v>20514</v>
      </c>
      <c r="R483" s="2" t="s">
        <v>1490</v>
      </c>
      <c r="S483" s="2" t="s">
        <v>4236</v>
      </c>
      <c r="T483" s="2" t="s">
        <v>8380</v>
      </c>
      <c r="U483" s="2" t="s">
        <v>29</v>
      </c>
      <c r="V483" s="2" t="n">
        <v>1</v>
      </c>
    </row>
    <row r="484">
      <c r="A484" s="2" t="n">
        <v>483</v>
      </c>
      <c r="B484" s="2" t="s">
        <v>20515</v>
      </c>
      <c r="C484" s="2" t="n">
        <v>876.9873148</v>
      </c>
      <c r="D484" s="2" t="n">
        <v>0.817596119758093</v>
      </c>
      <c r="E484" s="2" t="s">
        <v>20516</v>
      </c>
      <c r="F484" s="2" t="s">
        <v>15778</v>
      </c>
      <c r="G484" s="2" t="s">
        <v>20517</v>
      </c>
      <c r="H484" s="2" t="s">
        <v>20518</v>
      </c>
      <c r="I484" s="2" t="s">
        <v>20519</v>
      </c>
      <c r="J484" s="2" t="s">
        <v>20520</v>
      </c>
      <c r="K484" s="2" t="s">
        <v>29</v>
      </c>
      <c r="L484" s="2" t="s">
        <v>20521</v>
      </c>
      <c r="M484" s="2" t="s">
        <v>20522</v>
      </c>
      <c r="N484" s="2" t="s">
        <v>20523</v>
      </c>
      <c r="O484" s="2" t="s">
        <v>20524</v>
      </c>
      <c r="P484" s="2" t="s">
        <v>20525</v>
      </c>
      <c r="Q484" s="2" t="s">
        <v>20526</v>
      </c>
      <c r="R484" s="2" t="s">
        <v>502</v>
      </c>
      <c r="S484" s="2" t="s">
        <v>503</v>
      </c>
      <c r="T484" s="2" t="s">
        <v>3258</v>
      </c>
      <c r="U484" s="2" t="s">
        <v>39</v>
      </c>
      <c r="V484" s="2" t="n">
        <v>1</v>
      </c>
    </row>
    <row r="485">
      <c r="A485" s="2" t="n">
        <v>484</v>
      </c>
      <c r="B485" s="2" t="s">
        <v>20527</v>
      </c>
      <c r="C485" s="2" t="n">
        <v>891.683848811</v>
      </c>
      <c r="D485" s="2" t="n">
        <v>0.685394727649866</v>
      </c>
      <c r="E485" s="2" t="s">
        <v>20528</v>
      </c>
      <c r="F485" s="2" t="s">
        <v>15919</v>
      </c>
      <c r="G485" s="2" t="s">
        <v>20529</v>
      </c>
      <c r="H485" s="2" t="s">
        <v>20530</v>
      </c>
      <c r="I485" s="2" t="s">
        <v>20531</v>
      </c>
      <c r="J485" s="2" t="s">
        <v>29</v>
      </c>
      <c r="K485" s="2" t="s">
        <v>29</v>
      </c>
      <c r="L485" s="2" t="s">
        <v>20532</v>
      </c>
      <c r="M485" s="2" t="s">
        <v>29</v>
      </c>
      <c r="N485" s="2" t="s">
        <v>20533</v>
      </c>
      <c r="O485" s="2" t="s">
        <v>29</v>
      </c>
      <c r="P485" s="2" t="s">
        <v>20534</v>
      </c>
      <c r="Q485" s="2" t="s">
        <v>20535</v>
      </c>
      <c r="R485" s="2" t="s">
        <v>1490</v>
      </c>
      <c r="S485" s="2" t="s">
        <v>6728</v>
      </c>
      <c r="T485" s="2" t="s">
        <v>6754</v>
      </c>
      <c r="U485" s="2" t="s">
        <v>39</v>
      </c>
      <c r="V485" s="2" t="n">
        <v>1</v>
      </c>
    </row>
    <row r="486">
      <c r="A486" s="2" t="n">
        <v>485</v>
      </c>
      <c r="B486" s="2" t="s">
        <v>20536</v>
      </c>
      <c r="C486" s="2" t="n">
        <v>893.702340747</v>
      </c>
      <c r="D486" s="2" t="n">
        <v>2.25324113016061</v>
      </c>
      <c r="E486" s="2" t="s">
        <v>20537</v>
      </c>
      <c r="F486" s="2" t="s">
        <v>15611</v>
      </c>
      <c r="G486" s="2" t="s">
        <v>20538</v>
      </c>
      <c r="H486" s="2" t="s">
        <v>20539</v>
      </c>
      <c r="I486" s="2" t="s">
        <v>20540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20541</v>
      </c>
      <c r="O486" s="2" t="s">
        <v>29</v>
      </c>
      <c r="P486" s="2" t="s">
        <v>20542</v>
      </c>
      <c r="Q486" s="2" t="s">
        <v>20543</v>
      </c>
      <c r="R486" s="2" t="s">
        <v>1490</v>
      </c>
      <c r="S486" s="2" t="s">
        <v>6728</v>
      </c>
      <c r="T486" s="2" t="s">
        <v>6754</v>
      </c>
      <c r="U486" s="2" t="s">
        <v>29</v>
      </c>
      <c r="V486" s="2" t="n">
        <v>1</v>
      </c>
    </row>
    <row r="487">
      <c r="A487" s="2" t="n">
        <v>486</v>
      </c>
      <c r="B487" s="2" t="s">
        <v>20544</v>
      </c>
      <c r="C487" s="2" t="n">
        <v>894.731605757</v>
      </c>
      <c r="D487" s="2" t="n">
        <v>1.72328835386167</v>
      </c>
      <c r="E487" s="2" t="s">
        <v>20545</v>
      </c>
      <c r="F487" s="2" t="s">
        <v>15611</v>
      </c>
      <c r="G487" s="2" t="s">
        <v>20546</v>
      </c>
      <c r="H487" s="2" t="s">
        <v>20547</v>
      </c>
      <c r="I487" s="2" t="s">
        <v>20548</v>
      </c>
      <c r="J487" s="2" t="s">
        <v>20549</v>
      </c>
      <c r="K487" s="2" t="s">
        <v>29</v>
      </c>
      <c r="L487" s="2" t="s">
        <v>7680</v>
      </c>
      <c r="M487" s="2" t="s">
        <v>29</v>
      </c>
      <c r="N487" s="2" t="s">
        <v>20550</v>
      </c>
      <c r="O487" s="2" t="s">
        <v>29</v>
      </c>
      <c r="P487" s="2" t="s">
        <v>20551</v>
      </c>
      <c r="Q487" s="2" t="s">
        <v>20552</v>
      </c>
      <c r="R487" s="2" t="s">
        <v>1490</v>
      </c>
      <c r="S487" s="2" t="s">
        <v>4236</v>
      </c>
      <c r="T487" s="2" t="s">
        <v>5369</v>
      </c>
      <c r="U487" s="2" t="s">
        <v>39</v>
      </c>
      <c r="V487" s="2" t="n">
        <v>1</v>
      </c>
    </row>
    <row r="488">
      <c r="A488" s="2" t="n">
        <v>487</v>
      </c>
      <c r="B488" s="2" t="s">
        <v>20553</v>
      </c>
      <c r="C488" s="2" t="n">
        <v>898.499492714</v>
      </c>
      <c r="D488" s="2" t="n">
        <v>0.625167641307477</v>
      </c>
      <c r="E488" s="2" t="s">
        <v>20554</v>
      </c>
      <c r="F488" s="2" t="s">
        <v>15919</v>
      </c>
      <c r="G488" s="2" t="s">
        <v>20555</v>
      </c>
      <c r="H488" s="2" t="s">
        <v>20556</v>
      </c>
      <c r="I488" s="2" t="s">
        <v>20557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20558</v>
      </c>
      <c r="O488" s="2" t="s">
        <v>29</v>
      </c>
      <c r="P488" s="2" t="s">
        <v>20559</v>
      </c>
      <c r="Q488" s="2" t="s">
        <v>20560</v>
      </c>
      <c r="R488" s="2" t="s">
        <v>1490</v>
      </c>
      <c r="S488" s="2" t="s">
        <v>4236</v>
      </c>
      <c r="T488" s="2" t="s">
        <v>8380</v>
      </c>
      <c r="U488" s="2" t="s">
        <v>29</v>
      </c>
      <c r="V488" s="2" t="n">
        <v>1</v>
      </c>
    </row>
    <row r="489">
      <c r="A489" s="2" t="n">
        <v>488</v>
      </c>
      <c r="B489" s="2" t="s">
        <v>20561</v>
      </c>
      <c r="C489" s="2" t="n">
        <v>899.483391542</v>
      </c>
      <c r="D489" s="2" t="n">
        <v>3.14303030226547</v>
      </c>
      <c r="E489" s="2" t="s">
        <v>20562</v>
      </c>
      <c r="F489" s="2" t="s">
        <v>15649</v>
      </c>
      <c r="G489" s="2" t="s">
        <v>20563</v>
      </c>
      <c r="H489" s="2" t="s">
        <v>20564</v>
      </c>
      <c r="I489" s="2" t="s">
        <v>20565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20566</v>
      </c>
      <c r="O489" s="2" t="s">
        <v>29</v>
      </c>
      <c r="P489" s="2" t="s">
        <v>20567</v>
      </c>
      <c r="Q489" s="2" t="s">
        <v>20568</v>
      </c>
      <c r="R489" s="2" t="s">
        <v>1490</v>
      </c>
      <c r="S489" s="2" t="s">
        <v>4236</v>
      </c>
      <c r="T489" s="2" t="s">
        <v>9187</v>
      </c>
      <c r="U489" s="2" t="s">
        <v>29</v>
      </c>
      <c r="V489" s="2" t="n">
        <v>1</v>
      </c>
    </row>
    <row r="490">
      <c r="A490" s="2" t="n">
        <v>489</v>
      </c>
      <c r="B490" s="2" t="s">
        <v>20569</v>
      </c>
      <c r="C490" s="2" t="n">
        <v>903.837517262</v>
      </c>
      <c r="D490" s="2" t="n">
        <v>6.43595231238328</v>
      </c>
      <c r="E490" s="2" t="s">
        <v>20570</v>
      </c>
      <c r="F490" s="2" t="s">
        <v>15649</v>
      </c>
      <c r="G490" s="2" t="s">
        <v>20571</v>
      </c>
      <c r="H490" s="2" t="s">
        <v>20572</v>
      </c>
      <c r="I490" s="2" t="s">
        <v>20573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20574</v>
      </c>
      <c r="O490" s="2" t="s">
        <v>29</v>
      </c>
      <c r="P490" s="2" t="s">
        <v>20575</v>
      </c>
      <c r="Q490" s="2" t="s">
        <v>20576</v>
      </c>
      <c r="R490" s="2" t="s">
        <v>1490</v>
      </c>
      <c r="S490" s="2" t="s">
        <v>6728</v>
      </c>
      <c r="T490" s="2" t="s">
        <v>6754</v>
      </c>
      <c r="U490" s="2" t="s">
        <v>29</v>
      </c>
      <c r="V490" s="2" t="n">
        <v>1</v>
      </c>
    </row>
    <row r="491">
      <c r="A491" s="2" t="n">
        <v>490</v>
      </c>
      <c r="B491" s="2" t="s">
        <v>20577</v>
      </c>
      <c r="C491" s="2" t="n">
        <v>907.575325396</v>
      </c>
      <c r="D491" s="2" t="n">
        <v>9.50573935544955</v>
      </c>
      <c r="E491" s="2" t="s">
        <v>20578</v>
      </c>
      <c r="F491" s="2" t="s">
        <v>17922</v>
      </c>
      <c r="G491" s="2" t="s">
        <v>20579</v>
      </c>
      <c r="H491" s="2" t="s">
        <v>20580</v>
      </c>
      <c r="I491" s="2" t="s">
        <v>20581</v>
      </c>
      <c r="J491" s="2" t="s">
        <v>20582</v>
      </c>
      <c r="K491" s="2" t="s">
        <v>20583</v>
      </c>
      <c r="L491" s="2" t="s">
        <v>29</v>
      </c>
      <c r="M491" s="2" t="s">
        <v>29</v>
      </c>
      <c r="N491" s="2" t="s">
        <v>20584</v>
      </c>
      <c r="O491" s="2" t="s">
        <v>20585</v>
      </c>
      <c r="P491" s="2" t="s">
        <v>20586</v>
      </c>
      <c r="Q491" s="2" t="s">
        <v>20587</v>
      </c>
      <c r="R491" s="2" t="s">
        <v>1490</v>
      </c>
      <c r="S491" s="2" t="s">
        <v>1491</v>
      </c>
      <c r="T491" s="2" t="s">
        <v>3884</v>
      </c>
      <c r="U491" s="2" t="s">
        <v>29</v>
      </c>
      <c r="V491" s="2" t="n">
        <v>1</v>
      </c>
    </row>
    <row r="492">
      <c r="A492" s="2" t="n">
        <v>491</v>
      </c>
      <c r="B492" s="2" t="s">
        <v>20588</v>
      </c>
      <c r="C492" s="2" t="n">
        <v>908.480292787</v>
      </c>
      <c r="D492" s="2" t="n">
        <v>9.66612306386856</v>
      </c>
      <c r="E492" s="2" t="s">
        <v>20589</v>
      </c>
      <c r="F492" s="2" t="s">
        <v>15611</v>
      </c>
      <c r="G492" s="2" t="s">
        <v>20590</v>
      </c>
      <c r="H492" s="2" t="s">
        <v>20591</v>
      </c>
      <c r="I492" s="2" t="s">
        <v>20592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20593</v>
      </c>
      <c r="O492" s="2" t="s">
        <v>29</v>
      </c>
      <c r="P492" s="2" t="s">
        <v>20594</v>
      </c>
      <c r="Q492" s="2" t="s">
        <v>20595</v>
      </c>
      <c r="R492" s="2" t="s">
        <v>1490</v>
      </c>
      <c r="S492" s="2" t="s">
        <v>4236</v>
      </c>
      <c r="T492" s="2" t="s">
        <v>9778</v>
      </c>
      <c r="U492" s="2" t="s">
        <v>29</v>
      </c>
      <c r="V492" s="2" t="n">
        <v>1</v>
      </c>
    </row>
    <row r="493">
      <c r="A493" s="2" t="n">
        <v>492</v>
      </c>
      <c r="B493" s="2" t="s">
        <v>20596</v>
      </c>
      <c r="C493" s="2" t="n">
        <v>908.577743036</v>
      </c>
      <c r="D493" s="2" t="n">
        <v>1.61442789479606</v>
      </c>
      <c r="E493" s="2" t="s">
        <v>20597</v>
      </c>
      <c r="F493" s="2" t="s">
        <v>15919</v>
      </c>
      <c r="G493" s="2" t="s">
        <v>20598</v>
      </c>
      <c r="H493" s="2" t="s">
        <v>20599</v>
      </c>
      <c r="I493" s="2" t="s">
        <v>20600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20601</v>
      </c>
      <c r="O493" s="2" t="s">
        <v>29</v>
      </c>
      <c r="P493" s="2" t="s">
        <v>20602</v>
      </c>
      <c r="Q493" s="2" t="s">
        <v>20603</v>
      </c>
      <c r="R493" s="2" t="s">
        <v>1490</v>
      </c>
      <c r="S493" s="2" t="s">
        <v>4236</v>
      </c>
      <c r="T493" s="2" t="s">
        <v>8380</v>
      </c>
      <c r="U493" s="2" t="s">
        <v>29</v>
      </c>
      <c r="V493" s="2" t="n">
        <v>1</v>
      </c>
    </row>
    <row r="494">
      <c r="A494" s="2" t="n">
        <v>493</v>
      </c>
      <c r="B494" s="2" t="s">
        <v>20604</v>
      </c>
      <c r="C494" s="2" t="n">
        <v>908.969283226</v>
      </c>
      <c r="D494" s="2" t="n">
        <v>8.73247103208932</v>
      </c>
      <c r="E494" s="2" t="s">
        <v>20605</v>
      </c>
      <c r="F494" s="2" t="s">
        <v>15919</v>
      </c>
      <c r="G494" s="2" t="s">
        <v>20606</v>
      </c>
      <c r="H494" s="2" t="s">
        <v>20607</v>
      </c>
      <c r="I494" s="2" t="s">
        <v>20608</v>
      </c>
      <c r="J494" s="2" t="s">
        <v>20609</v>
      </c>
      <c r="K494" s="2" t="s">
        <v>29</v>
      </c>
      <c r="L494" s="2" t="s">
        <v>20610</v>
      </c>
      <c r="M494" s="2" t="s">
        <v>20611</v>
      </c>
      <c r="N494" s="2" t="s">
        <v>20612</v>
      </c>
      <c r="O494" s="2" t="s">
        <v>29</v>
      </c>
      <c r="P494" s="2" t="s">
        <v>20613</v>
      </c>
      <c r="Q494" s="2" t="s">
        <v>20614</v>
      </c>
      <c r="R494" s="2" t="s">
        <v>2590</v>
      </c>
      <c r="S494" s="2" t="s">
        <v>7892</v>
      </c>
      <c r="T494" s="2" t="s">
        <v>205</v>
      </c>
      <c r="U494" s="2" t="s">
        <v>39</v>
      </c>
      <c r="V494" s="2" t="n">
        <v>1</v>
      </c>
    </row>
    <row r="495">
      <c r="A495" s="2" t="n">
        <v>494</v>
      </c>
      <c r="B495" s="2" t="s">
        <v>20615</v>
      </c>
      <c r="C495" s="2" t="n">
        <v>915.683848811</v>
      </c>
      <c r="D495" s="2" t="n">
        <v>0.756329106332937</v>
      </c>
      <c r="E495" s="2" t="s">
        <v>20616</v>
      </c>
      <c r="F495" s="2" t="s">
        <v>15919</v>
      </c>
      <c r="G495" s="2" t="s">
        <v>20617</v>
      </c>
      <c r="H495" s="2" t="s">
        <v>20618</v>
      </c>
      <c r="I495" s="2" t="s">
        <v>20619</v>
      </c>
      <c r="J495" s="2" t="s">
        <v>29</v>
      </c>
      <c r="K495" s="2" t="s">
        <v>29</v>
      </c>
      <c r="L495" s="2" t="s">
        <v>20532</v>
      </c>
      <c r="M495" s="2" t="s">
        <v>29</v>
      </c>
      <c r="N495" s="2" t="s">
        <v>20620</v>
      </c>
      <c r="O495" s="2" t="s">
        <v>29</v>
      </c>
      <c r="P495" s="2" t="s">
        <v>20621</v>
      </c>
      <c r="Q495" s="2" t="s">
        <v>20622</v>
      </c>
      <c r="R495" s="2" t="s">
        <v>1490</v>
      </c>
      <c r="S495" s="2" t="s">
        <v>6728</v>
      </c>
      <c r="T495" s="2" t="s">
        <v>6754</v>
      </c>
      <c r="U495" s="2" t="s">
        <v>39</v>
      </c>
      <c r="V495" s="2" t="n">
        <v>1</v>
      </c>
    </row>
    <row r="496">
      <c r="A496" s="2" t="n">
        <v>495</v>
      </c>
      <c r="B496" s="2" t="s">
        <v>20623</v>
      </c>
      <c r="C496" s="2" t="n">
        <v>917.696190752</v>
      </c>
      <c r="D496" s="2" t="n">
        <v>3.33593876431403</v>
      </c>
      <c r="E496" s="2" t="s">
        <v>20624</v>
      </c>
      <c r="F496" s="2" t="s">
        <v>17922</v>
      </c>
      <c r="G496" s="2" t="s">
        <v>20625</v>
      </c>
      <c r="H496" s="2" t="s">
        <v>20626</v>
      </c>
      <c r="I496" s="2" t="s">
        <v>20627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20628</v>
      </c>
      <c r="O496" s="2" t="s">
        <v>29</v>
      </c>
      <c r="P496" s="2" t="s">
        <v>20629</v>
      </c>
      <c r="Q496" s="2" t="s">
        <v>20630</v>
      </c>
      <c r="R496" s="2" t="s">
        <v>502</v>
      </c>
      <c r="S496" s="2" t="s">
        <v>503</v>
      </c>
      <c r="T496" s="2" t="s">
        <v>2651</v>
      </c>
      <c r="U496" s="2" t="s">
        <v>29</v>
      </c>
      <c r="V496" s="2" t="n">
        <v>1</v>
      </c>
    </row>
    <row r="497">
      <c r="A497" s="2" t="n">
        <v>496</v>
      </c>
      <c r="B497" s="2" t="s">
        <v>20631</v>
      </c>
      <c r="C497" s="2" t="n">
        <v>918.692223629</v>
      </c>
      <c r="D497" s="2" t="n">
        <v>9.59973947202888</v>
      </c>
      <c r="E497" s="2" t="s">
        <v>20632</v>
      </c>
      <c r="F497" s="2" t="s">
        <v>15858</v>
      </c>
      <c r="G497" s="2" t="s">
        <v>20633</v>
      </c>
      <c r="H497" s="2" t="s">
        <v>20634</v>
      </c>
      <c r="I497" s="2" t="s">
        <v>20635</v>
      </c>
      <c r="J497" s="2" t="s">
        <v>20636</v>
      </c>
      <c r="K497" s="2" t="s">
        <v>29</v>
      </c>
      <c r="L497" s="2" t="s">
        <v>8608</v>
      </c>
      <c r="M497" s="2" t="s">
        <v>29</v>
      </c>
      <c r="N497" s="2" t="s">
        <v>20637</v>
      </c>
      <c r="O497" s="2" t="s">
        <v>29</v>
      </c>
      <c r="P497" s="2" t="s">
        <v>20638</v>
      </c>
      <c r="Q497" s="2" t="s">
        <v>20639</v>
      </c>
      <c r="R497" s="2" t="s">
        <v>1490</v>
      </c>
      <c r="S497" s="2" t="s">
        <v>4236</v>
      </c>
      <c r="T497" s="2" t="s">
        <v>8613</v>
      </c>
      <c r="U497" s="2" t="s">
        <v>39</v>
      </c>
      <c r="V497" s="2" t="n">
        <v>1</v>
      </c>
    </row>
    <row r="498">
      <c r="A498" s="2" t="n">
        <v>497</v>
      </c>
      <c r="B498" s="2" t="s">
        <v>20640</v>
      </c>
      <c r="C498" s="2" t="n">
        <v>919.548477536</v>
      </c>
      <c r="D498" s="2" t="n">
        <v>8.02095612889008</v>
      </c>
      <c r="E498" s="2" t="s">
        <v>20641</v>
      </c>
      <c r="F498" s="2" t="s">
        <v>16225</v>
      </c>
      <c r="G498" s="2" t="s">
        <v>20642</v>
      </c>
      <c r="H498" s="2" t="s">
        <v>20643</v>
      </c>
      <c r="I498" s="2" t="s">
        <v>20644</v>
      </c>
      <c r="J498" s="2" t="s">
        <v>20645</v>
      </c>
      <c r="K498" s="2" t="s">
        <v>226</v>
      </c>
      <c r="L498" s="2" t="s">
        <v>226</v>
      </c>
      <c r="M498" s="2" t="s">
        <v>20646</v>
      </c>
      <c r="N498" s="2" t="s">
        <v>20647</v>
      </c>
      <c r="O498" s="2" t="s">
        <v>20648</v>
      </c>
      <c r="P498" s="2" t="s">
        <v>20649</v>
      </c>
      <c r="Q498" s="2" t="s">
        <v>20650</v>
      </c>
      <c r="R498" s="2" t="s">
        <v>105</v>
      </c>
      <c r="S498" s="2" t="s">
        <v>1614</v>
      </c>
      <c r="T498" s="2" t="s">
        <v>20651</v>
      </c>
      <c r="U498" s="2" t="s">
        <v>29</v>
      </c>
      <c r="V498" s="2" t="n">
        <v>3</v>
      </c>
    </row>
    <row r="499">
      <c r="A499" s="2" t="n">
        <v>498</v>
      </c>
      <c r="B499" s="2" t="s">
        <v>20652</v>
      </c>
      <c r="C499" s="2" t="n">
        <v>919.71514894</v>
      </c>
      <c r="D499" s="2" t="n">
        <v>3.6053690572865</v>
      </c>
      <c r="E499" s="2" t="s">
        <v>20653</v>
      </c>
      <c r="F499" s="2" t="s">
        <v>15919</v>
      </c>
      <c r="G499" s="2" t="s">
        <v>20654</v>
      </c>
      <c r="H499" s="2" t="s">
        <v>20655</v>
      </c>
      <c r="I499" s="2" t="s">
        <v>20656</v>
      </c>
      <c r="J499" s="2" t="s">
        <v>29</v>
      </c>
      <c r="K499" s="2" t="s">
        <v>29</v>
      </c>
      <c r="L499" s="2" t="s">
        <v>20532</v>
      </c>
      <c r="M499" s="2" t="s">
        <v>29</v>
      </c>
      <c r="N499" s="2" t="s">
        <v>20657</v>
      </c>
      <c r="O499" s="2" t="s">
        <v>29</v>
      </c>
      <c r="P499" s="2" t="s">
        <v>20658</v>
      </c>
      <c r="Q499" s="2" t="s">
        <v>20659</v>
      </c>
      <c r="R499" s="2" t="s">
        <v>1490</v>
      </c>
      <c r="S499" s="2" t="s">
        <v>6728</v>
      </c>
      <c r="T499" s="2" t="s">
        <v>6754</v>
      </c>
      <c r="U499" s="2" t="s">
        <v>39</v>
      </c>
      <c r="V499" s="2" t="n">
        <v>1</v>
      </c>
    </row>
    <row r="500">
      <c r="A500" s="2" t="n">
        <v>499</v>
      </c>
      <c r="B500" s="2" t="s">
        <v>20660</v>
      </c>
      <c r="C500" s="2" t="n">
        <v>920.504972018</v>
      </c>
      <c r="D500" s="2" t="n">
        <v>5.87118205826131</v>
      </c>
      <c r="E500" s="2" t="s">
        <v>20661</v>
      </c>
      <c r="F500" s="2" t="s">
        <v>15919</v>
      </c>
      <c r="G500" s="2" t="s">
        <v>20662</v>
      </c>
      <c r="H500" s="2" t="s">
        <v>20663</v>
      </c>
      <c r="I500" s="2" t="s">
        <v>20664</v>
      </c>
      <c r="J500" s="2" t="s">
        <v>226</v>
      </c>
      <c r="K500" s="2" t="s">
        <v>226</v>
      </c>
      <c r="L500" s="2" t="s">
        <v>226</v>
      </c>
      <c r="M500" s="2" t="s">
        <v>226</v>
      </c>
      <c r="N500" s="2" t="s">
        <v>226</v>
      </c>
      <c r="O500" s="2" t="s">
        <v>226</v>
      </c>
      <c r="P500" s="2" t="s">
        <v>20665</v>
      </c>
      <c r="Q500" s="2" t="s">
        <v>20666</v>
      </c>
      <c r="R500" s="2" t="s">
        <v>105</v>
      </c>
      <c r="S500" s="2" t="s">
        <v>5723</v>
      </c>
      <c r="T500" s="2" t="s">
        <v>20667</v>
      </c>
      <c r="U500" s="2" t="s">
        <v>29</v>
      </c>
      <c r="V500" s="2" t="n">
        <v>3</v>
      </c>
    </row>
    <row r="501">
      <c r="A501" s="2" t="n">
        <v>500</v>
      </c>
      <c r="B501" s="2" t="s">
        <v>20668</v>
      </c>
      <c r="C501" s="2" t="n">
        <v>921.489459536</v>
      </c>
      <c r="D501" s="2" t="n">
        <v>2.07154287393893</v>
      </c>
      <c r="E501" s="2" t="s">
        <v>20669</v>
      </c>
      <c r="F501" s="2" t="s">
        <v>15611</v>
      </c>
      <c r="G501" s="2" t="s">
        <v>20670</v>
      </c>
      <c r="H501" s="2" t="s">
        <v>20671</v>
      </c>
      <c r="I501" s="2" t="s">
        <v>20672</v>
      </c>
      <c r="J501" s="2" t="s">
        <v>20673</v>
      </c>
      <c r="K501" s="2" t="s">
        <v>29</v>
      </c>
      <c r="L501" s="2" t="s">
        <v>20674</v>
      </c>
      <c r="M501" s="2" t="s">
        <v>29</v>
      </c>
      <c r="N501" s="2" t="s">
        <v>20675</v>
      </c>
      <c r="O501" s="2" t="s">
        <v>29</v>
      </c>
      <c r="P501" s="2" t="s">
        <v>20676</v>
      </c>
      <c r="Q501" s="2" t="s">
        <v>20677</v>
      </c>
      <c r="R501" s="2" t="s">
        <v>1490</v>
      </c>
      <c r="S501" s="2" t="s">
        <v>4236</v>
      </c>
      <c r="T501" s="2" t="s">
        <v>20678</v>
      </c>
      <c r="U501" s="2" t="s">
        <v>39</v>
      </c>
      <c r="V501" s="2" t="n">
        <v>1</v>
      </c>
    </row>
    <row r="502">
      <c r="A502" s="2" t="n">
        <v>501</v>
      </c>
      <c r="B502" s="2" t="s">
        <v>20679</v>
      </c>
      <c r="C502" s="2" t="n">
        <v>925.830647</v>
      </c>
      <c r="D502" s="2" t="n">
        <v>0.315320493123694</v>
      </c>
      <c r="E502" s="2" t="s">
        <v>20680</v>
      </c>
      <c r="F502" s="2" t="s">
        <v>15722</v>
      </c>
      <c r="G502" s="2" t="s">
        <v>20681</v>
      </c>
      <c r="H502" s="2" t="s">
        <v>20682</v>
      </c>
      <c r="I502" s="2" t="s">
        <v>20683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20684</v>
      </c>
      <c r="Q502" s="2" t="s">
        <v>20685</v>
      </c>
      <c r="R502" s="2" t="s">
        <v>502</v>
      </c>
      <c r="S502" s="2" t="s">
        <v>503</v>
      </c>
      <c r="T502" s="2" t="s">
        <v>2174</v>
      </c>
      <c r="U502" s="2" t="s">
        <v>29</v>
      </c>
      <c r="V502" s="2" t="n">
        <v>1</v>
      </c>
    </row>
    <row r="503">
      <c r="A503" s="2" t="n">
        <v>502</v>
      </c>
      <c r="B503" s="2" t="s">
        <v>20686</v>
      </c>
      <c r="C503" s="2" t="n">
        <v>929.592595536</v>
      </c>
      <c r="D503" s="2" t="n">
        <v>0.493118672840305</v>
      </c>
      <c r="E503" s="2" t="s">
        <v>20687</v>
      </c>
      <c r="F503" s="2" t="s">
        <v>15778</v>
      </c>
      <c r="G503" s="2" t="s">
        <v>20688</v>
      </c>
      <c r="H503" s="2" t="s">
        <v>20689</v>
      </c>
      <c r="I503" s="2" t="s">
        <v>20690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20691</v>
      </c>
      <c r="O503" s="2" t="s">
        <v>29</v>
      </c>
      <c r="P503" s="2" t="s">
        <v>20692</v>
      </c>
      <c r="Q503" s="2" t="s">
        <v>20693</v>
      </c>
      <c r="R503" s="2" t="s">
        <v>1490</v>
      </c>
      <c r="S503" s="2" t="s">
        <v>4971</v>
      </c>
      <c r="T503" s="2" t="s">
        <v>7445</v>
      </c>
      <c r="U503" s="2" t="s">
        <v>29</v>
      </c>
      <c r="V503" s="2" t="n">
        <v>1</v>
      </c>
    </row>
    <row r="504">
      <c r="A504" s="2" t="n">
        <v>503</v>
      </c>
      <c r="B504" s="2" t="s">
        <v>20694</v>
      </c>
      <c r="C504" s="2" t="n">
        <v>932.674485293</v>
      </c>
      <c r="D504" s="2" t="n">
        <v>1.94541761560309</v>
      </c>
      <c r="E504" s="2" t="s">
        <v>20695</v>
      </c>
      <c r="F504" s="2" t="s">
        <v>15611</v>
      </c>
      <c r="G504" s="2" t="s">
        <v>20696</v>
      </c>
      <c r="H504" s="2" t="s">
        <v>20697</v>
      </c>
      <c r="I504" s="2" t="s">
        <v>20698</v>
      </c>
      <c r="J504" s="2" t="s">
        <v>226</v>
      </c>
      <c r="K504" s="2" t="s">
        <v>226</v>
      </c>
      <c r="L504" s="2" t="s">
        <v>226</v>
      </c>
      <c r="M504" s="2" t="s">
        <v>226</v>
      </c>
      <c r="N504" s="2" t="s">
        <v>226</v>
      </c>
      <c r="O504" s="2" t="s">
        <v>226</v>
      </c>
      <c r="P504" s="2" t="s">
        <v>20699</v>
      </c>
      <c r="Q504" s="2" t="s">
        <v>20700</v>
      </c>
      <c r="R504" s="2" t="s">
        <v>105</v>
      </c>
      <c r="S504" s="2" t="s">
        <v>5723</v>
      </c>
      <c r="T504" s="2" t="s">
        <v>5724</v>
      </c>
      <c r="U504" s="2" t="s">
        <v>29</v>
      </c>
      <c r="V504" s="2" t="n">
        <v>3</v>
      </c>
    </row>
    <row r="505">
      <c r="A505" s="2" t="n">
        <v>504</v>
      </c>
      <c r="B505" s="2" t="s">
        <v>20701</v>
      </c>
      <c r="C505" s="2" t="n">
        <v>935.716069513</v>
      </c>
      <c r="D505" s="2" t="n">
        <v>9.85469470492176</v>
      </c>
      <c r="E505" s="2" t="s">
        <v>20702</v>
      </c>
      <c r="F505" s="2" t="s">
        <v>15611</v>
      </c>
      <c r="G505" s="2" t="s">
        <v>20703</v>
      </c>
      <c r="H505" s="2" t="s">
        <v>20704</v>
      </c>
      <c r="I505" s="2" t="s">
        <v>20705</v>
      </c>
      <c r="J505" s="2" t="s">
        <v>20706</v>
      </c>
      <c r="K505" s="2" t="s">
        <v>29</v>
      </c>
      <c r="L505" s="2" t="s">
        <v>29</v>
      </c>
      <c r="M505" s="2" t="s">
        <v>29</v>
      </c>
      <c r="N505" s="2" t="s">
        <v>20707</v>
      </c>
      <c r="O505" s="2" t="s">
        <v>20708</v>
      </c>
      <c r="P505" s="2" t="s">
        <v>20709</v>
      </c>
      <c r="Q505" s="2" t="s">
        <v>20710</v>
      </c>
      <c r="R505" s="2" t="s">
        <v>49</v>
      </c>
      <c r="S505" s="2" t="s">
        <v>165</v>
      </c>
      <c r="T505" s="2" t="s">
        <v>166</v>
      </c>
      <c r="U505" s="2" t="s">
        <v>29</v>
      </c>
      <c r="V505" s="2" t="n">
        <v>1</v>
      </c>
    </row>
    <row r="506">
      <c r="A506" s="2" t="n">
        <v>505</v>
      </c>
      <c r="B506" s="2" t="s">
        <v>20711</v>
      </c>
      <c r="C506" s="2" t="n">
        <v>940.534670385</v>
      </c>
      <c r="D506" s="2" t="n">
        <v>3.09284102452724</v>
      </c>
      <c r="E506" s="2" t="s">
        <v>20712</v>
      </c>
      <c r="F506" s="2" t="s">
        <v>15722</v>
      </c>
      <c r="G506" s="2" t="s">
        <v>20713</v>
      </c>
      <c r="H506" s="2" t="s">
        <v>20714</v>
      </c>
      <c r="I506" s="2" t="s">
        <v>20715</v>
      </c>
      <c r="J506" s="2" t="s">
        <v>20716</v>
      </c>
      <c r="K506" s="2" t="s">
        <v>29</v>
      </c>
      <c r="L506" s="2" t="s">
        <v>9059</v>
      </c>
      <c r="M506" s="2" t="s">
        <v>29</v>
      </c>
      <c r="N506" s="2" t="s">
        <v>20717</v>
      </c>
      <c r="O506" s="2" t="s">
        <v>20718</v>
      </c>
      <c r="P506" s="2" t="s">
        <v>20719</v>
      </c>
      <c r="Q506" s="2" t="s">
        <v>20720</v>
      </c>
      <c r="R506" s="2" t="s">
        <v>1490</v>
      </c>
      <c r="S506" s="2" t="s">
        <v>8433</v>
      </c>
      <c r="T506" s="2" t="s">
        <v>8434</v>
      </c>
      <c r="U506" s="2" t="s">
        <v>39</v>
      </c>
      <c r="V506" s="2" t="n">
        <v>1</v>
      </c>
    </row>
    <row r="507">
      <c r="A507" s="2" t="n">
        <v>506</v>
      </c>
      <c r="B507" s="2" t="s">
        <v>20721</v>
      </c>
      <c r="C507" s="2" t="n">
        <v>941.156281348</v>
      </c>
      <c r="D507" s="2" t="n">
        <v>2.33544627332683</v>
      </c>
      <c r="E507" s="2" t="s">
        <v>20722</v>
      </c>
      <c r="F507" s="2" t="s">
        <v>17922</v>
      </c>
      <c r="G507" s="2" t="s">
        <v>20723</v>
      </c>
      <c r="H507" s="2" t="s">
        <v>20724</v>
      </c>
      <c r="I507" s="2" t="s">
        <v>20725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20726</v>
      </c>
      <c r="O507" s="2" t="s">
        <v>29</v>
      </c>
      <c r="P507" s="2" t="s">
        <v>20727</v>
      </c>
      <c r="Q507" s="2" t="s">
        <v>20728</v>
      </c>
      <c r="R507" s="2" t="s">
        <v>2509</v>
      </c>
      <c r="S507" s="2" t="s">
        <v>2840</v>
      </c>
      <c r="T507" s="2" t="s">
        <v>20729</v>
      </c>
      <c r="U507" s="2" t="s">
        <v>29</v>
      </c>
      <c r="V507" s="2" t="n">
        <v>1</v>
      </c>
    </row>
    <row r="508">
      <c r="A508" s="2" t="n">
        <v>507</v>
      </c>
      <c r="B508" s="2" t="s">
        <v>20730</v>
      </c>
      <c r="C508" s="2" t="n">
        <v>947.658267164</v>
      </c>
      <c r="D508" s="2" t="n">
        <v>7.07183026094348</v>
      </c>
      <c r="E508" s="2" t="s">
        <v>20731</v>
      </c>
      <c r="F508" s="2" t="s">
        <v>17922</v>
      </c>
      <c r="G508" s="2" t="s">
        <v>20732</v>
      </c>
      <c r="H508" s="2" t="s">
        <v>20733</v>
      </c>
      <c r="I508" s="2" t="s">
        <v>20734</v>
      </c>
      <c r="J508" s="2" t="s">
        <v>20735</v>
      </c>
      <c r="K508" s="2" t="s">
        <v>72</v>
      </c>
      <c r="L508" s="2" t="s">
        <v>72</v>
      </c>
      <c r="M508" s="2" t="s">
        <v>72</v>
      </c>
      <c r="N508" s="2" t="s">
        <v>20736</v>
      </c>
      <c r="O508" s="2" t="s">
        <v>20737</v>
      </c>
      <c r="P508" s="2" t="s">
        <v>20738</v>
      </c>
      <c r="Q508" s="2" t="s">
        <v>20739</v>
      </c>
      <c r="R508" s="2" t="s">
        <v>575</v>
      </c>
      <c r="S508" s="2" t="s">
        <v>6794</v>
      </c>
      <c r="T508" s="2" t="s">
        <v>6795</v>
      </c>
      <c r="U508" s="2" t="s">
        <v>29</v>
      </c>
      <c r="V508" s="2" t="n">
        <v>2</v>
      </c>
    </row>
    <row r="509">
      <c r="A509" s="2" t="n">
        <v>508</v>
      </c>
      <c r="B509" s="2" t="s">
        <v>20740</v>
      </c>
      <c r="C509" s="2" t="n">
        <v>948.681814182</v>
      </c>
      <c r="D509" s="2" t="n">
        <v>6.44286550285627</v>
      </c>
      <c r="E509" s="2" t="s">
        <v>20741</v>
      </c>
      <c r="F509" s="2" t="s">
        <v>15919</v>
      </c>
      <c r="G509" s="2" t="s">
        <v>20742</v>
      </c>
      <c r="H509" s="2" t="s">
        <v>20743</v>
      </c>
      <c r="I509" s="2" t="s">
        <v>20744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20745</v>
      </c>
      <c r="O509" s="2" t="s">
        <v>29</v>
      </c>
      <c r="P509" s="2" t="s">
        <v>20746</v>
      </c>
      <c r="Q509" s="2" t="s">
        <v>20747</v>
      </c>
      <c r="R509" s="2" t="s">
        <v>1490</v>
      </c>
      <c r="S509" s="2" t="s">
        <v>4236</v>
      </c>
      <c r="T509" s="2" t="s">
        <v>5369</v>
      </c>
      <c r="U509" s="2" t="s">
        <v>29</v>
      </c>
      <c r="V509" s="2" t="n">
        <v>1</v>
      </c>
    </row>
    <row r="510">
      <c r="A510" s="2" t="n">
        <v>509</v>
      </c>
      <c r="B510" s="2" t="s">
        <v>20748</v>
      </c>
      <c r="C510" s="2" t="n">
        <v>949.682198402</v>
      </c>
      <c r="D510" s="2" t="n">
        <v>1.63911848549224</v>
      </c>
      <c r="E510" s="2" t="s">
        <v>20749</v>
      </c>
      <c r="F510" s="2" t="s">
        <v>15649</v>
      </c>
      <c r="G510" s="2" t="s">
        <v>20750</v>
      </c>
      <c r="H510" s="2" t="s">
        <v>20751</v>
      </c>
      <c r="I510" s="2" t="s">
        <v>20752</v>
      </c>
      <c r="J510" s="2" t="s">
        <v>20753</v>
      </c>
      <c r="K510" s="2" t="s">
        <v>29</v>
      </c>
      <c r="L510" s="2" t="s">
        <v>29</v>
      </c>
      <c r="M510" s="2" t="s">
        <v>29</v>
      </c>
      <c r="N510" s="2" t="s">
        <v>20754</v>
      </c>
      <c r="O510" s="2" t="s">
        <v>29</v>
      </c>
      <c r="P510" s="2" t="s">
        <v>20755</v>
      </c>
      <c r="Q510" s="2" t="s">
        <v>20756</v>
      </c>
      <c r="R510" s="2" t="s">
        <v>1490</v>
      </c>
      <c r="S510" s="2" t="s">
        <v>6728</v>
      </c>
      <c r="T510" s="2" t="s">
        <v>9027</v>
      </c>
      <c r="U510" s="2" t="s">
        <v>29</v>
      </c>
      <c r="V510" s="2" t="n">
        <v>1</v>
      </c>
    </row>
    <row r="511">
      <c r="A511" s="2" t="n">
        <v>510</v>
      </c>
      <c r="B511" s="2" t="s">
        <v>20757</v>
      </c>
      <c r="C511" s="2" t="n">
        <v>951.689567292</v>
      </c>
      <c r="D511" s="2" t="n">
        <v>5.37618621317338</v>
      </c>
      <c r="E511" s="2" t="s">
        <v>20758</v>
      </c>
      <c r="F511" s="2" t="s">
        <v>17922</v>
      </c>
      <c r="G511" s="2" t="s">
        <v>20759</v>
      </c>
      <c r="H511" s="2" t="s">
        <v>20760</v>
      </c>
      <c r="I511" s="2" t="s">
        <v>20761</v>
      </c>
      <c r="J511" s="2" t="s">
        <v>20762</v>
      </c>
      <c r="K511" s="2" t="s">
        <v>29</v>
      </c>
      <c r="L511" s="2" t="s">
        <v>20763</v>
      </c>
      <c r="M511" s="2" t="s">
        <v>20764</v>
      </c>
      <c r="N511" s="2" t="s">
        <v>20765</v>
      </c>
      <c r="O511" s="2" t="s">
        <v>29</v>
      </c>
      <c r="P511" s="2" t="s">
        <v>20766</v>
      </c>
      <c r="Q511" s="2" t="s">
        <v>20767</v>
      </c>
      <c r="R511" s="2" t="s">
        <v>1490</v>
      </c>
      <c r="S511" s="2" t="s">
        <v>3546</v>
      </c>
      <c r="T511" s="2" t="s">
        <v>8600</v>
      </c>
      <c r="U511" s="2" t="s">
        <v>39</v>
      </c>
      <c r="V511" s="2" t="n">
        <v>1</v>
      </c>
    </row>
    <row r="512">
      <c r="A512" s="2" t="n">
        <v>511</v>
      </c>
      <c r="B512" s="2" t="s">
        <v>20768</v>
      </c>
      <c r="C512" s="2" t="n">
        <v>955.575480134</v>
      </c>
      <c r="D512" s="2" t="n">
        <v>2.19814954626088</v>
      </c>
      <c r="E512" s="2" t="s">
        <v>20769</v>
      </c>
      <c r="F512" s="2" t="s">
        <v>15919</v>
      </c>
      <c r="G512" s="2" t="s">
        <v>20770</v>
      </c>
      <c r="H512" s="2" t="s">
        <v>20771</v>
      </c>
      <c r="I512" s="2" t="s">
        <v>20772</v>
      </c>
      <c r="J512" s="2" t="s">
        <v>20773</v>
      </c>
      <c r="K512" s="2" t="s">
        <v>72</v>
      </c>
      <c r="L512" s="2" t="s">
        <v>72</v>
      </c>
      <c r="M512" s="2" t="s">
        <v>72</v>
      </c>
      <c r="N512" s="2" t="s">
        <v>20774</v>
      </c>
      <c r="O512" s="2" t="s">
        <v>20775</v>
      </c>
      <c r="P512" s="2" t="s">
        <v>20776</v>
      </c>
      <c r="Q512" s="2" t="s">
        <v>20777</v>
      </c>
      <c r="R512" s="2" t="s">
        <v>575</v>
      </c>
      <c r="S512" s="2" t="s">
        <v>20778</v>
      </c>
      <c r="T512" s="2" t="s">
        <v>20779</v>
      </c>
      <c r="U512" s="2" t="s">
        <v>29</v>
      </c>
      <c r="V512" s="2" t="n">
        <v>2</v>
      </c>
    </row>
    <row r="513">
      <c r="A513" s="2" t="n">
        <v>512</v>
      </c>
      <c r="B513" s="2" t="s">
        <v>20780</v>
      </c>
      <c r="C513" s="2" t="n">
        <v>956.577743036</v>
      </c>
      <c r="D513" s="2" t="n">
        <v>1.02436858696361</v>
      </c>
      <c r="E513" s="2" t="s">
        <v>20781</v>
      </c>
      <c r="F513" s="2" t="s">
        <v>15919</v>
      </c>
      <c r="G513" s="2" t="s">
        <v>20782</v>
      </c>
      <c r="H513" s="2" t="s">
        <v>20783</v>
      </c>
      <c r="I513" s="2" t="s">
        <v>20784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20785</v>
      </c>
      <c r="O513" s="2" t="s">
        <v>29</v>
      </c>
      <c r="P513" s="2" t="s">
        <v>20786</v>
      </c>
      <c r="Q513" s="2" t="s">
        <v>20787</v>
      </c>
      <c r="R513" s="2" t="s">
        <v>1490</v>
      </c>
      <c r="S513" s="2" t="s">
        <v>4236</v>
      </c>
      <c r="T513" s="2" t="s">
        <v>8380</v>
      </c>
      <c r="U513" s="2" t="s">
        <v>29</v>
      </c>
      <c r="V513" s="2" t="n">
        <v>1</v>
      </c>
    </row>
    <row r="514">
      <c r="A514" s="2" t="n">
        <v>513</v>
      </c>
      <c r="B514" s="2" t="s">
        <v>20788</v>
      </c>
      <c r="C514" s="2" t="n">
        <v>963.66843792</v>
      </c>
      <c r="D514" s="2" t="n">
        <v>5.45175060604844</v>
      </c>
      <c r="E514" s="2" t="s">
        <v>20789</v>
      </c>
      <c r="F514" s="2" t="s">
        <v>17922</v>
      </c>
      <c r="G514" s="2" t="s">
        <v>20790</v>
      </c>
      <c r="H514" s="2" t="s">
        <v>20791</v>
      </c>
      <c r="I514" s="2" t="s">
        <v>20792</v>
      </c>
      <c r="J514" s="2" t="s">
        <v>29</v>
      </c>
      <c r="K514" s="2" t="s">
        <v>29</v>
      </c>
      <c r="L514" s="2" t="s">
        <v>20793</v>
      </c>
      <c r="M514" s="2" t="s">
        <v>20794</v>
      </c>
      <c r="N514" s="2" t="s">
        <v>20795</v>
      </c>
      <c r="O514" s="2" t="s">
        <v>20796</v>
      </c>
      <c r="P514" s="2" t="s">
        <v>20797</v>
      </c>
      <c r="Q514" s="2" t="s">
        <v>20798</v>
      </c>
      <c r="R514" s="2" t="s">
        <v>1490</v>
      </c>
      <c r="S514" s="2" t="s">
        <v>4971</v>
      </c>
      <c r="T514" s="2" t="s">
        <v>7445</v>
      </c>
      <c r="U514" s="2" t="s">
        <v>39</v>
      </c>
      <c r="V514" s="2" t="n">
        <v>1</v>
      </c>
    </row>
    <row r="515">
      <c r="A515" s="2" t="n">
        <v>514</v>
      </c>
      <c r="B515" s="2" t="s">
        <v>20799</v>
      </c>
      <c r="C515" s="2" t="n">
        <v>965.543628704</v>
      </c>
      <c r="D515" s="2" t="n">
        <v>4.66274786427852</v>
      </c>
      <c r="E515" s="2" t="s">
        <v>20800</v>
      </c>
      <c r="F515" s="2" t="s">
        <v>15778</v>
      </c>
      <c r="G515" s="2" t="s">
        <v>20801</v>
      </c>
      <c r="H515" s="2" t="s">
        <v>20802</v>
      </c>
      <c r="I515" s="2" t="s">
        <v>20803</v>
      </c>
      <c r="J515" s="2" t="s">
        <v>20804</v>
      </c>
      <c r="K515" s="2" t="s">
        <v>29</v>
      </c>
      <c r="L515" s="2" t="s">
        <v>29</v>
      </c>
      <c r="M515" s="2" t="s">
        <v>20805</v>
      </c>
      <c r="N515" s="2" t="s">
        <v>20806</v>
      </c>
      <c r="O515" s="2" t="s">
        <v>29</v>
      </c>
      <c r="P515" s="2" t="s">
        <v>20807</v>
      </c>
      <c r="Q515" s="2" t="s">
        <v>20808</v>
      </c>
      <c r="R515" s="2" t="s">
        <v>355</v>
      </c>
      <c r="S515" s="2" t="s">
        <v>2424</v>
      </c>
      <c r="T515" s="2" t="s">
        <v>20809</v>
      </c>
      <c r="U515" s="2" t="s">
        <v>29</v>
      </c>
      <c r="V515" s="2" t="n">
        <v>1</v>
      </c>
    </row>
    <row r="516">
      <c r="A516" s="2" t="n">
        <v>515</v>
      </c>
      <c r="B516" s="2" t="s">
        <v>20810</v>
      </c>
      <c r="C516" s="2" t="n">
        <v>977.552873233</v>
      </c>
      <c r="D516" s="2" t="n">
        <v>3.16667572808169</v>
      </c>
      <c r="E516" s="2" t="s">
        <v>20811</v>
      </c>
      <c r="F516" s="2" t="s">
        <v>15649</v>
      </c>
      <c r="G516" s="2" t="s">
        <v>20812</v>
      </c>
      <c r="H516" s="2" t="s">
        <v>20813</v>
      </c>
      <c r="I516" s="2" t="s">
        <v>20814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20815</v>
      </c>
      <c r="O516" s="2" t="s">
        <v>29</v>
      </c>
      <c r="P516" s="2" t="s">
        <v>20816</v>
      </c>
      <c r="Q516" s="2" t="s">
        <v>20817</v>
      </c>
      <c r="R516" s="2" t="s">
        <v>49</v>
      </c>
      <c r="S516" s="2" t="s">
        <v>165</v>
      </c>
      <c r="T516" s="2" t="s">
        <v>166</v>
      </c>
      <c r="U516" s="2" t="s">
        <v>29</v>
      </c>
      <c r="V516" s="2" t="n">
        <v>1</v>
      </c>
    </row>
    <row r="517">
      <c r="A517" s="2" t="n">
        <v>516</v>
      </c>
      <c r="B517" s="2" t="s">
        <v>20818</v>
      </c>
      <c r="C517" s="2" t="n">
        <v>979.569954696</v>
      </c>
      <c r="D517" s="2" t="n">
        <v>1.7589546436761</v>
      </c>
      <c r="E517" s="2" t="s">
        <v>20819</v>
      </c>
      <c r="F517" s="2" t="s">
        <v>17922</v>
      </c>
      <c r="G517" s="2" t="s">
        <v>20820</v>
      </c>
      <c r="H517" s="2" t="s">
        <v>20821</v>
      </c>
      <c r="I517" s="2" t="s">
        <v>20822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20823</v>
      </c>
      <c r="O517" s="2" t="s">
        <v>29</v>
      </c>
      <c r="P517" s="2" t="s">
        <v>20824</v>
      </c>
      <c r="Q517" s="2" t="s">
        <v>20825</v>
      </c>
      <c r="R517" s="2" t="s">
        <v>49</v>
      </c>
      <c r="S517" s="2" t="s">
        <v>165</v>
      </c>
      <c r="T517" s="2" t="s">
        <v>166</v>
      </c>
      <c r="U517" s="2" t="s">
        <v>29</v>
      </c>
      <c r="V517" s="2" t="n">
        <v>1</v>
      </c>
    </row>
    <row r="518">
      <c r="A518" s="2" t="n">
        <v>517</v>
      </c>
      <c r="B518" s="2" t="s">
        <v>20826</v>
      </c>
      <c r="C518" s="2" t="n">
        <v>987.554691655</v>
      </c>
      <c r="D518" s="2" t="n">
        <v>2.04299934638349</v>
      </c>
      <c r="E518" s="2" t="s">
        <v>20827</v>
      </c>
      <c r="F518" s="2" t="s">
        <v>15691</v>
      </c>
      <c r="G518" s="2" t="s">
        <v>20828</v>
      </c>
      <c r="H518" s="2" t="s">
        <v>20829</v>
      </c>
      <c r="I518" s="2" t="s">
        <v>20830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20831</v>
      </c>
      <c r="O518" s="2" t="s">
        <v>29</v>
      </c>
      <c r="P518" s="2" t="s">
        <v>20832</v>
      </c>
      <c r="Q518" s="2" t="s">
        <v>20833</v>
      </c>
      <c r="R518" s="2" t="s">
        <v>49</v>
      </c>
      <c r="S518" s="2" t="s">
        <v>165</v>
      </c>
      <c r="T518" s="2" t="s">
        <v>166</v>
      </c>
      <c r="U518" s="2" t="s">
        <v>29</v>
      </c>
      <c r="V518" s="2" t="n">
        <v>1</v>
      </c>
    </row>
    <row r="519">
      <c r="A519" s="2" t="n">
        <v>518</v>
      </c>
      <c r="B519" s="2" t="s">
        <v>20834</v>
      </c>
      <c r="C519" s="2" t="n">
        <v>996.141360551</v>
      </c>
      <c r="D519" s="2" t="n">
        <v>4.65582177163187</v>
      </c>
      <c r="E519" s="2" t="s">
        <v>20835</v>
      </c>
      <c r="F519" s="2" t="s">
        <v>15919</v>
      </c>
      <c r="G519" s="2" t="s">
        <v>20836</v>
      </c>
      <c r="H519" s="2" t="s">
        <v>20837</v>
      </c>
      <c r="I519" s="2" t="s">
        <v>20838</v>
      </c>
      <c r="J519" s="2" t="s">
        <v>20839</v>
      </c>
      <c r="K519" s="2" t="s">
        <v>29</v>
      </c>
      <c r="L519" s="2" t="s">
        <v>20840</v>
      </c>
      <c r="M519" s="2" t="s">
        <v>29</v>
      </c>
      <c r="N519" s="2" t="s">
        <v>20841</v>
      </c>
      <c r="O519" s="2" t="s">
        <v>29</v>
      </c>
      <c r="P519" s="2" t="s">
        <v>20842</v>
      </c>
      <c r="Q519" s="2" t="s">
        <v>20843</v>
      </c>
      <c r="R519" s="2" t="s">
        <v>1490</v>
      </c>
      <c r="S519" s="2" t="s">
        <v>1491</v>
      </c>
      <c r="T519" s="2" t="s">
        <v>9107</v>
      </c>
      <c r="U519" s="2" t="s">
        <v>39</v>
      </c>
      <c r="V519" s="2" t="n">
        <v>1</v>
      </c>
    </row>
    <row r="520">
      <c r="A520" s="2" t="n">
        <v>519</v>
      </c>
      <c r="B520" s="2" t="s">
        <v>20844</v>
      </c>
      <c r="C520" s="2" t="n">
        <v>996.568519109</v>
      </c>
      <c r="D520" s="2" t="n">
        <v>4.82293433412054</v>
      </c>
      <c r="E520" s="2" t="s">
        <v>20845</v>
      </c>
      <c r="F520" s="2" t="s">
        <v>15649</v>
      </c>
      <c r="G520" s="2" t="s">
        <v>20846</v>
      </c>
      <c r="H520" s="2" t="s">
        <v>20847</v>
      </c>
      <c r="I520" s="2" t="s">
        <v>20848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20849</v>
      </c>
      <c r="O520" s="2" t="s">
        <v>29</v>
      </c>
      <c r="P520" s="2" t="s">
        <v>20850</v>
      </c>
      <c r="Q520" s="2" t="s">
        <v>20851</v>
      </c>
      <c r="R520" s="2" t="s">
        <v>1490</v>
      </c>
      <c r="S520" s="2" t="s">
        <v>4236</v>
      </c>
      <c r="T520" s="2" t="s">
        <v>9778</v>
      </c>
      <c r="U520" s="2" t="s">
        <v>29</v>
      </c>
      <c r="V520" s="2" t="n">
        <v>1</v>
      </c>
    </row>
    <row r="521">
      <c r="A521" s="2" t="n">
        <v>520</v>
      </c>
      <c r="B521" s="2" t="s">
        <v>20852</v>
      </c>
      <c r="C521" s="2" t="n">
        <v>1007.079175182</v>
      </c>
      <c r="D521" s="2" t="n">
        <v>7.44878447067184</v>
      </c>
      <c r="E521" s="2" t="s">
        <v>20853</v>
      </c>
      <c r="F521" s="2" t="s">
        <v>17922</v>
      </c>
      <c r="G521" s="2" t="s">
        <v>20854</v>
      </c>
      <c r="H521" s="2" t="s">
        <v>20855</v>
      </c>
      <c r="I521" s="2" t="s">
        <v>20856</v>
      </c>
      <c r="J521" s="2" t="s">
        <v>72</v>
      </c>
      <c r="K521" s="2" t="s">
        <v>72</v>
      </c>
      <c r="L521" s="2" t="s">
        <v>72</v>
      </c>
      <c r="M521" s="2" t="s">
        <v>72</v>
      </c>
      <c r="N521" s="2" t="s">
        <v>20857</v>
      </c>
      <c r="O521" s="2" t="s">
        <v>72</v>
      </c>
      <c r="P521" s="2" t="s">
        <v>20858</v>
      </c>
      <c r="Q521" s="2" t="s">
        <v>20859</v>
      </c>
      <c r="R521" s="2" t="s">
        <v>537</v>
      </c>
      <c r="S521" s="2" t="s">
        <v>20860</v>
      </c>
      <c r="T521" s="2" t="s">
        <v>20861</v>
      </c>
      <c r="U521" s="2" t="s">
        <v>29</v>
      </c>
      <c r="V521" s="2" t="n">
        <v>2</v>
      </c>
    </row>
    <row r="522">
      <c r="A522" s="2" t="n">
        <v>521</v>
      </c>
      <c r="B522" s="2" t="s">
        <v>20862</v>
      </c>
      <c r="C522" s="2" t="n">
        <v>1017.540393798</v>
      </c>
      <c r="D522" s="2" t="n">
        <v>8.08155707532404</v>
      </c>
      <c r="E522" s="2" t="s">
        <v>20863</v>
      </c>
      <c r="F522" s="2" t="s">
        <v>15649</v>
      </c>
      <c r="G522" s="2" t="s">
        <v>20864</v>
      </c>
      <c r="H522" s="2" t="s">
        <v>20865</v>
      </c>
      <c r="I522" s="2" t="s">
        <v>20866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20867</v>
      </c>
      <c r="O522" s="2" t="s">
        <v>29</v>
      </c>
      <c r="P522" s="2" t="s">
        <v>20868</v>
      </c>
      <c r="Q522" s="2" t="s">
        <v>20869</v>
      </c>
      <c r="R522" s="2" t="s">
        <v>49</v>
      </c>
      <c r="S522" s="2" t="s">
        <v>165</v>
      </c>
      <c r="T522" s="2" t="s">
        <v>166</v>
      </c>
      <c r="U522" s="2" t="s">
        <v>29</v>
      </c>
      <c r="V522" s="2" t="n">
        <v>1</v>
      </c>
    </row>
    <row r="523">
      <c r="A523" s="2" t="n">
        <v>522</v>
      </c>
      <c r="B523" s="2" t="s">
        <v>20870</v>
      </c>
      <c r="C523" s="2" t="n">
        <v>1030.552868089</v>
      </c>
      <c r="D523" s="2" t="n">
        <v>7.79199036137599</v>
      </c>
      <c r="E523" s="2" t="s">
        <v>20871</v>
      </c>
      <c r="F523" s="2" t="s">
        <v>15649</v>
      </c>
      <c r="G523" s="2" t="s">
        <v>20872</v>
      </c>
      <c r="H523" s="2" t="s">
        <v>20873</v>
      </c>
      <c r="I523" s="2" t="s">
        <v>20874</v>
      </c>
      <c r="J523" s="2" t="s">
        <v>20875</v>
      </c>
      <c r="K523" s="2" t="s">
        <v>72</v>
      </c>
      <c r="L523" s="2" t="s">
        <v>72</v>
      </c>
      <c r="M523" s="2" t="s">
        <v>72</v>
      </c>
      <c r="N523" s="2" t="s">
        <v>20876</v>
      </c>
      <c r="O523" s="2" t="s">
        <v>72</v>
      </c>
      <c r="P523" s="2" t="s">
        <v>20877</v>
      </c>
      <c r="Q523" s="2" t="s">
        <v>20878</v>
      </c>
      <c r="R523" s="2" t="s">
        <v>575</v>
      </c>
      <c r="S523" s="2" t="s">
        <v>6260</v>
      </c>
      <c r="T523" s="2" t="s">
        <v>20879</v>
      </c>
      <c r="U523" s="2" t="s">
        <v>29</v>
      </c>
      <c r="V523" s="2" t="n">
        <v>2</v>
      </c>
    </row>
    <row r="524">
      <c r="A524" s="2" t="n">
        <v>523</v>
      </c>
      <c r="B524" s="2" t="s">
        <v>20880</v>
      </c>
      <c r="C524" s="2" t="n">
        <v>1032.058467</v>
      </c>
      <c r="D524" s="2" t="n">
        <v>2.77157019530256</v>
      </c>
      <c r="E524" s="2" t="s">
        <v>20881</v>
      </c>
      <c r="F524" s="2" t="s">
        <v>15722</v>
      </c>
      <c r="G524" s="2" t="s">
        <v>20882</v>
      </c>
      <c r="H524" s="2" t="s">
        <v>20883</v>
      </c>
      <c r="I524" s="2" t="s">
        <v>20884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20885</v>
      </c>
      <c r="O524" s="2" t="s">
        <v>29</v>
      </c>
      <c r="P524" s="2" t="s">
        <v>20886</v>
      </c>
      <c r="Q524" s="2" t="s">
        <v>20887</v>
      </c>
      <c r="R524" s="2" t="s">
        <v>1490</v>
      </c>
      <c r="S524" s="2" t="s">
        <v>3546</v>
      </c>
      <c r="T524" s="2" t="s">
        <v>20888</v>
      </c>
      <c r="U524" s="2" t="s">
        <v>29</v>
      </c>
      <c r="V524" s="2" t="n">
        <v>1</v>
      </c>
    </row>
    <row r="525">
      <c r="A525" s="2" t="n">
        <v>524</v>
      </c>
      <c r="B525" s="2" t="s">
        <v>20889</v>
      </c>
      <c r="C525" s="2" t="n">
        <v>1041.586952698</v>
      </c>
      <c r="D525" s="2" t="n">
        <v>2.77028917216035</v>
      </c>
      <c r="E525" s="2" t="s">
        <v>20890</v>
      </c>
      <c r="F525" s="2" t="s">
        <v>17922</v>
      </c>
      <c r="G525" s="2" t="s">
        <v>20891</v>
      </c>
      <c r="H525" s="2" t="s">
        <v>20892</v>
      </c>
      <c r="I525" s="2" t="s">
        <v>20893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20894</v>
      </c>
      <c r="O525" s="2" t="s">
        <v>29</v>
      </c>
      <c r="P525" s="2" t="s">
        <v>20895</v>
      </c>
      <c r="Q525" s="2" t="s">
        <v>20896</v>
      </c>
      <c r="R525" s="2" t="s">
        <v>1490</v>
      </c>
      <c r="S525" s="2" t="s">
        <v>4971</v>
      </c>
      <c r="T525" s="2" t="s">
        <v>7445</v>
      </c>
      <c r="U525" s="2" t="s">
        <v>29</v>
      </c>
      <c r="V525" s="2" t="n">
        <v>1</v>
      </c>
    </row>
    <row r="526">
      <c r="A526" s="2" t="n">
        <v>525</v>
      </c>
      <c r="B526" s="2" t="s">
        <v>20897</v>
      </c>
      <c r="C526" s="2" t="n">
        <v>1042.123909852</v>
      </c>
      <c r="D526" s="2" t="n">
        <v>1.2126508381995</v>
      </c>
      <c r="E526" s="2" t="s">
        <v>20898</v>
      </c>
      <c r="F526" s="2" t="s">
        <v>15778</v>
      </c>
      <c r="G526" s="2" t="s">
        <v>20899</v>
      </c>
      <c r="H526" s="2" t="s">
        <v>20900</v>
      </c>
      <c r="I526" s="2" t="s">
        <v>20901</v>
      </c>
      <c r="J526" s="2" t="s">
        <v>20902</v>
      </c>
      <c r="K526" s="2" t="s">
        <v>29</v>
      </c>
      <c r="L526" s="2" t="s">
        <v>29</v>
      </c>
      <c r="M526" s="2" t="s">
        <v>29</v>
      </c>
      <c r="N526" s="2" t="s">
        <v>20903</v>
      </c>
      <c r="O526" s="2" t="s">
        <v>29</v>
      </c>
      <c r="P526" s="2" t="s">
        <v>20904</v>
      </c>
      <c r="Q526" s="2" t="s">
        <v>20905</v>
      </c>
      <c r="R526" s="2" t="s">
        <v>64</v>
      </c>
      <c r="S526" s="2" t="s">
        <v>65</v>
      </c>
      <c r="T526" s="2" t="s">
        <v>91</v>
      </c>
      <c r="U526" s="2" t="s">
        <v>29</v>
      </c>
      <c r="V526" s="2" t="n">
        <v>1</v>
      </c>
    </row>
    <row r="527">
      <c r="A527" s="2" t="n">
        <v>526</v>
      </c>
      <c r="B527" s="2" t="s">
        <v>20906</v>
      </c>
      <c r="C527" s="2" t="n">
        <v>1050.1074755</v>
      </c>
      <c r="D527" s="2" t="n">
        <v>6.74242522700038</v>
      </c>
      <c r="E527" s="2" t="s">
        <v>20907</v>
      </c>
      <c r="F527" s="2" t="s">
        <v>15919</v>
      </c>
      <c r="G527" s="2" t="s">
        <v>20908</v>
      </c>
      <c r="H527" s="2" t="s">
        <v>20909</v>
      </c>
      <c r="I527" s="2" t="s">
        <v>20910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20911</v>
      </c>
      <c r="O527" s="2" t="s">
        <v>29</v>
      </c>
      <c r="P527" s="2" t="s">
        <v>20912</v>
      </c>
      <c r="Q527" s="2" t="s">
        <v>20913</v>
      </c>
      <c r="R527" s="2" t="s">
        <v>1490</v>
      </c>
      <c r="S527" s="2" t="s">
        <v>1491</v>
      </c>
      <c r="T527" s="2" t="s">
        <v>9107</v>
      </c>
      <c r="U527" s="2" t="s">
        <v>29</v>
      </c>
      <c r="V527" s="2" t="n">
        <v>1</v>
      </c>
    </row>
    <row r="528">
      <c r="A528" s="2" t="n">
        <v>527</v>
      </c>
      <c r="B528" s="2" t="s">
        <v>20914</v>
      </c>
      <c r="C528" s="2" t="n">
        <v>1075.109378</v>
      </c>
      <c r="D528" s="2" t="n">
        <v>2.01136802840278</v>
      </c>
      <c r="E528" s="2" t="s">
        <v>20915</v>
      </c>
      <c r="F528" s="2" t="s">
        <v>17922</v>
      </c>
      <c r="G528" s="2" t="s">
        <v>20916</v>
      </c>
      <c r="H528" s="2" t="s">
        <v>20917</v>
      </c>
      <c r="I528" s="2" t="s">
        <v>20918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20919</v>
      </c>
      <c r="O528" s="2" t="s">
        <v>29</v>
      </c>
      <c r="P528" s="2" t="s">
        <v>20920</v>
      </c>
      <c r="Q528" s="2" t="s">
        <v>20921</v>
      </c>
      <c r="R528" s="2" t="s">
        <v>49</v>
      </c>
      <c r="S528" s="2" t="s">
        <v>165</v>
      </c>
      <c r="T528" s="2" t="s">
        <v>166</v>
      </c>
      <c r="U528" s="2" t="s">
        <v>29</v>
      </c>
      <c r="V528" s="2" t="n">
        <v>1</v>
      </c>
    </row>
    <row r="529">
      <c r="A529" s="2" t="n">
        <v>528</v>
      </c>
      <c r="B529" s="2" t="s">
        <v>20922</v>
      </c>
      <c r="C529" s="2" t="n">
        <v>1083.591083692</v>
      </c>
      <c r="D529" s="2" t="n">
        <v>2.16162097785312</v>
      </c>
      <c r="E529" s="2" t="s">
        <v>20923</v>
      </c>
      <c r="F529" s="2" t="s">
        <v>15919</v>
      </c>
      <c r="G529" s="2" t="s">
        <v>20924</v>
      </c>
      <c r="H529" s="2" t="s">
        <v>20925</v>
      </c>
      <c r="I529" s="2" t="s">
        <v>20926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20927</v>
      </c>
      <c r="O529" s="2" t="s">
        <v>29</v>
      </c>
      <c r="P529" s="2" t="s">
        <v>20928</v>
      </c>
      <c r="Q529" s="2" t="s">
        <v>20929</v>
      </c>
      <c r="R529" s="2" t="s">
        <v>1490</v>
      </c>
      <c r="S529" s="2" t="s">
        <v>4236</v>
      </c>
      <c r="T529" s="2" t="s">
        <v>9758</v>
      </c>
      <c r="U529" s="2" t="s">
        <v>29</v>
      </c>
      <c r="V529" s="2" t="n">
        <v>1</v>
      </c>
    </row>
    <row r="530">
      <c r="A530" s="2" t="n">
        <v>529</v>
      </c>
      <c r="B530" s="2" t="s">
        <v>20930</v>
      </c>
      <c r="C530" s="2" t="n">
        <v>1095.135810028</v>
      </c>
      <c r="D530" s="2" t="n">
        <v>2.5812522979</v>
      </c>
      <c r="E530" s="2" t="s">
        <v>20931</v>
      </c>
      <c r="F530" s="2" t="s">
        <v>15722</v>
      </c>
      <c r="G530" s="2" t="s">
        <v>20932</v>
      </c>
      <c r="H530" s="2" t="s">
        <v>20933</v>
      </c>
      <c r="I530" s="2" t="s">
        <v>20934</v>
      </c>
      <c r="J530" s="2" t="s">
        <v>72</v>
      </c>
      <c r="K530" s="2" t="s">
        <v>72</v>
      </c>
      <c r="L530" s="2" t="s">
        <v>72</v>
      </c>
      <c r="M530" s="2" t="s">
        <v>72</v>
      </c>
      <c r="N530" s="2" t="s">
        <v>20935</v>
      </c>
      <c r="O530" s="2" t="s">
        <v>72</v>
      </c>
      <c r="P530" s="2" t="s">
        <v>20936</v>
      </c>
      <c r="Q530" s="2" t="s">
        <v>20937</v>
      </c>
      <c r="R530" s="2" t="s">
        <v>3167</v>
      </c>
      <c r="S530" s="2" t="s">
        <v>4213</v>
      </c>
      <c r="T530" s="2" t="s">
        <v>9984</v>
      </c>
      <c r="U530" s="2" t="s">
        <v>29</v>
      </c>
      <c r="V530" s="2" t="n">
        <v>2</v>
      </c>
    </row>
    <row r="531">
      <c r="A531" s="2" t="n">
        <v>530</v>
      </c>
      <c r="B531" s="2" t="s">
        <v>20938</v>
      </c>
      <c r="C531" s="2" t="n">
        <v>1105.594171256</v>
      </c>
      <c r="D531" s="2" t="n">
        <v>9.44937231213895</v>
      </c>
      <c r="E531" s="2" t="s">
        <v>20939</v>
      </c>
      <c r="F531" s="2" t="s">
        <v>15778</v>
      </c>
      <c r="G531" s="2" t="s">
        <v>20940</v>
      </c>
      <c r="H531" s="2" t="s">
        <v>20941</v>
      </c>
      <c r="I531" s="2" t="s">
        <v>20942</v>
      </c>
      <c r="J531" s="2" t="s">
        <v>20943</v>
      </c>
      <c r="K531" s="2" t="s">
        <v>72</v>
      </c>
      <c r="L531" s="2" t="s">
        <v>72</v>
      </c>
      <c r="M531" s="2" t="s">
        <v>20944</v>
      </c>
      <c r="N531" s="2" t="s">
        <v>20945</v>
      </c>
      <c r="O531" s="2" t="s">
        <v>20946</v>
      </c>
      <c r="P531" s="2" t="s">
        <v>20947</v>
      </c>
      <c r="Q531" s="2" t="s">
        <v>20948</v>
      </c>
      <c r="R531" s="2" t="s">
        <v>575</v>
      </c>
      <c r="S531" s="2" t="s">
        <v>6794</v>
      </c>
      <c r="T531" s="2" t="s">
        <v>7422</v>
      </c>
      <c r="U531" s="2" t="s">
        <v>29</v>
      </c>
      <c r="V531" s="2" t="n">
        <v>2</v>
      </c>
    </row>
    <row r="532">
      <c r="A532" s="2" t="n">
        <v>531</v>
      </c>
      <c r="B532" s="2" t="s">
        <v>20949</v>
      </c>
      <c r="C532" s="2" t="n">
        <v>1117.143157448</v>
      </c>
      <c r="D532" s="2" t="n">
        <v>8.00756998733672</v>
      </c>
      <c r="E532" s="2" t="s">
        <v>20950</v>
      </c>
      <c r="F532" s="2" t="s">
        <v>15778</v>
      </c>
      <c r="G532" s="2" t="s">
        <v>20951</v>
      </c>
      <c r="H532" s="2" t="s">
        <v>20952</v>
      </c>
      <c r="I532" s="2" t="s">
        <v>20953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20954</v>
      </c>
      <c r="O532" s="2" t="s">
        <v>20955</v>
      </c>
      <c r="P532" s="2" t="s">
        <v>20956</v>
      </c>
      <c r="Q532" s="2" t="s">
        <v>20957</v>
      </c>
      <c r="R532" s="2" t="s">
        <v>2509</v>
      </c>
      <c r="S532" s="2" t="s">
        <v>5520</v>
      </c>
      <c r="T532" s="2" t="s">
        <v>5664</v>
      </c>
      <c r="U532" s="2" t="s">
        <v>29</v>
      </c>
      <c r="V532" s="2" t="n">
        <v>1</v>
      </c>
    </row>
    <row r="533">
      <c r="A533" s="2" t="n">
        <v>532</v>
      </c>
      <c r="B533" s="2" t="s">
        <v>20958</v>
      </c>
      <c r="C533" s="2" t="n">
        <v>1117.631767624</v>
      </c>
      <c r="D533" s="2" t="n">
        <v>7.37792745820507</v>
      </c>
      <c r="E533" s="2" t="s">
        <v>20959</v>
      </c>
      <c r="F533" s="2" t="s">
        <v>15611</v>
      </c>
      <c r="G533" s="2" t="s">
        <v>20960</v>
      </c>
      <c r="H533" s="2" t="s">
        <v>20961</v>
      </c>
      <c r="I533" s="2" t="s">
        <v>20962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20963</v>
      </c>
      <c r="Q533" s="2" t="s">
        <v>20964</v>
      </c>
      <c r="R533" s="2" t="s">
        <v>64</v>
      </c>
      <c r="S533" s="2" t="s">
        <v>65</v>
      </c>
      <c r="T533" s="2" t="s">
        <v>66</v>
      </c>
      <c r="U533" s="2" t="s">
        <v>29</v>
      </c>
      <c r="V533" s="2" t="n">
        <v>1</v>
      </c>
    </row>
    <row r="534">
      <c r="A534" s="2" t="n">
        <v>533</v>
      </c>
      <c r="B534" s="2" t="s">
        <v>20965</v>
      </c>
      <c r="C534" s="2" t="n">
        <v>1119.126121632</v>
      </c>
      <c r="D534" s="2" t="n">
        <v>4.90695448420599</v>
      </c>
      <c r="E534" s="2" t="s">
        <v>20966</v>
      </c>
      <c r="F534" s="2" t="s">
        <v>15691</v>
      </c>
      <c r="G534" s="2" t="s">
        <v>20967</v>
      </c>
      <c r="H534" s="2" t="s">
        <v>20968</v>
      </c>
      <c r="I534" s="2" t="s">
        <v>20969</v>
      </c>
      <c r="J534" s="2" t="s">
        <v>20970</v>
      </c>
      <c r="K534" s="2" t="s">
        <v>72</v>
      </c>
      <c r="L534" s="2" t="s">
        <v>72</v>
      </c>
      <c r="M534" s="2" t="s">
        <v>72</v>
      </c>
      <c r="N534" s="2" t="s">
        <v>20971</v>
      </c>
      <c r="O534" s="2" t="s">
        <v>20972</v>
      </c>
      <c r="P534" s="2" t="s">
        <v>20973</v>
      </c>
      <c r="Q534" s="2" t="s">
        <v>20974</v>
      </c>
      <c r="R534" s="2" t="s">
        <v>3167</v>
      </c>
      <c r="S534" s="2" t="s">
        <v>20975</v>
      </c>
      <c r="T534" s="2" t="s">
        <v>20976</v>
      </c>
      <c r="U534" s="2" t="s">
        <v>29</v>
      </c>
      <c r="V534" s="2" t="n">
        <v>2</v>
      </c>
    </row>
    <row r="535">
      <c r="A535" s="2" t="n">
        <v>534</v>
      </c>
      <c r="B535" s="2" t="s">
        <v>20977</v>
      </c>
      <c r="C535" s="2" t="n">
        <v>1127.61336716</v>
      </c>
      <c r="D535" s="2" t="n">
        <v>0.110305594403895</v>
      </c>
      <c r="E535" s="2" t="s">
        <v>20978</v>
      </c>
      <c r="F535" s="2" t="s">
        <v>17922</v>
      </c>
      <c r="G535" s="2" t="s">
        <v>20979</v>
      </c>
      <c r="H535" s="2" t="s">
        <v>20980</v>
      </c>
      <c r="I535" s="2" t="s">
        <v>20981</v>
      </c>
      <c r="J535" s="2" t="s">
        <v>20982</v>
      </c>
      <c r="K535" s="2" t="s">
        <v>29</v>
      </c>
      <c r="L535" s="2" t="s">
        <v>20983</v>
      </c>
      <c r="M535" s="2" t="s">
        <v>20984</v>
      </c>
      <c r="N535" s="2" t="s">
        <v>20985</v>
      </c>
      <c r="O535" s="2" t="s">
        <v>29</v>
      </c>
      <c r="P535" s="2" t="s">
        <v>20986</v>
      </c>
      <c r="Q535" s="2" t="s">
        <v>20987</v>
      </c>
      <c r="R535" s="2" t="s">
        <v>1490</v>
      </c>
      <c r="S535" s="2" t="s">
        <v>4971</v>
      </c>
      <c r="T535" s="2" t="s">
        <v>7445</v>
      </c>
      <c r="U535" s="2" t="s">
        <v>39</v>
      </c>
      <c r="V535" s="2" t="n">
        <v>1</v>
      </c>
    </row>
    <row r="536">
      <c r="A536" s="2" t="n">
        <v>535</v>
      </c>
      <c r="B536" s="2" t="s">
        <v>20988</v>
      </c>
      <c r="C536" s="2" t="n">
        <v>1139.1585868</v>
      </c>
      <c r="D536" s="2" t="n">
        <v>6.15150579302355</v>
      </c>
      <c r="E536" s="2" t="s">
        <v>20989</v>
      </c>
      <c r="F536" s="2" t="s">
        <v>15778</v>
      </c>
      <c r="G536" s="2" t="s">
        <v>20990</v>
      </c>
      <c r="H536" s="2" t="s">
        <v>20991</v>
      </c>
      <c r="I536" s="2" t="s">
        <v>20992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20993</v>
      </c>
      <c r="O536" s="2" t="s">
        <v>29</v>
      </c>
      <c r="P536" s="2" t="s">
        <v>20994</v>
      </c>
      <c r="Q536" s="2" t="s">
        <v>20995</v>
      </c>
      <c r="R536" s="2" t="s">
        <v>355</v>
      </c>
      <c r="S536" s="2" t="s">
        <v>2424</v>
      </c>
      <c r="T536" s="2" t="s">
        <v>20809</v>
      </c>
      <c r="U536" s="2" t="s">
        <v>29</v>
      </c>
      <c r="V536" s="2" t="n">
        <v>1</v>
      </c>
    </row>
    <row r="537">
      <c r="A537" s="2" t="n">
        <v>536</v>
      </c>
      <c r="B537" s="2" t="s">
        <v>20996</v>
      </c>
      <c r="C537" s="2" t="n">
        <v>1172.15051855</v>
      </c>
      <c r="D537" s="2" t="n">
        <v>8.41999126640446</v>
      </c>
      <c r="E537" s="2" t="s">
        <v>20997</v>
      </c>
      <c r="F537" s="2" t="s">
        <v>15649</v>
      </c>
      <c r="G537" s="2" t="s">
        <v>20998</v>
      </c>
      <c r="H537" s="2" t="s">
        <v>20999</v>
      </c>
      <c r="I537" s="2" t="s">
        <v>21000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21001</v>
      </c>
      <c r="O537" s="2" t="s">
        <v>29</v>
      </c>
      <c r="P537" s="2" t="s">
        <v>21002</v>
      </c>
      <c r="Q537" s="2" t="s">
        <v>21003</v>
      </c>
      <c r="R537" s="2" t="s">
        <v>1490</v>
      </c>
      <c r="S537" s="2" t="s">
        <v>6728</v>
      </c>
      <c r="T537" s="2" t="s">
        <v>6754</v>
      </c>
      <c r="U537" s="2" t="s">
        <v>29</v>
      </c>
      <c r="V53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8" max="8" width="45.71" hidden="0" customWidth="1"/>
  </cols>
  <sheetData>
    <row r="1">
      <c r="A1" s="1" t="s">
        <v>0</v>
      </c>
      <c r="B1" s="1" t="s">
        <v>10025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10026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</v>
      </c>
      <c r="V1" s="1" t="s">
        <v>5</v>
      </c>
      <c r="W1" s="1" t="s">
        <v>20</v>
      </c>
    </row>
    <row r="2">
      <c r="A2" s="2" t="n">
        <v>1</v>
      </c>
      <c r="B2" s="2" t="s">
        <v>10027</v>
      </c>
      <c r="C2" s="2" t="s">
        <v>15609</v>
      </c>
      <c r="D2" s="2" t="n">
        <v>84.044978473</v>
      </c>
      <c r="E2" s="2" t="n">
        <v>11.1971489514099</v>
      </c>
      <c r="F2" s="2" t="s">
        <v>15612</v>
      </c>
      <c r="G2" s="2" t="n">
        <v>54348</v>
      </c>
      <c r="H2" s="3" t="str">
        <f>HYPERLINK("http://funmeta.oebiotech.com/network/54348", "http://funmeta.oebiotech.com/network/54348")</f>
      </c>
      <c r="I2" s="2" t="s">
        <v>15614</v>
      </c>
      <c r="J2" s="2" t="s">
        <v>15615</v>
      </c>
      <c r="K2" s="2"/>
      <c r="L2" s="2" t="s">
        <v>15616</v>
      </c>
      <c r="M2" s="2" t="s">
        <v>15617</v>
      </c>
      <c r="N2" s="2" t="s">
        <v>15618</v>
      </c>
      <c r="O2" s="2" t="s">
        <v>15619</v>
      </c>
      <c r="P2" s="2" t="s">
        <v>15620</v>
      </c>
      <c r="Q2" s="2" t="s">
        <v>15621</v>
      </c>
      <c r="R2" s="2" t="s">
        <v>49</v>
      </c>
      <c r="S2" s="2" t="s">
        <v>165</v>
      </c>
      <c r="T2" s="2" t="s">
        <v>166</v>
      </c>
      <c r="U2" s="2" t="s">
        <v>15610</v>
      </c>
      <c r="V2" s="2" t="s">
        <v>15611</v>
      </c>
      <c r="W2" s="2" t="s">
        <v>39</v>
      </c>
    </row>
    <row r="3">
      <c r="A3" s="2" t="n">
        <v>2</v>
      </c>
      <c r="B3" s="2" t="s">
        <v>10028</v>
      </c>
      <c r="C3" s="2" t="s">
        <v>15622</v>
      </c>
      <c r="D3" s="2" t="n">
        <v>84.081324325</v>
      </c>
      <c r="E3" s="2" t="n">
        <v>3.07391262514675</v>
      </c>
      <c r="F3" s="2" t="s">
        <v>15625</v>
      </c>
      <c r="G3" s="2" t="n">
        <v>82200</v>
      </c>
      <c r="H3" s="3" t="str">
        <f>HYPERLINK("http://funmeta.oebiotech.com/network/82200", "http://funmeta.oebiotech.com/network/82200")</f>
      </c>
      <c r="I3" s="2" t="s">
        <v>15627</v>
      </c>
      <c r="J3" s="2" t="s">
        <v>15628</v>
      </c>
      <c r="K3" s="2"/>
      <c r="L3" s="2" t="s">
        <v>15629</v>
      </c>
      <c r="M3" s="2" t="s">
        <v>15630</v>
      </c>
      <c r="N3" s="2" t="s">
        <v>15631</v>
      </c>
      <c r="O3" s="2"/>
      <c r="P3" s="2" t="s">
        <v>15632</v>
      </c>
      <c r="Q3" s="2" t="s">
        <v>15633</v>
      </c>
      <c r="R3" s="2" t="s">
        <v>355</v>
      </c>
      <c r="S3" s="2" t="s">
        <v>15634</v>
      </c>
      <c r="T3" s="2" t="s">
        <v>205</v>
      </c>
      <c r="U3" s="2" t="s">
        <v>15623</v>
      </c>
      <c r="V3" s="2" t="s">
        <v>15624</v>
      </c>
      <c r="W3" s="2" t="s">
        <v>39</v>
      </c>
    </row>
    <row r="4">
      <c r="A4" s="2" t="n">
        <v>3</v>
      </c>
      <c r="B4" s="2" t="s">
        <v>10029</v>
      </c>
      <c r="C4" s="2" t="s">
        <v>15635</v>
      </c>
      <c r="D4" s="2" t="n">
        <v>97.011235504</v>
      </c>
      <c r="E4" s="2" t="n">
        <v>18.3522371055398</v>
      </c>
      <c r="F4" s="2" t="s">
        <v>21004</v>
      </c>
      <c r="G4" s="2" t="n">
        <v>57178</v>
      </c>
      <c r="H4" s="3" t="str">
        <f>HYPERLINK("http://funmeta.oebiotech.com/network/57178", "http://funmeta.oebiotech.com/network/57178")</f>
      </c>
      <c r="I4" s="2" t="s">
        <v>21005</v>
      </c>
      <c r="J4" s="2" t="s">
        <v>21006</v>
      </c>
      <c r="K4" s="2"/>
      <c r="L4" s="2"/>
      <c r="M4" s="2"/>
      <c r="N4" s="2" t="s">
        <v>21007</v>
      </c>
      <c r="O4" s="2" t="s">
        <v>21008</v>
      </c>
      <c r="P4" s="2" t="s">
        <v>21009</v>
      </c>
      <c r="Q4" s="2" t="s">
        <v>21010</v>
      </c>
      <c r="R4" s="2" t="s">
        <v>355</v>
      </c>
      <c r="S4" s="2" t="s">
        <v>1713</v>
      </c>
      <c r="T4" s="2" t="s">
        <v>205</v>
      </c>
      <c r="U4" s="2" t="s">
        <v>15636</v>
      </c>
      <c r="V4" s="2" t="s">
        <v>15611</v>
      </c>
      <c r="W4" s="2"/>
    </row>
    <row r="5">
      <c r="A5" s="2" t="n">
        <v>3</v>
      </c>
      <c r="B5" s="2" t="s">
        <v>21011</v>
      </c>
      <c r="C5" s="2" t="s">
        <v>15635</v>
      </c>
      <c r="D5" s="2" t="n">
        <v>97.011235504</v>
      </c>
      <c r="E5" s="2" t="n">
        <v>18.3522371055398</v>
      </c>
      <c r="F5" s="2" t="s">
        <v>21012</v>
      </c>
      <c r="G5" s="2" t="n">
        <v>57255</v>
      </c>
      <c r="H5" s="3" t="str">
        <f>HYPERLINK("http://funmeta.oebiotech.com/network/57255", "http://funmeta.oebiotech.com/network/57255")</f>
      </c>
      <c r="I5" s="2" t="s">
        <v>21013</v>
      </c>
      <c r="J5" s="2" t="s">
        <v>21014</v>
      </c>
      <c r="K5" s="2"/>
      <c r="L5" s="2"/>
      <c r="M5" s="2"/>
      <c r="N5" s="2" t="s">
        <v>21015</v>
      </c>
      <c r="O5" s="2" t="s">
        <v>21016</v>
      </c>
      <c r="P5" s="2" t="s">
        <v>21017</v>
      </c>
      <c r="Q5" s="2" t="s">
        <v>21018</v>
      </c>
      <c r="R5" s="2" t="s">
        <v>355</v>
      </c>
      <c r="S5" s="2" t="s">
        <v>1713</v>
      </c>
      <c r="T5" s="2" t="s">
        <v>205</v>
      </c>
      <c r="U5" s="2" t="s">
        <v>15636</v>
      </c>
      <c r="V5" s="2" t="s">
        <v>15611</v>
      </c>
      <c r="W5" s="2"/>
    </row>
    <row r="6">
      <c r="A6" s="2" t="n">
        <v>3</v>
      </c>
      <c r="B6" s="2" t="s">
        <v>21019</v>
      </c>
      <c r="C6" s="2" t="s">
        <v>15635</v>
      </c>
      <c r="D6" s="2" t="n">
        <v>97.011235504</v>
      </c>
      <c r="E6" s="2" t="n">
        <v>18.3522371055398</v>
      </c>
      <c r="F6" s="2" t="s">
        <v>21020</v>
      </c>
      <c r="G6" s="2" t="n">
        <v>60300</v>
      </c>
      <c r="H6" s="3" t="str">
        <f>HYPERLINK("http://funmeta.oebiotech.com/network/60300", "http://funmeta.oebiotech.com/network/60300")</f>
      </c>
      <c r="I6" s="2" t="s">
        <v>21021</v>
      </c>
      <c r="J6" s="2" t="s">
        <v>21022</v>
      </c>
      <c r="K6" s="2"/>
      <c r="L6" s="2"/>
      <c r="M6" s="2"/>
      <c r="N6" s="2" t="s">
        <v>21023</v>
      </c>
      <c r="O6" s="2" t="s">
        <v>21024</v>
      </c>
      <c r="P6" s="2" t="s">
        <v>21025</v>
      </c>
      <c r="Q6" s="2" t="s">
        <v>21026</v>
      </c>
      <c r="R6" s="2" t="s">
        <v>355</v>
      </c>
      <c r="S6" s="2" t="s">
        <v>1713</v>
      </c>
      <c r="T6" s="2" t="s">
        <v>205</v>
      </c>
      <c r="U6" s="2" t="s">
        <v>15636</v>
      </c>
      <c r="V6" s="2" t="s">
        <v>15611</v>
      </c>
      <c r="W6" s="2"/>
    </row>
    <row r="7">
      <c r="A7" s="2" t="n">
        <v>4</v>
      </c>
      <c r="B7" s="2" t="s">
        <v>10030</v>
      </c>
      <c r="C7" s="2" t="s">
        <v>15647</v>
      </c>
      <c r="D7" s="2" t="n">
        <v>97.028405372</v>
      </c>
      <c r="E7" s="2" t="n">
        <v>0.788199854791295</v>
      </c>
      <c r="F7" s="2" t="s">
        <v>21027</v>
      </c>
      <c r="G7" s="2" t="n">
        <v>82396</v>
      </c>
      <c r="H7" s="3" t="str">
        <f>HYPERLINK("http://funmeta.oebiotech.com/network/82396", "http://funmeta.oebiotech.com/network/82396")</f>
      </c>
      <c r="I7" s="2" t="s">
        <v>21028</v>
      </c>
      <c r="J7" s="2" t="s">
        <v>21029</v>
      </c>
      <c r="K7" s="2"/>
      <c r="L7" s="2" t="s">
        <v>21030</v>
      </c>
      <c r="M7" s="2" t="s">
        <v>21031</v>
      </c>
      <c r="N7" s="2" t="s">
        <v>21032</v>
      </c>
      <c r="O7" s="2" t="s">
        <v>21033</v>
      </c>
      <c r="P7" s="2" t="s">
        <v>21034</v>
      </c>
      <c r="Q7" s="2" t="s">
        <v>21035</v>
      </c>
      <c r="R7" s="2" t="s">
        <v>355</v>
      </c>
      <c r="S7" s="2" t="s">
        <v>11617</v>
      </c>
      <c r="T7" s="2" t="s">
        <v>11618</v>
      </c>
      <c r="U7" s="2" t="s">
        <v>15648</v>
      </c>
      <c r="V7" s="2" t="s">
        <v>15649</v>
      </c>
      <c r="W7" s="2" t="s">
        <v>39</v>
      </c>
    </row>
    <row r="8">
      <c r="A8" s="2" t="n">
        <v>4</v>
      </c>
      <c r="B8" s="2" t="s">
        <v>10037</v>
      </c>
      <c r="C8" s="2" t="s">
        <v>15647</v>
      </c>
      <c r="D8" s="2" t="n">
        <v>97.028405372</v>
      </c>
      <c r="E8" s="2" t="n">
        <v>0.788199854791295</v>
      </c>
      <c r="F8" s="2" t="s">
        <v>21036</v>
      </c>
      <c r="G8" s="2" t="n">
        <v>57177</v>
      </c>
      <c r="H8" s="3" t="str">
        <f>HYPERLINK("http://funmeta.oebiotech.com/network/57177", "http://funmeta.oebiotech.com/network/57177")</f>
      </c>
      <c r="I8" s="2" t="s">
        <v>21037</v>
      </c>
      <c r="J8" s="2" t="s">
        <v>21038</v>
      </c>
      <c r="K8" s="2"/>
      <c r="L8" s="2" t="s">
        <v>21039</v>
      </c>
      <c r="M8" s="2" t="s">
        <v>21040</v>
      </c>
      <c r="N8" s="2" t="s">
        <v>21041</v>
      </c>
      <c r="O8" s="2" t="s">
        <v>21042</v>
      </c>
      <c r="P8" s="2" t="s">
        <v>21043</v>
      </c>
      <c r="Q8" s="2" t="s">
        <v>21044</v>
      </c>
      <c r="R8" s="2" t="s">
        <v>64</v>
      </c>
      <c r="S8" s="2" t="s">
        <v>65</v>
      </c>
      <c r="T8" s="2" t="s">
        <v>91</v>
      </c>
      <c r="U8" s="2" t="s">
        <v>15648</v>
      </c>
      <c r="V8" s="2" t="s">
        <v>15649</v>
      </c>
      <c r="W8" s="2" t="s">
        <v>39</v>
      </c>
    </row>
    <row r="9">
      <c r="A9" s="2" t="n">
        <v>5</v>
      </c>
      <c r="B9" s="2" t="s">
        <v>10043</v>
      </c>
      <c r="C9" s="2" t="s">
        <v>15663</v>
      </c>
      <c r="D9" s="2" t="n">
        <v>100.051126477</v>
      </c>
      <c r="E9" s="2" t="n">
        <v>3.54353613408327</v>
      </c>
      <c r="F9" s="2" t="s">
        <v>21045</v>
      </c>
      <c r="G9" s="2" t="n">
        <v>199410</v>
      </c>
      <c r="H9" s="3" t="str">
        <f>HYPERLINK("http://funmeta.oebiotech.com/network/199410", "http://funmeta.oebiotech.com/network/199410")</f>
      </c>
      <c r="I9" s="2" t="s">
        <v>21046</v>
      </c>
      <c r="J9" s="2" t="s">
        <v>21047</v>
      </c>
      <c r="K9" s="2"/>
      <c r="L9" s="2" t="s">
        <v>21048</v>
      </c>
      <c r="M9" s="2" t="s">
        <v>21049</v>
      </c>
      <c r="N9" s="2" t="s">
        <v>21050</v>
      </c>
      <c r="O9" s="2" t="s">
        <v>21051</v>
      </c>
      <c r="P9" s="2" t="s">
        <v>21052</v>
      </c>
      <c r="Q9" s="2" t="s">
        <v>21053</v>
      </c>
      <c r="R9" s="2" t="s">
        <v>49</v>
      </c>
      <c r="S9" s="2" t="s">
        <v>50</v>
      </c>
      <c r="T9" s="2" t="s">
        <v>298</v>
      </c>
      <c r="U9" s="2" t="s">
        <v>15664</v>
      </c>
      <c r="V9" s="2" t="s">
        <v>15611</v>
      </c>
      <c r="W9" s="2" t="s">
        <v>39</v>
      </c>
    </row>
    <row r="10">
      <c r="A10" s="2" t="n">
        <v>5</v>
      </c>
      <c r="B10" s="2" t="s">
        <v>21054</v>
      </c>
      <c r="C10" s="2" t="s">
        <v>15663</v>
      </c>
      <c r="D10" s="2" t="n">
        <v>100.051126483</v>
      </c>
      <c r="E10" s="2" t="n">
        <v>3.54353613408327</v>
      </c>
      <c r="F10" s="2" t="s">
        <v>21055</v>
      </c>
      <c r="G10" s="2" t="n">
        <v>46886</v>
      </c>
      <c r="H10" s="3" t="str">
        <f>HYPERLINK("http://funmeta.oebiotech.com/network/46886", "http://funmeta.oebiotech.com/network/46886")</f>
      </c>
      <c r="I10" s="2" t="s">
        <v>21056</v>
      </c>
      <c r="J10" s="2" t="s">
        <v>21057</v>
      </c>
      <c r="K10" s="2"/>
      <c r="L10" s="2" t="s">
        <v>21058</v>
      </c>
      <c r="M10" s="2" t="s">
        <v>21059</v>
      </c>
      <c r="N10" s="2" t="s">
        <v>21060</v>
      </c>
      <c r="O10" s="2" t="s">
        <v>21061</v>
      </c>
      <c r="P10" s="2" t="s">
        <v>21062</v>
      </c>
      <c r="Q10" s="2" t="s">
        <v>21063</v>
      </c>
      <c r="R10" s="2" t="s">
        <v>49</v>
      </c>
      <c r="S10" s="2" t="s">
        <v>165</v>
      </c>
      <c r="T10" s="2" t="s">
        <v>166</v>
      </c>
      <c r="U10" s="2" t="s">
        <v>15664</v>
      </c>
      <c r="V10" s="2" t="s">
        <v>15611</v>
      </c>
      <c r="W10" s="2" t="s">
        <v>39</v>
      </c>
    </row>
    <row r="11">
      <c r="A11" s="2" t="n">
        <v>6</v>
      </c>
      <c r="B11" s="2" t="s">
        <v>10044</v>
      </c>
      <c r="C11" s="2" t="s">
        <v>15676</v>
      </c>
      <c r="D11" s="2" t="n">
        <v>104.107539075</v>
      </c>
      <c r="E11" s="2" t="n">
        <v>3.89588686358121</v>
      </c>
      <c r="F11" s="2" t="s">
        <v>15678</v>
      </c>
      <c r="G11" s="2" t="n">
        <v>46869</v>
      </c>
      <c r="H11" s="3" t="str">
        <f>HYPERLINK("http://funmeta.oebiotech.com/network/46869", "http://funmeta.oebiotech.com/network/46869")</f>
      </c>
      <c r="I11" s="2" t="s">
        <v>15680</v>
      </c>
      <c r="J11" s="2" t="s">
        <v>15681</v>
      </c>
      <c r="K11" s="2"/>
      <c r="L11" s="2" t="s">
        <v>15682</v>
      </c>
      <c r="M11" s="2" t="s">
        <v>15683</v>
      </c>
      <c r="N11" s="2" t="s">
        <v>15684</v>
      </c>
      <c r="O11" s="2" t="s">
        <v>15685</v>
      </c>
      <c r="P11" s="2" t="s">
        <v>15686</v>
      </c>
      <c r="Q11" s="2" t="s">
        <v>15687</v>
      </c>
      <c r="R11" s="2" t="s">
        <v>36</v>
      </c>
      <c r="S11" s="2" t="s">
        <v>37</v>
      </c>
      <c r="T11" s="2" t="s">
        <v>15688</v>
      </c>
      <c r="U11" s="2" t="s">
        <v>15677</v>
      </c>
      <c r="V11" s="2" t="s">
        <v>15624</v>
      </c>
      <c r="W11" s="2" t="s">
        <v>39</v>
      </c>
    </row>
    <row r="12">
      <c r="A12" s="2" t="n">
        <v>7</v>
      </c>
      <c r="B12" s="2" t="s">
        <v>10077</v>
      </c>
      <c r="C12" s="2" t="s">
        <v>15689</v>
      </c>
      <c r="D12" s="2" t="n">
        <v>110.010286161</v>
      </c>
      <c r="E12" s="2" t="n">
        <v>6.40369022873032</v>
      </c>
      <c r="F12" s="2" t="s">
        <v>15692</v>
      </c>
      <c r="G12" s="2" t="n">
        <v>205413</v>
      </c>
      <c r="H12" s="3" t="str">
        <f>HYPERLINK("http://funmeta.oebiotech.com/network/205413", "http://funmeta.oebiotech.com/network/205413")</f>
      </c>
      <c r="I12" s="2" t="s">
        <v>15694</v>
      </c>
      <c r="J12" s="2" t="s">
        <v>15695</v>
      </c>
      <c r="K12" s="2"/>
      <c r="L12" s="2"/>
      <c r="M12" s="2" t="s">
        <v>15696</v>
      </c>
      <c r="N12" s="2" t="s">
        <v>15697</v>
      </c>
      <c r="O12" s="2"/>
      <c r="P12" s="2" t="s">
        <v>15698</v>
      </c>
      <c r="Q12" s="2" t="s">
        <v>15699</v>
      </c>
      <c r="R12" s="2" t="s">
        <v>491</v>
      </c>
      <c r="S12" s="2" t="s">
        <v>492</v>
      </c>
      <c r="T12" s="2" t="s">
        <v>10968</v>
      </c>
      <c r="U12" s="2" t="s">
        <v>15690</v>
      </c>
      <c r="V12" s="2" t="s">
        <v>15691</v>
      </c>
      <c r="W12" s="2"/>
    </row>
    <row r="13">
      <c r="A13" s="2" t="n">
        <v>8</v>
      </c>
      <c r="B13" s="2" t="s">
        <v>10099</v>
      </c>
      <c r="C13" s="2" t="s">
        <v>15700</v>
      </c>
      <c r="D13" s="2" t="n">
        <v>112.051126477</v>
      </c>
      <c r="E13" s="2" t="n">
        <v>5.21071815665459</v>
      </c>
      <c r="F13" s="2" t="s">
        <v>15702</v>
      </c>
      <c r="G13" s="2" t="n">
        <v>200439</v>
      </c>
      <c r="H13" s="3" t="str">
        <f>HYPERLINK("http://funmeta.oebiotech.com/network/200439", "http://funmeta.oebiotech.com/network/200439")</f>
      </c>
      <c r="I13" s="2" t="s">
        <v>15704</v>
      </c>
      <c r="J13" s="2"/>
      <c r="K13" s="2"/>
      <c r="L13" s="2"/>
      <c r="M13" s="2"/>
      <c r="N13" s="2" t="s">
        <v>15705</v>
      </c>
      <c r="O13" s="2"/>
      <c r="P13" s="2" t="s">
        <v>15706</v>
      </c>
      <c r="Q13" s="2" t="s">
        <v>15707</v>
      </c>
      <c r="R13" s="2" t="s">
        <v>49</v>
      </c>
      <c r="S13" s="2" t="s">
        <v>165</v>
      </c>
      <c r="T13" s="2" t="s">
        <v>166</v>
      </c>
      <c r="U13" s="2" t="s">
        <v>15701</v>
      </c>
      <c r="V13" s="2" t="s">
        <v>15611</v>
      </c>
      <c r="W13" s="2"/>
    </row>
    <row r="14">
      <c r="A14" s="2" t="n">
        <v>9</v>
      </c>
      <c r="B14" s="2" t="s">
        <v>10132</v>
      </c>
      <c r="C14" s="2" t="s">
        <v>15708</v>
      </c>
      <c r="D14" s="2" t="n">
        <v>115.024259202</v>
      </c>
      <c r="E14" s="2" t="n">
        <v>0.498009908354117</v>
      </c>
      <c r="F14" s="2" t="s">
        <v>15710</v>
      </c>
      <c r="G14" s="2" t="n">
        <v>48234</v>
      </c>
      <c r="H14" s="3" t="str">
        <f>HYPERLINK("http://funmeta.oebiotech.com/network/48234", "http://funmeta.oebiotech.com/network/48234")</f>
      </c>
      <c r="I14" s="2" t="s">
        <v>15712</v>
      </c>
      <c r="J14" s="2" t="s">
        <v>15713</v>
      </c>
      <c r="K14" s="2"/>
      <c r="L14" s="2" t="s">
        <v>15714</v>
      </c>
      <c r="M14" s="2" t="s">
        <v>15715</v>
      </c>
      <c r="N14" s="2" t="s">
        <v>15716</v>
      </c>
      <c r="O14" s="2" t="s">
        <v>15717</v>
      </c>
      <c r="P14" s="2" t="s">
        <v>15718</v>
      </c>
      <c r="Q14" s="2" t="s">
        <v>15719</v>
      </c>
      <c r="R14" s="2" t="s">
        <v>36</v>
      </c>
      <c r="S14" s="2" t="s">
        <v>37</v>
      </c>
      <c r="T14" s="2" t="s">
        <v>38</v>
      </c>
      <c r="U14" s="2" t="s">
        <v>15709</v>
      </c>
      <c r="V14" s="2" t="s">
        <v>15691</v>
      </c>
      <c r="W14" s="2" t="s">
        <v>39</v>
      </c>
    </row>
    <row r="15">
      <c r="A15" s="2" t="n">
        <v>10</v>
      </c>
      <c r="B15" s="2" t="s">
        <v>10148</v>
      </c>
      <c r="C15" s="2" t="s">
        <v>15720</v>
      </c>
      <c r="D15" s="2" t="n">
        <v>122.924516308</v>
      </c>
      <c r="E15" s="2" t="n">
        <v>1.11381770541617</v>
      </c>
      <c r="F15" s="2" t="s">
        <v>15723</v>
      </c>
      <c r="G15" s="2" t="n">
        <v>46893</v>
      </c>
      <c r="H15" s="3" t="str">
        <f>HYPERLINK("http://funmeta.oebiotech.com/network/46893", "http://funmeta.oebiotech.com/network/46893")</f>
      </c>
      <c r="I15" s="2" t="s">
        <v>15725</v>
      </c>
      <c r="J15" s="2" t="s">
        <v>15726</v>
      </c>
      <c r="K15" s="2"/>
      <c r="L15" s="2" t="s">
        <v>15727</v>
      </c>
      <c r="M15" s="2" t="s">
        <v>13332</v>
      </c>
      <c r="N15" s="2" t="s">
        <v>15728</v>
      </c>
      <c r="O15" s="2" t="s">
        <v>15729</v>
      </c>
      <c r="P15" s="2" t="s">
        <v>15730</v>
      </c>
      <c r="Q15" s="2" t="s">
        <v>15731</v>
      </c>
      <c r="R15" s="2" t="s">
        <v>49</v>
      </c>
      <c r="S15" s="2" t="s">
        <v>165</v>
      </c>
      <c r="T15" s="2" t="s">
        <v>10223</v>
      </c>
      <c r="U15" s="2" t="s">
        <v>15721</v>
      </c>
      <c r="V15" s="2" t="s">
        <v>15722</v>
      </c>
      <c r="W15" s="2" t="s">
        <v>39</v>
      </c>
    </row>
    <row r="16">
      <c r="A16" s="2" t="n">
        <v>11</v>
      </c>
      <c r="B16" s="2" t="s">
        <v>10149</v>
      </c>
      <c r="C16" s="2" t="s">
        <v>15732</v>
      </c>
      <c r="D16" s="2" t="n">
        <v>123.041370088</v>
      </c>
      <c r="E16" s="2" t="n">
        <v>1.91124612915562</v>
      </c>
      <c r="F16" s="2" t="s">
        <v>15734</v>
      </c>
      <c r="G16" s="2" t="n">
        <v>207762</v>
      </c>
      <c r="H16" s="3" t="str">
        <f>HYPERLINK("http://funmeta.oebiotech.com/network/207762", "http://funmeta.oebiotech.com/network/207762")</f>
      </c>
      <c r="I16" s="2" t="s">
        <v>15736</v>
      </c>
      <c r="J16" s="2"/>
      <c r="K16" s="2"/>
      <c r="L16" s="2"/>
      <c r="M16" s="2"/>
      <c r="N16" s="2" t="s">
        <v>15737</v>
      </c>
      <c r="O16" s="2"/>
      <c r="P16" s="2" t="s">
        <v>15738</v>
      </c>
      <c r="Q16" s="2" t="s">
        <v>15739</v>
      </c>
      <c r="R16" s="2" t="s">
        <v>355</v>
      </c>
      <c r="S16" s="2" t="s">
        <v>909</v>
      </c>
      <c r="T16" s="2" t="s">
        <v>205</v>
      </c>
      <c r="U16" s="2" t="s">
        <v>15733</v>
      </c>
      <c r="V16" s="2" t="s">
        <v>15649</v>
      </c>
      <c r="W16" s="2"/>
    </row>
    <row r="17">
      <c r="A17" s="2" t="n">
        <v>12</v>
      </c>
      <c r="B17" s="2" t="s">
        <v>10150</v>
      </c>
      <c r="C17" s="2" t="s">
        <v>15740</v>
      </c>
      <c r="D17" s="2" t="n">
        <v>123.055288821</v>
      </c>
      <c r="E17" s="2" t="n">
        <v>7.39873534264272</v>
      </c>
      <c r="F17" s="2" t="s">
        <v>21064</v>
      </c>
      <c r="G17" s="2" t="n">
        <v>207970</v>
      </c>
      <c r="H17" s="3" t="str">
        <f>HYPERLINK("http://funmeta.oebiotech.com/network/207970", "http://funmeta.oebiotech.com/network/207970")</f>
      </c>
      <c r="I17" s="2" t="s">
        <v>21065</v>
      </c>
      <c r="J17" s="2" t="s">
        <v>21066</v>
      </c>
      <c r="K17" s="2"/>
      <c r="L17" s="2" t="s">
        <v>21067</v>
      </c>
      <c r="M17" s="2" t="s">
        <v>21068</v>
      </c>
      <c r="N17" s="2" t="s">
        <v>21069</v>
      </c>
      <c r="O17" s="2" t="s">
        <v>21070</v>
      </c>
      <c r="P17" s="2" t="s">
        <v>21071</v>
      </c>
      <c r="Q17" s="2" t="s">
        <v>21072</v>
      </c>
      <c r="R17" s="2" t="s">
        <v>355</v>
      </c>
      <c r="S17" s="2" t="s">
        <v>1316</v>
      </c>
      <c r="T17" s="2" t="s">
        <v>1317</v>
      </c>
      <c r="U17" s="2" t="s">
        <v>15741</v>
      </c>
      <c r="V17" s="2" t="s">
        <v>15649</v>
      </c>
      <c r="W17" s="2" t="s">
        <v>39</v>
      </c>
    </row>
    <row r="18">
      <c r="A18" s="2" t="n">
        <v>12</v>
      </c>
      <c r="B18" s="2" t="s">
        <v>10160</v>
      </c>
      <c r="C18" s="2" t="s">
        <v>15740</v>
      </c>
      <c r="D18" s="2" t="n">
        <v>123.055288821</v>
      </c>
      <c r="E18" s="2" t="n">
        <v>7.39873534264272</v>
      </c>
      <c r="F18" s="2" t="s">
        <v>21073</v>
      </c>
      <c r="G18" s="2" t="n">
        <v>210374</v>
      </c>
      <c r="H18" s="3" t="str">
        <f>HYPERLINK("http://funmeta.oebiotech.com/network/210374", "http://funmeta.oebiotech.com/network/210374")</f>
      </c>
      <c r="I18" s="2" t="s">
        <v>21074</v>
      </c>
      <c r="J18" s="2" t="s">
        <v>21075</v>
      </c>
      <c r="K18" s="2"/>
      <c r="L18" s="2" t="s">
        <v>21076</v>
      </c>
      <c r="M18" s="2" t="s">
        <v>21077</v>
      </c>
      <c r="N18" s="2" t="s">
        <v>21078</v>
      </c>
      <c r="O18" s="2" t="s">
        <v>21079</v>
      </c>
      <c r="P18" s="2" t="s">
        <v>21080</v>
      </c>
      <c r="Q18" s="2" t="s">
        <v>21081</v>
      </c>
      <c r="R18" s="2" t="s">
        <v>355</v>
      </c>
      <c r="S18" s="2" t="s">
        <v>1316</v>
      </c>
      <c r="T18" s="2" t="s">
        <v>1317</v>
      </c>
      <c r="U18" s="2" t="s">
        <v>15741</v>
      </c>
      <c r="V18" s="2" t="s">
        <v>15649</v>
      </c>
      <c r="W18" s="2" t="s">
        <v>39</v>
      </c>
    </row>
    <row r="19">
      <c r="A19" s="2" t="n">
        <v>12</v>
      </c>
      <c r="B19" s="2" t="s">
        <v>21082</v>
      </c>
      <c r="C19" s="2" t="s">
        <v>15740</v>
      </c>
      <c r="D19" s="2" t="n">
        <v>123.055288824</v>
      </c>
      <c r="E19" s="2" t="n">
        <v>7.39873534264272</v>
      </c>
      <c r="F19" s="2" t="s">
        <v>21083</v>
      </c>
      <c r="G19" s="2" t="n">
        <v>47565</v>
      </c>
      <c r="H19" s="3" t="str">
        <f>HYPERLINK("http://funmeta.oebiotech.com/network/47565", "http://funmeta.oebiotech.com/network/47565")</f>
      </c>
      <c r="I19" s="2" t="s">
        <v>21084</v>
      </c>
      <c r="J19" s="2" t="s">
        <v>21085</v>
      </c>
      <c r="K19" s="2"/>
      <c r="L19" s="2" t="s">
        <v>21086</v>
      </c>
      <c r="M19" s="2" t="s">
        <v>2171</v>
      </c>
      <c r="N19" s="2" t="s">
        <v>21087</v>
      </c>
      <c r="O19" s="2" t="s">
        <v>21088</v>
      </c>
      <c r="P19" s="2" t="s">
        <v>21089</v>
      </c>
      <c r="Q19" s="2" t="s">
        <v>21090</v>
      </c>
      <c r="R19" s="2" t="s">
        <v>355</v>
      </c>
      <c r="S19" s="2" t="s">
        <v>1316</v>
      </c>
      <c r="T19" s="2" t="s">
        <v>1317</v>
      </c>
      <c r="U19" s="2" t="s">
        <v>15741</v>
      </c>
      <c r="V19" s="2" t="s">
        <v>15649</v>
      </c>
      <c r="W19" s="2" t="s">
        <v>39</v>
      </c>
    </row>
    <row r="20">
      <c r="A20" s="2" t="n">
        <v>13</v>
      </c>
      <c r="B20" s="2" t="s">
        <v>10170</v>
      </c>
      <c r="C20" s="2" t="s">
        <v>15754</v>
      </c>
      <c r="D20" s="2" t="n">
        <v>124.024917642</v>
      </c>
      <c r="E20" s="2" t="n">
        <v>2.61503806006252</v>
      </c>
      <c r="F20" s="2" t="s">
        <v>15756</v>
      </c>
      <c r="G20" s="2" t="n">
        <v>201116</v>
      </c>
      <c r="H20" s="3" t="str">
        <f>HYPERLINK("http://funmeta.oebiotech.com/network/201116", "http://funmeta.oebiotech.com/network/201116")</f>
      </c>
      <c r="I20" s="2" t="s">
        <v>15758</v>
      </c>
      <c r="J20" s="2"/>
      <c r="K20" s="2"/>
      <c r="L20" s="2"/>
      <c r="M20" s="2"/>
      <c r="N20" s="2" t="s">
        <v>15759</v>
      </c>
      <c r="O20" s="2"/>
      <c r="P20" s="2" t="s">
        <v>15760</v>
      </c>
      <c r="Q20" s="2" t="s">
        <v>15761</v>
      </c>
      <c r="R20" s="2" t="s">
        <v>638</v>
      </c>
      <c r="S20" s="2" t="s">
        <v>15762</v>
      </c>
      <c r="T20" s="2" t="s">
        <v>15763</v>
      </c>
      <c r="U20" s="2" t="s">
        <v>15755</v>
      </c>
      <c r="V20" s="2" t="s">
        <v>15649</v>
      </c>
      <c r="W20" s="2"/>
    </row>
    <row r="21">
      <c r="A21" s="2" t="n">
        <v>14</v>
      </c>
      <c r="B21" s="2" t="s">
        <v>10171</v>
      </c>
      <c r="C21" s="2" t="s">
        <v>15764</v>
      </c>
      <c r="D21" s="2" t="n">
        <v>126.021939785</v>
      </c>
      <c r="E21" s="2" t="n">
        <v>10.3802755212717</v>
      </c>
      <c r="F21" s="2" t="s">
        <v>15766</v>
      </c>
      <c r="G21" s="2" t="n">
        <v>46959</v>
      </c>
      <c r="H21" s="3" t="str">
        <f>HYPERLINK("http://funmeta.oebiotech.com/network/46959", "http://funmeta.oebiotech.com/network/46959")</f>
      </c>
      <c r="I21" s="2" t="s">
        <v>15768</v>
      </c>
      <c r="J21" s="2" t="s">
        <v>15769</v>
      </c>
      <c r="K21" s="2"/>
      <c r="L21" s="2" t="s">
        <v>15770</v>
      </c>
      <c r="M21" s="2" t="s">
        <v>15771</v>
      </c>
      <c r="N21" s="2" t="s">
        <v>15772</v>
      </c>
      <c r="O21" s="2" t="s">
        <v>15773</v>
      </c>
      <c r="P21" s="2" t="s">
        <v>15774</v>
      </c>
      <c r="Q21" s="2" t="s">
        <v>15775</v>
      </c>
      <c r="R21" s="2" t="s">
        <v>49</v>
      </c>
      <c r="S21" s="2" t="s">
        <v>218</v>
      </c>
      <c r="T21" s="2" t="s">
        <v>219</v>
      </c>
      <c r="U21" s="2" t="s">
        <v>15765</v>
      </c>
      <c r="V21" s="2" t="s">
        <v>15649</v>
      </c>
      <c r="W21" s="2" t="s">
        <v>39</v>
      </c>
    </row>
    <row r="22">
      <c r="A22" s="2" t="n">
        <v>15</v>
      </c>
      <c r="B22" s="2" t="s">
        <v>10172</v>
      </c>
      <c r="C22" s="2" t="s">
        <v>15776</v>
      </c>
      <c r="D22" s="2" t="n">
        <v>129.039363978</v>
      </c>
      <c r="E22" s="2" t="n">
        <v>1.34889900926153</v>
      </c>
      <c r="F22" s="2" t="s">
        <v>15779</v>
      </c>
      <c r="G22" s="2" t="n">
        <v>208630</v>
      </c>
      <c r="H22" s="3" t="str">
        <f>HYPERLINK("http://funmeta.oebiotech.com/network/208630", "http://funmeta.oebiotech.com/network/208630")</f>
      </c>
      <c r="I22" s="2" t="s">
        <v>15781</v>
      </c>
      <c r="J22" s="2" t="s">
        <v>15782</v>
      </c>
      <c r="K22" s="2"/>
      <c r="L22" s="2"/>
      <c r="M22" s="2"/>
      <c r="N22" s="2" t="s">
        <v>15783</v>
      </c>
      <c r="O22" s="2"/>
      <c r="P22" s="2" t="s">
        <v>15784</v>
      </c>
      <c r="Q22" s="2" t="s">
        <v>15785</v>
      </c>
      <c r="R22" s="2" t="s">
        <v>64</v>
      </c>
      <c r="S22" s="2" t="s">
        <v>15786</v>
      </c>
      <c r="T22" s="2" t="s">
        <v>205</v>
      </c>
      <c r="U22" s="2" t="s">
        <v>15777</v>
      </c>
      <c r="V22" s="2" t="s">
        <v>15778</v>
      </c>
      <c r="W22" s="2"/>
    </row>
    <row r="23">
      <c r="A23" s="2" t="n">
        <v>16</v>
      </c>
      <c r="B23" s="2" t="s">
        <v>10193</v>
      </c>
      <c r="C23" s="2" t="s">
        <v>15787</v>
      </c>
      <c r="D23" s="2" t="n">
        <v>130.086843283</v>
      </c>
      <c r="E23" s="2" t="n">
        <v>13.8341599788633</v>
      </c>
      <c r="F23" s="2" t="s">
        <v>15789</v>
      </c>
      <c r="G23" s="2" t="n">
        <v>57683</v>
      </c>
      <c r="H23" s="3" t="str">
        <f>HYPERLINK("http://funmeta.oebiotech.com/network/57683", "http://funmeta.oebiotech.com/network/57683")</f>
      </c>
      <c r="I23" s="2" t="s">
        <v>15791</v>
      </c>
      <c r="J23" s="2" t="s">
        <v>15792</v>
      </c>
      <c r="K23" s="2"/>
      <c r="L23" s="2" t="s">
        <v>15793</v>
      </c>
      <c r="M23" s="2" t="s">
        <v>15794</v>
      </c>
      <c r="N23" s="2" t="s">
        <v>15795</v>
      </c>
      <c r="O23" s="2" t="s">
        <v>15796</v>
      </c>
      <c r="P23" s="2" t="s">
        <v>15797</v>
      </c>
      <c r="Q23" s="2" t="s">
        <v>15798</v>
      </c>
      <c r="R23" s="2" t="s">
        <v>355</v>
      </c>
      <c r="S23" s="2" t="s">
        <v>1580</v>
      </c>
      <c r="T23" s="2" t="s">
        <v>205</v>
      </c>
      <c r="U23" s="2" t="s">
        <v>15788</v>
      </c>
      <c r="V23" s="2" t="s">
        <v>15611</v>
      </c>
      <c r="W23" s="2" t="s">
        <v>39</v>
      </c>
    </row>
    <row r="24">
      <c r="A24" s="2" t="n">
        <v>17</v>
      </c>
      <c r="B24" s="2" t="s">
        <v>10212</v>
      </c>
      <c r="C24" s="2" t="s">
        <v>15799</v>
      </c>
      <c r="D24" s="2" t="n">
        <v>132.0216562</v>
      </c>
      <c r="E24" s="2" t="n">
        <v>10.478077595902</v>
      </c>
      <c r="F24" s="2" t="s">
        <v>21091</v>
      </c>
      <c r="G24" s="2" t="n">
        <v>201228</v>
      </c>
      <c r="H24" s="3" t="str">
        <f>HYPERLINK("http://funmeta.oebiotech.com/network/201228", "http://funmeta.oebiotech.com/network/201228")</f>
      </c>
      <c r="I24" s="2" t="s">
        <v>21092</v>
      </c>
      <c r="J24" s="2" t="s">
        <v>21093</v>
      </c>
      <c r="K24" s="2"/>
      <c r="L24" s="2"/>
      <c r="M24" s="2"/>
      <c r="N24" s="2" t="s">
        <v>21094</v>
      </c>
      <c r="O24" s="2"/>
      <c r="P24" s="2" t="s">
        <v>21095</v>
      </c>
      <c r="Q24" s="2" t="s">
        <v>21096</v>
      </c>
      <c r="R24" s="2" t="s">
        <v>355</v>
      </c>
      <c r="S24" s="2" t="s">
        <v>3110</v>
      </c>
      <c r="T24" s="2" t="s">
        <v>3178</v>
      </c>
      <c r="U24" s="2" t="s">
        <v>15800</v>
      </c>
      <c r="V24" s="2" t="s">
        <v>15611</v>
      </c>
      <c r="W24" s="2"/>
    </row>
    <row r="25">
      <c r="A25" s="2" t="n">
        <v>17</v>
      </c>
      <c r="B25" s="2" t="s">
        <v>10224</v>
      </c>
      <c r="C25" s="2" t="s">
        <v>15799</v>
      </c>
      <c r="D25" s="2" t="n">
        <v>132.0216562</v>
      </c>
      <c r="E25" s="2" t="n">
        <v>10.478077595902</v>
      </c>
      <c r="F25" s="2" t="s">
        <v>21097</v>
      </c>
      <c r="G25" s="2" t="n">
        <v>201167</v>
      </c>
      <c r="H25" s="3" t="str">
        <f>HYPERLINK("http://funmeta.oebiotech.com/network/201167", "http://funmeta.oebiotech.com/network/201167")</f>
      </c>
      <c r="I25" s="2" t="s">
        <v>21098</v>
      </c>
      <c r="J25" s="2" t="s">
        <v>21099</v>
      </c>
      <c r="K25" s="2"/>
      <c r="L25" s="2"/>
      <c r="M25" s="2"/>
      <c r="N25" s="2" t="s">
        <v>21100</v>
      </c>
      <c r="O25" s="2"/>
      <c r="P25" s="2" t="s">
        <v>21101</v>
      </c>
      <c r="Q25" s="2" t="s">
        <v>21102</v>
      </c>
      <c r="R25" s="2" t="s">
        <v>355</v>
      </c>
      <c r="S25" s="2" t="s">
        <v>3110</v>
      </c>
      <c r="T25" s="2" t="s">
        <v>3178</v>
      </c>
      <c r="U25" s="2" t="s">
        <v>15800</v>
      </c>
      <c r="V25" s="2" t="s">
        <v>15611</v>
      </c>
      <c r="W25" s="2"/>
    </row>
    <row r="26">
      <c r="A26" s="2" t="n">
        <v>18</v>
      </c>
      <c r="B26" s="2" t="s">
        <v>10234</v>
      </c>
      <c r="C26" s="2" t="s">
        <v>15810</v>
      </c>
      <c r="D26" s="2" t="n">
        <v>132.102453697</v>
      </c>
      <c r="E26" s="2" t="n">
        <v>11.1408324372986</v>
      </c>
      <c r="F26" s="2" t="s">
        <v>15812</v>
      </c>
      <c r="G26" s="2" t="n">
        <v>52458</v>
      </c>
      <c r="H26" s="3" t="str">
        <f>HYPERLINK("http://funmeta.oebiotech.com/network/52458", "http://funmeta.oebiotech.com/network/52458")</f>
      </c>
      <c r="I26" s="2" t="s">
        <v>15814</v>
      </c>
      <c r="J26" s="2"/>
      <c r="K26" s="2"/>
      <c r="L26" s="2"/>
      <c r="M26" s="2" t="s">
        <v>15815</v>
      </c>
      <c r="N26" s="2"/>
      <c r="O26" s="2" t="s">
        <v>15816</v>
      </c>
      <c r="P26" s="2" t="s">
        <v>15817</v>
      </c>
      <c r="Q26" s="2" t="s">
        <v>15818</v>
      </c>
      <c r="R26" s="2" t="s">
        <v>10455</v>
      </c>
      <c r="S26" s="2" t="s">
        <v>10456</v>
      </c>
      <c r="T26" s="2" t="s">
        <v>10457</v>
      </c>
      <c r="U26" s="2" t="s">
        <v>15811</v>
      </c>
      <c r="V26" s="2" t="s">
        <v>15624</v>
      </c>
      <c r="W26" s="2"/>
    </row>
    <row r="27">
      <c r="A27" s="2" t="n">
        <v>19</v>
      </c>
      <c r="B27" s="2" t="s">
        <v>10235</v>
      </c>
      <c r="C27" s="2" t="s">
        <v>15819</v>
      </c>
      <c r="D27" s="2" t="n">
        <v>133.028994058</v>
      </c>
      <c r="E27" s="2" t="n">
        <v>5.85554225400993</v>
      </c>
      <c r="F27" s="2" t="s">
        <v>21103</v>
      </c>
      <c r="G27" s="2" t="n">
        <v>47660</v>
      </c>
      <c r="H27" s="3" t="str">
        <f>HYPERLINK("http://funmeta.oebiotech.com/network/47660", "http://funmeta.oebiotech.com/network/47660")</f>
      </c>
      <c r="I27" s="2" t="s">
        <v>21104</v>
      </c>
      <c r="J27" s="2" t="s">
        <v>21105</v>
      </c>
      <c r="K27" s="2"/>
      <c r="L27" s="2" t="s">
        <v>21106</v>
      </c>
      <c r="M27" s="2" t="s">
        <v>21107</v>
      </c>
      <c r="N27" s="2" t="s">
        <v>21108</v>
      </c>
      <c r="O27" s="2" t="s">
        <v>21109</v>
      </c>
      <c r="P27" s="2" t="s">
        <v>21110</v>
      </c>
      <c r="Q27" s="2" t="s">
        <v>21111</v>
      </c>
      <c r="R27" s="2" t="s">
        <v>502</v>
      </c>
      <c r="S27" s="2" t="s">
        <v>503</v>
      </c>
      <c r="T27" s="2" t="s">
        <v>21112</v>
      </c>
      <c r="U27" s="2" t="s">
        <v>15820</v>
      </c>
      <c r="V27" s="2" t="s">
        <v>15611</v>
      </c>
      <c r="W27" s="2" t="s">
        <v>39</v>
      </c>
    </row>
    <row r="28">
      <c r="A28" s="2" t="n">
        <v>19</v>
      </c>
      <c r="B28" s="2" t="s">
        <v>10245</v>
      </c>
      <c r="C28" s="2" t="s">
        <v>15819</v>
      </c>
      <c r="D28" s="2" t="n">
        <v>133.028994058</v>
      </c>
      <c r="E28" s="2" t="n">
        <v>5.85554225400993</v>
      </c>
      <c r="F28" s="2" t="s">
        <v>21113</v>
      </c>
      <c r="G28" s="2" t="n">
        <v>56902</v>
      </c>
      <c r="H28" s="3" t="str">
        <f>HYPERLINK("http://funmeta.oebiotech.com/network/56902", "http://funmeta.oebiotech.com/network/56902")</f>
      </c>
      <c r="I28" s="2" t="s">
        <v>21114</v>
      </c>
      <c r="J28" s="2" t="s">
        <v>21115</v>
      </c>
      <c r="K28" s="2"/>
      <c r="L28" s="2" t="s">
        <v>21116</v>
      </c>
      <c r="M28" s="2" t="s">
        <v>21117</v>
      </c>
      <c r="N28" s="2" t="s">
        <v>21118</v>
      </c>
      <c r="O28" s="2" t="s">
        <v>21119</v>
      </c>
      <c r="P28" s="2" t="s">
        <v>21120</v>
      </c>
      <c r="Q28" s="2" t="s">
        <v>21121</v>
      </c>
      <c r="R28" s="2" t="s">
        <v>355</v>
      </c>
      <c r="S28" s="2" t="s">
        <v>4278</v>
      </c>
      <c r="T28" s="2" t="s">
        <v>205</v>
      </c>
      <c r="U28" s="2" t="s">
        <v>15820</v>
      </c>
      <c r="V28" s="2" t="s">
        <v>15611</v>
      </c>
      <c r="W28" s="2" t="s">
        <v>39</v>
      </c>
    </row>
    <row r="29">
      <c r="A29" s="2" t="n">
        <v>20</v>
      </c>
      <c r="B29" s="2" t="s">
        <v>10255</v>
      </c>
      <c r="C29" s="2" t="s">
        <v>15833</v>
      </c>
      <c r="D29" s="2" t="n">
        <v>136.061771185</v>
      </c>
      <c r="E29" s="2" t="n">
        <v>0.457265172206601</v>
      </c>
      <c r="F29" s="2" t="s">
        <v>15835</v>
      </c>
      <c r="G29" s="2" t="n">
        <v>46837</v>
      </c>
      <c r="H29" s="3" t="str">
        <f>HYPERLINK("http://funmeta.oebiotech.com/network/46837", "http://funmeta.oebiotech.com/network/46837")</f>
      </c>
      <c r="I29" s="2" t="s">
        <v>15837</v>
      </c>
      <c r="J29" s="2" t="s">
        <v>15838</v>
      </c>
      <c r="K29" s="2"/>
      <c r="L29" s="2" t="s">
        <v>15839</v>
      </c>
      <c r="M29" s="2" t="s">
        <v>15840</v>
      </c>
      <c r="N29" s="2" t="s">
        <v>12346</v>
      </c>
      <c r="O29" s="2" t="s">
        <v>15841</v>
      </c>
      <c r="P29" s="2" t="s">
        <v>15842</v>
      </c>
      <c r="Q29" s="2" t="s">
        <v>15843</v>
      </c>
      <c r="R29" s="2" t="s">
        <v>355</v>
      </c>
      <c r="S29" s="2" t="s">
        <v>466</v>
      </c>
      <c r="T29" s="2" t="s">
        <v>467</v>
      </c>
      <c r="U29" s="2" t="s">
        <v>15834</v>
      </c>
      <c r="V29" s="2" t="s">
        <v>15649</v>
      </c>
      <c r="W29" s="2" t="s">
        <v>39</v>
      </c>
    </row>
    <row r="30">
      <c r="A30" s="2" t="n">
        <v>21</v>
      </c>
      <c r="B30" s="2" t="s">
        <v>10256</v>
      </c>
      <c r="C30" s="2" t="s">
        <v>15844</v>
      </c>
      <c r="D30" s="2" t="n">
        <v>138.039698329</v>
      </c>
      <c r="E30" s="2" t="n">
        <v>6.84172007478008</v>
      </c>
      <c r="F30" s="2" t="s">
        <v>21122</v>
      </c>
      <c r="G30" s="2" t="n">
        <v>211663</v>
      </c>
      <c r="H30" s="3" t="str">
        <f>HYPERLINK("http://funmeta.oebiotech.com/network/211663", "http://funmeta.oebiotech.com/network/211663")</f>
      </c>
      <c r="I30" s="2" t="s">
        <v>21123</v>
      </c>
      <c r="J30" s="2"/>
      <c r="K30" s="2"/>
      <c r="L30" s="2"/>
      <c r="M30" s="2"/>
      <c r="N30" s="2" t="s">
        <v>21124</v>
      </c>
      <c r="O30" s="2"/>
      <c r="P30" s="2" t="s">
        <v>21125</v>
      </c>
      <c r="Q30" s="2" t="s">
        <v>21126</v>
      </c>
      <c r="R30" s="2" t="s">
        <v>64</v>
      </c>
      <c r="S30" s="2" t="s">
        <v>65</v>
      </c>
      <c r="T30" s="2" t="s">
        <v>66</v>
      </c>
      <c r="U30" s="2" t="s">
        <v>15845</v>
      </c>
      <c r="V30" s="2" t="s">
        <v>15649</v>
      </c>
      <c r="W30" s="2"/>
    </row>
    <row r="31">
      <c r="A31" s="2" t="n">
        <v>21</v>
      </c>
      <c r="B31" s="2" t="s">
        <v>10267</v>
      </c>
      <c r="C31" s="2" t="s">
        <v>15844</v>
      </c>
      <c r="D31" s="2" t="n">
        <v>138.039698329</v>
      </c>
      <c r="E31" s="2" t="n">
        <v>6.84172007478008</v>
      </c>
      <c r="F31" s="2" t="s">
        <v>21127</v>
      </c>
      <c r="G31" s="2" t="n">
        <v>199484</v>
      </c>
      <c r="H31" s="3" t="str">
        <f>HYPERLINK("http://funmeta.oebiotech.com/network/199484", "http://funmeta.oebiotech.com/network/199484")</f>
      </c>
      <c r="I31" s="2" t="s">
        <v>21128</v>
      </c>
      <c r="J31" s="2" t="s">
        <v>21129</v>
      </c>
      <c r="K31" s="2"/>
      <c r="L31" s="2"/>
      <c r="M31" s="2"/>
      <c r="N31" s="2" t="s">
        <v>21130</v>
      </c>
      <c r="O31" s="2" t="s">
        <v>21131</v>
      </c>
      <c r="P31" s="2" t="s">
        <v>21132</v>
      </c>
      <c r="Q31" s="2" t="s">
        <v>21133</v>
      </c>
      <c r="R31" s="2" t="s">
        <v>64</v>
      </c>
      <c r="S31" s="2" t="s">
        <v>1083</v>
      </c>
      <c r="T31" s="2" t="s">
        <v>1084</v>
      </c>
      <c r="U31" s="2" t="s">
        <v>15845</v>
      </c>
      <c r="V31" s="2" t="s">
        <v>15649</v>
      </c>
      <c r="W31" s="2"/>
    </row>
    <row r="32">
      <c r="A32" s="2" t="n">
        <v>22</v>
      </c>
      <c r="B32" s="2" t="s">
        <v>10288</v>
      </c>
      <c r="C32" s="2" t="s">
        <v>15856</v>
      </c>
      <c r="D32" s="2" t="n">
        <v>138.052546537</v>
      </c>
      <c r="E32" s="2" t="n">
        <v>4.74063825151862</v>
      </c>
      <c r="F32" s="2" t="s">
        <v>15859</v>
      </c>
      <c r="G32" s="2" t="n">
        <v>46904</v>
      </c>
      <c r="H32" s="3" t="str">
        <f>HYPERLINK("http://funmeta.oebiotech.com/network/46904", "http://funmeta.oebiotech.com/network/46904")</f>
      </c>
      <c r="I32" s="2" t="s">
        <v>15861</v>
      </c>
      <c r="J32" s="2" t="s">
        <v>15862</v>
      </c>
      <c r="K32" s="2"/>
      <c r="L32" s="2" t="s">
        <v>15863</v>
      </c>
      <c r="M32" s="2" t="s">
        <v>15864</v>
      </c>
      <c r="N32" s="2" t="s">
        <v>15865</v>
      </c>
      <c r="O32" s="2" t="s">
        <v>15866</v>
      </c>
      <c r="P32" s="2" t="s">
        <v>15867</v>
      </c>
      <c r="Q32" s="2" t="s">
        <v>15868</v>
      </c>
      <c r="R32" s="2" t="s">
        <v>49</v>
      </c>
      <c r="S32" s="2" t="s">
        <v>165</v>
      </c>
      <c r="T32" s="2" t="s">
        <v>166</v>
      </c>
      <c r="U32" s="2" t="s">
        <v>15857</v>
      </c>
      <c r="V32" s="2" t="s">
        <v>15858</v>
      </c>
      <c r="W32" s="2" t="s">
        <v>39</v>
      </c>
    </row>
    <row r="33">
      <c r="A33" s="2" t="n">
        <v>23</v>
      </c>
      <c r="B33" s="2" t="s">
        <v>10318</v>
      </c>
      <c r="C33" s="2" t="s">
        <v>15869</v>
      </c>
      <c r="D33" s="2" t="n">
        <v>139.039558744</v>
      </c>
      <c r="E33" s="2" t="n">
        <v>8.66072679155866</v>
      </c>
      <c r="F33" s="2" t="s">
        <v>21134</v>
      </c>
      <c r="G33" s="2" t="n">
        <v>54523</v>
      </c>
      <c r="H33" s="3" t="str">
        <f>HYPERLINK("http://funmeta.oebiotech.com/network/54523", "http://funmeta.oebiotech.com/network/54523")</f>
      </c>
      <c r="I33" s="2" t="s">
        <v>21135</v>
      </c>
      <c r="J33" s="2"/>
      <c r="K33" s="2"/>
      <c r="L33" s="2"/>
      <c r="M33" s="2"/>
      <c r="N33" s="2" t="s">
        <v>21136</v>
      </c>
      <c r="O33" s="2" t="s">
        <v>21137</v>
      </c>
      <c r="P33" s="2" t="s">
        <v>21138</v>
      </c>
      <c r="Q33" s="2" t="s">
        <v>21139</v>
      </c>
      <c r="R33" s="2" t="s">
        <v>355</v>
      </c>
      <c r="S33" s="2" t="s">
        <v>11617</v>
      </c>
      <c r="T33" s="2" t="s">
        <v>11618</v>
      </c>
      <c r="U33" s="2" t="s">
        <v>15870</v>
      </c>
      <c r="V33" s="2" t="s">
        <v>15611</v>
      </c>
      <c r="W33" s="2"/>
    </row>
    <row r="34">
      <c r="A34" s="2" t="n">
        <v>23</v>
      </c>
      <c r="B34" s="2" t="s">
        <v>10329</v>
      </c>
      <c r="C34" s="2" t="s">
        <v>15869</v>
      </c>
      <c r="D34" s="2" t="n">
        <v>139.039558744</v>
      </c>
      <c r="E34" s="2" t="n">
        <v>8.66072679155866</v>
      </c>
      <c r="F34" s="2" t="s">
        <v>21140</v>
      </c>
      <c r="G34" s="2" t="n">
        <v>81781</v>
      </c>
      <c r="H34" s="3" t="str">
        <f>HYPERLINK("http://funmeta.oebiotech.com/network/81781", "http://funmeta.oebiotech.com/network/81781")</f>
      </c>
      <c r="I34" s="2" t="s">
        <v>21141</v>
      </c>
      <c r="J34" s="2"/>
      <c r="K34" s="2"/>
      <c r="L34" s="2"/>
      <c r="M34" s="2" t="s">
        <v>21142</v>
      </c>
      <c r="N34" s="2" t="s">
        <v>21143</v>
      </c>
      <c r="O34" s="2"/>
      <c r="P34" s="2" t="s">
        <v>21144</v>
      </c>
      <c r="Q34" s="2" t="s">
        <v>21145</v>
      </c>
      <c r="R34" s="2" t="s">
        <v>1490</v>
      </c>
      <c r="S34" s="2" t="s">
        <v>1491</v>
      </c>
      <c r="T34" s="2" t="s">
        <v>1492</v>
      </c>
      <c r="U34" s="2" t="s">
        <v>15870</v>
      </c>
      <c r="V34" s="2" t="s">
        <v>15611</v>
      </c>
      <c r="W34" s="2"/>
    </row>
    <row r="35">
      <c r="A35" s="2" t="n">
        <v>24</v>
      </c>
      <c r="B35" s="2" t="s">
        <v>10350</v>
      </c>
      <c r="C35" s="2" t="s">
        <v>15882</v>
      </c>
      <c r="D35" s="2" t="n">
        <v>140.052845983</v>
      </c>
      <c r="E35" s="2" t="n">
        <v>13.8897243748153</v>
      </c>
      <c r="F35" s="2" t="s">
        <v>21146</v>
      </c>
      <c r="G35" s="2" t="n">
        <v>60883</v>
      </c>
      <c r="H35" s="3" t="str">
        <f>HYPERLINK("http://funmeta.oebiotech.com/network/60883", "http://funmeta.oebiotech.com/network/60883")</f>
      </c>
      <c r="I35" s="2" t="s">
        <v>21147</v>
      </c>
      <c r="J35" s="2" t="s">
        <v>21148</v>
      </c>
      <c r="K35" s="2"/>
      <c r="L35" s="2"/>
      <c r="M35" s="2"/>
      <c r="N35" s="2" t="s">
        <v>21149</v>
      </c>
      <c r="O35" s="2" t="s">
        <v>21150</v>
      </c>
      <c r="P35" s="2" t="s">
        <v>21151</v>
      </c>
      <c r="Q35" s="2" t="s">
        <v>21152</v>
      </c>
      <c r="R35" s="2" t="s">
        <v>355</v>
      </c>
      <c r="S35" s="2" t="s">
        <v>356</v>
      </c>
      <c r="T35" s="2" t="s">
        <v>814</v>
      </c>
      <c r="U35" s="2" t="s">
        <v>15883</v>
      </c>
      <c r="V35" s="2" t="s">
        <v>15649</v>
      </c>
      <c r="W35" s="2"/>
    </row>
    <row r="36">
      <c r="A36" s="2" t="n">
        <v>24</v>
      </c>
      <c r="B36" s="2" t="s">
        <v>21153</v>
      </c>
      <c r="C36" s="2" t="s">
        <v>15882</v>
      </c>
      <c r="D36" s="2" t="n">
        <v>140.052846468</v>
      </c>
      <c r="E36" s="2" t="n">
        <v>13.8897243748153</v>
      </c>
      <c r="F36" s="2" t="s">
        <v>21154</v>
      </c>
      <c r="G36" s="2" t="n">
        <v>201911</v>
      </c>
      <c r="H36" s="3" t="str">
        <f>HYPERLINK("http://funmeta.oebiotech.com/network/201911", "http://funmeta.oebiotech.com/network/201911")</f>
      </c>
      <c r="I36" s="2" t="s">
        <v>21155</v>
      </c>
      <c r="J36" s="2" t="s">
        <v>21156</v>
      </c>
      <c r="K36" s="2"/>
      <c r="L36" s="2"/>
      <c r="M36" s="2"/>
      <c r="N36" s="2" t="s">
        <v>21157</v>
      </c>
      <c r="O36" s="2"/>
      <c r="P36" s="2" t="s">
        <v>21158</v>
      </c>
      <c r="Q36" s="2" t="s">
        <v>21159</v>
      </c>
      <c r="R36" s="2" t="s">
        <v>355</v>
      </c>
      <c r="S36" s="2" t="s">
        <v>1316</v>
      </c>
      <c r="T36" s="2" t="s">
        <v>205</v>
      </c>
      <c r="U36" s="2" t="s">
        <v>15883</v>
      </c>
      <c r="V36" s="2" t="s">
        <v>15649</v>
      </c>
      <c r="W36" s="2"/>
    </row>
    <row r="37">
      <c r="A37" s="2" t="n">
        <v>24</v>
      </c>
      <c r="B37" s="2" t="s">
        <v>21160</v>
      </c>
      <c r="C37" s="2" t="s">
        <v>15882</v>
      </c>
      <c r="D37" s="2" t="n">
        <v>140.052846468</v>
      </c>
      <c r="E37" s="2" t="n">
        <v>13.8897243748153</v>
      </c>
      <c r="F37" s="2" t="s">
        <v>21161</v>
      </c>
      <c r="G37" s="2" t="n">
        <v>201821</v>
      </c>
      <c r="H37" s="3" t="str">
        <f>HYPERLINK("http://funmeta.oebiotech.com/network/201821", "http://funmeta.oebiotech.com/network/201821")</f>
      </c>
      <c r="I37" s="2" t="s">
        <v>21162</v>
      </c>
      <c r="J37" s="2"/>
      <c r="K37" s="2"/>
      <c r="L37" s="2"/>
      <c r="M37" s="2"/>
      <c r="N37" s="2" t="s">
        <v>21163</v>
      </c>
      <c r="O37" s="2"/>
      <c r="P37" s="2" t="s">
        <v>21164</v>
      </c>
      <c r="Q37" s="2" t="s">
        <v>21165</v>
      </c>
      <c r="R37" s="2" t="s">
        <v>355</v>
      </c>
      <c r="S37" s="2" t="s">
        <v>1316</v>
      </c>
      <c r="T37" s="2" t="s">
        <v>4897</v>
      </c>
      <c r="U37" s="2" t="s">
        <v>15883</v>
      </c>
      <c r="V37" s="2" t="s">
        <v>15649</v>
      </c>
      <c r="W37" s="2"/>
    </row>
    <row r="38">
      <c r="A38" s="2" t="n">
        <v>25</v>
      </c>
      <c r="B38" s="2" t="s">
        <v>10351</v>
      </c>
      <c r="C38" s="2" t="s">
        <v>15894</v>
      </c>
      <c r="D38" s="2" t="n">
        <v>143.019173824</v>
      </c>
      <c r="E38" s="2" t="n">
        <v>1.5114354244957</v>
      </c>
      <c r="F38" s="2" t="s">
        <v>15896</v>
      </c>
      <c r="G38" s="2" t="n">
        <v>82631</v>
      </c>
      <c r="H38" s="3" t="str">
        <f>HYPERLINK("http://funmeta.oebiotech.com/network/82631", "http://funmeta.oebiotech.com/network/82631")</f>
      </c>
      <c r="I38" s="2" t="s">
        <v>15898</v>
      </c>
      <c r="J38" s="2" t="s">
        <v>15899</v>
      </c>
      <c r="K38" s="2"/>
      <c r="L38" s="2"/>
      <c r="M38" s="2"/>
      <c r="N38" s="2" t="s">
        <v>15900</v>
      </c>
      <c r="O38" s="2" t="s">
        <v>15901</v>
      </c>
      <c r="P38" s="2" t="s">
        <v>15902</v>
      </c>
      <c r="Q38" s="2" t="s">
        <v>15903</v>
      </c>
      <c r="R38" s="2" t="s">
        <v>355</v>
      </c>
      <c r="S38" s="2" t="s">
        <v>356</v>
      </c>
      <c r="T38" s="2" t="s">
        <v>5282</v>
      </c>
      <c r="U38" s="2" t="s">
        <v>15895</v>
      </c>
      <c r="V38" s="2" t="s">
        <v>15691</v>
      </c>
      <c r="W38" s="2"/>
    </row>
    <row r="39">
      <c r="A39" s="2" t="n">
        <v>26</v>
      </c>
      <c r="B39" s="2" t="s">
        <v>10352</v>
      </c>
      <c r="C39" s="2" t="s">
        <v>15904</v>
      </c>
      <c r="D39" s="2" t="n">
        <v>144.084146111</v>
      </c>
      <c r="E39" s="2" t="n">
        <v>5.42719305759658</v>
      </c>
      <c r="F39" s="2" t="s">
        <v>21166</v>
      </c>
      <c r="G39" s="2" t="n">
        <v>60809</v>
      </c>
      <c r="H39" s="3" t="str">
        <f>HYPERLINK("http://funmeta.oebiotech.com/network/60809", "http://funmeta.oebiotech.com/network/60809")</f>
      </c>
      <c r="I39" s="2" t="s">
        <v>21167</v>
      </c>
      <c r="J39" s="2" t="s">
        <v>21168</v>
      </c>
      <c r="K39" s="2"/>
      <c r="L39" s="2"/>
      <c r="M39" s="2"/>
      <c r="N39" s="2" t="s">
        <v>21169</v>
      </c>
      <c r="O39" s="2" t="s">
        <v>21170</v>
      </c>
      <c r="P39" s="2" t="s">
        <v>21171</v>
      </c>
      <c r="Q39" s="2" t="s">
        <v>21172</v>
      </c>
      <c r="R39" s="2" t="s">
        <v>355</v>
      </c>
      <c r="S39" s="2" t="s">
        <v>21173</v>
      </c>
      <c r="T39" s="2" t="s">
        <v>21174</v>
      </c>
      <c r="U39" s="2" t="s">
        <v>15905</v>
      </c>
      <c r="V39" s="2" t="s">
        <v>15649</v>
      </c>
      <c r="W39" s="2"/>
    </row>
    <row r="40">
      <c r="A40" s="2" t="n">
        <v>26</v>
      </c>
      <c r="B40" s="2" t="s">
        <v>21175</v>
      </c>
      <c r="C40" s="2" t="s">
        <v>15904</v>
      </c>
      <c r="D40" s="2" t="n">
        <v>144.084146111</v>
      </c>
      <c r="E40" s="2" t="n">
        <v>5.42719305759658</v>
      </c>
      <c r="F40" s="2" t="s">
        <v>21176</v>
      </c>
      <c r="G40" s="2" t="n">
        <v>61822</v>
      </c>
      <c r="H40" s="3" t="str">
        <f>HYPERLINK("http://funmeta.oebiotech.com/network/61822", "http://funmeta.oebiotech.com/network/61822")</f>
      </c>
      <c r="I40" s="2" t="s">
        <v>21177</v>
      </c>
      <c r="J40" s="2" t="s">
        <v>21178</v>
      </c>
      <c r="K40" s="2"/>
      <c r="L40" s="2"/>
      <c r="M40" s="2"/>
      <c r="N40" s="2" t="s">
        <v>21179</v>
      </c>
      <c r="O40" s="2" t="s">
        <v>21180</v>
      </c>
      <c r="P40" s="2" t="s">
        <v>21181</v>
      </c>
      <c r="Q40" s="2" t="s">
        <v>21182</v>
      </c>
      <c r="R40" s="2" t="s">
        <v>638</v>
      </c>
      <c r="S40" s="2" t="s">
        <v>21183</v>
      </c>
      <c r="T40" s="2" t="s">
        <v>205</v>
      </c>
      <c r="U40" s="2" t="s">
        <v>15905</v>
      </c>
      <c r="V40" s="2" t="s">
        <v>15649</v>
      </c>
      <c r="W40" s="2"/>
    </row>
    <row r="41">
      <c r="A41" s="2" t="n">
        <v>26</v>
      </c>
      <c r="B41" s="2" t="s">
        <v>21184</v>
      </c>
      <c r="C41" s="2" t="s">
        <v>15904</v>
      </c>
      <c r="D41" s="2" t="n">
        <v>144.084146111</v>
      </c>
      <c r="E41" s="2" t="n">
        <v>5.42719305759658</v>
      </c>
      <c r="F41" s="2" t="s">
        <v>21185</v>
      </c>
      <c r="G41" s="2" t="n">
        <v>61819</v>
      </c>
      <c r="H41" s="3" t="str">
        <f>HYPERLINK("http://funmeta.oebiotech.com/network/61819", "http://funmeta.oebiotech.com/network/61819")</f>
      </c>
      <c r="I41" s="2" t="s">
        <v>21186</v>
      </c>
      <c r="J41" s="2" t="s">
        <v>21187</v>
      </c>
      <c r="K41" s="2"/>
      <c r="L41" s="2"/>
      <c r="M41" s="2"/>
      <c r="N41" s="2" t="s">
        <v>21188</v>
      </c>
      <c r="O41" s="2" t="s">
        <v>21189</v>
      </c>
      <c r="P41" s="2" t="s">
        <v>21190</v>
      </c>
      <c r="Q41" s="2" t="s">
        <v>21191</v>
      </c>
      <c r="R41" s="2" t="s">
        <v>638</v>
      </c>
      <c r="S41" s="2" t="s">
        <v>21183</v>
      </c>
      <c r="T41" s="2" t="s">
        <v>205</v>
      </c>
      <c r="U41" s="2" t="s">
        <v>15905</v>
      </c>
      <c r="V41" s="2" t="s">
        <v>15649</v>
      </c>
      <c r="W41" s="2"/>
    </row>
    <row r="42">
      <c r="A42" s="2" t="n">
        <v>27</v>
      </c>
      <c r="B42" s="2" t="s">
        <v>10353</v>
      </c>
      <c r="C42" s="2" t="s">
        <v>15917</v>
      </c>
      <c r="D42" s="2" t="n">
        <v>145.016256201</v>
      </c>
      <c r="E42" s="2" t="n">
        <v>6.61228534786485</v>
      </c>
      <c r="F42" s="2" t="s">
        <v>21192</v>
      </c>
      <c r="G42" s="2" t="n">
        <v>200666</v>
      </c>
      <c r="H42" s="3" t="str">
        <f>HYPERLINK("http://funmeta.oebiotech.com/network/200666", "http://funmeta.oebiotech.com/network/200666")</f>
      </c>
      <c r="I42" s="2" t="s">
        <v>21193</v>
      </c>
      <c r="J42" s="2"/>
      <c r="K42" s="2"/>
      <c r="L42" s="2"/>
      <c r="M42" s="2"/>
      <c r="N42" s="2" t="s">
        <v>21194</v>
      </c>
      <c r="O42" s="2"/>
      <c r="P42" s="2" t="s">
        <v>21195</v>
      </c>
      <c r="Q42" s="2" t="s">
        <v>21196</v>
      </c>
      <c r="R42" s="2" t="s">
        <v>36</v>
      </c>
      <c r="S42" s="2" t="s">
        <v>37</v>
      </c>
      <c r="T42" s="2" t="s">
        <v>38</v>
      </c>
      <c r="U42" s="2" t="s">
        <v>15918</v>
      </c>
      <c r="V42" s="2" t="s">
        <v>15919</v>
      </c>
      <c r="W42" s="2"/>
    </row>
    <row r="43">
      <c r="A43" s="2" t="n">
        <v>27</v>
      </c>
      <c r="B43" s="2" t="s">
        <v>21197</v>
      </c>
      <c r="C43" s="2" t="s">
        <v>15917</v>
      </c>
      <c r="D43" s="2" t="n">
        <v>145.016256202</v>
      </c>
      <c r="E43" s="2" t="n">
        <v>6.61228534786485</v>
      </c>
      <c r="F43" s="2" t="s">
        <v>21198</v>
      </c>
      <c r="G43" s="2" t="n">
        <v>256217</v>
      </c>
      <c r="H43" s="3" t="str">
        <f>HYPERLINK("http://funmeta.oebiotech.com/network/256217", "http://funmeta.oebiotech.com/network/256217")</f>
      </c>
      <c r="I43" s="2" t="s">
        <v>21199</v>
      </c>
      <c r="J43" s="2"/>
      <c r="K43" s="2"/>
      <c r="L43" s="2"/>
      <c r="M43" s="2"/>
      <c r="N43" s="2"/>
      <c r="O43" s="2"/>
      <c r="P43" s="2" t="s">
        <v>21200</v>
      </c>
      <c r="Q43" s="2" t="s">
        <v>21201</v>
      </c>
      <c r="R43" s="2" t="s">
        <v>355</v>
      </c>
      <c r="S43" s="2" t="s">
        <v>3687</v>
      </c>
      <c r="T43" s="2" t="s">
        <v>10179</v>
      </c>
      <c r="U43" s="2" t="s">
        <v>15918</v>
      </c>
      <c r="V43" s="2" t="s">
        <v>15919</v>
      </c>
      <c r="W43" s="2"/>
    </row>
    <row r="44">
      <c r="A44" s="2" t="n">
        <v>28</v>
      </c>
      <c r="B44" s="2" t="s">
        <v>10354</v>
      </c>
      <c r="C44" s="2" t="s">
        <v>15928</v>
      </c>
      <c r="D44" s="2" t="n">
        <v>145.049534744</v>
      </c>
      <c r="E44" s="2" t="n">
        <v>3.23967701202192</v>
      </c>
      <c r="F44" s="2" t="s">
        <v>15930</v>
      </c>
      <c r="G44" s="2" t="n">
        <v>60002</v>
      </c>
      <c r="H44" s="3" t="str">
        <f>HYPERLINK("http://funmeta.oebiotech.com/network/60002", "http://funmeta.oebiotech.com/network/60002")</f>
      </c>
      <c r="I44" s="2" t="s">
        <v>15932</v>
      </c>
      <c r="J44" s="2" t="s">
        <v>15933</v>
      </c>
      <c r="K44" s="2"/>
      <c r="L44" s="2" t="s">
        <v>15934</v>
      </c>
      <c r="M44" s="2" t="s">
        <v>15935</v>
      </c>
      <c r="N44" s="2" t="s">
        <v>15936</v>
      </c>
      <c r="O44" s="2" t="s">
        <v>15937</v>
      </c>
      <c r="P44" s="2" t="s">
        <v>15938</v>
      </c>
      <c r="Q44" s="2" t="s">
        <v>15939</v>
      </c>
      <c r="R44" s="2" t="s">
        <v>1490</v>
      </c>
      <c r="S44" s="2" t="s">
        <v>1491</v>
      </c>
      <c r="T44" s="2" t="s">
        <v>1492</v>
      </c>
      <c r="U44" s="2" t="s">
        <v>15929</v>
      </c>
      <c r="V44" s="2" t="s">
        <v>15649</v>
      </c>
      <c r="W44" s="2" t="s">
        <v>39</v>
      </c>
    </row>
    <row r="45">
      <c r="A45" s="2" t="n">
        <v>29</v>
      </c>
      <c r="B45" s="2" t="s">
        <v>10376</v>
      </c>
      <c r="C45" s="2" t="s">
        <v>15940</v>
      </c>
      <c r="D45" s="2" t="n">
        <v>146.165173623</v>
      </c>
      <c r="E45" s="2" t="n">
        <v>7.88792935256703</v>
      </c>
      <c r="F45" s="2" t="s">
        <v>15942</v>
      </c>
      <c r="G45" s="2" t="n">
        <v>47476</v>
      </c>
      <c r="H45" s="3" t="str">
        <f>HYPERLINK("http://funmeta.oebiotech.com/network/47476", "http://funmeta.oebiotech.com/network/47476")</f>
      </c>
      <c r="I45" s="2" t="s">
        <v>15944</v>
      </c>
      <c r="J45" s="2" t="s">
        <v>15945</v>
      </c>
      <c r="K45" s="2"/>
      <c r="L45" s="2" t="s">
        <v>15946</v>
      </c>
      <c r="M45" s="2" t="s">
        <v>15947</v>
      </c>
      <c r="N45" s="2" t="s">
        <v>15948</v>
      </c>
      <c r="O45" s="2" t="s">
        <v>15949</v>
      </c>
      <c r="P45" s="2" t="s">
        <v>15950</v>
      </c>
      <c r="Q45" s="2" t="s">
        <v>15951</v>
      </c>
      <c r="R45" s="2" t="s">
        <v>36</v>
      </c>
      <c r="S45" s="2" t="s">
        <v>37</v>
      </c>
      <c r="T45" s="2" t="s">
        <v>679</v>
      </c>
      <c r="U45" s="2" t="s">
        <v>15941</v>
      </c>
      <c r="V45" s="2" t="s">
        <v>15649</v>
      </c>
      <c r="W45" s="2" t="s">
        <v>39</v>
      </c>
    </row>
    <row r="46">
      <c r="A46" s="2" t="n">
        <v>30</v>
      </c>
      <c r="B46" s="2" t="s">
        <v>10377</v>
      </c>
      <c r="C46" s="2" t="s">
        <v>15952</v>
      </c>
      <c r="D46" s="2" t="n">
        <v>147.113352734</v>
      </c>
      <c r="E46" s="2" t="n">
        <v>10.6008182380611</v>
      </c>
      <c r="F46" s="2" t="s">
        <v>15954</v>
      </c>
      <c r="G46" s="2" t="n">
        <v>52772</v>
      </c>
      <c r="H46" s="3" t="str">
        <f>HYPERLINK("http://funmeta.oebiotech.com/network/52772", "http://funmeta.oebiotech.com/network/52772")</f>
      </c>
      <c r="I46" s="2" t="s">
        <v>15956</v>
      </c>
      <c r="J46" s="2" t="s">
        <v>15957</v>
      </c>
      <c r="K46" s="2"/>
      <c r="L46" s="2"/>
      <c r="M46" s="2"/>
      <c r="N46" s="2" t="s">
        <v>15958</v>
      </c>
      <c r="O46" s="2" t="s">
        <v>15959</v>
      </c>
      <c r="P46" s="2" t="s">
        <v>15960</v>
      </c>
      <c r="Q46" s="2" t="s">
        <v>15961</v>
      </c>
      <c r="R46" s="2" t="s">
        <v>49</v>
      </c>
      <c r="S46" s="2" t="s">
        <v>165</v>
      </c>
      <c r="T46" s="2" t="s">
        <v>166</v>
      </c>
      <c r="U46" s="2" t="s">
        <v>15953</v>
      </c>
      <c r="V46" s="2" t="s">
        <v>15624</v>
      </c>
      <c r="W46" s="2"/>
    </row>
    <row r="47">
      <c r="A47" s="2" t="n">
        <v>31</v>
      </c>
      <c r="B47" s="2" t="s">
        <v>10378</v>
      </c>
      <c r="C47" s="2" t="s">
        <v>15962</v>
      </c>
      <c r="D47" s="2" t="n">
        <v>150.054954469</v>
      </c>
      <c r="E47" s="2" t="n">
        <v>2.23526342112943</v>
      </c>
      <c r="F47" s="2" t="s">
        <v>21202</v>
      </c>
      <c r="G47" s="2" t="n">
        <v>197335</v>
      </c>
      <c r="H47" s="3" t="str">
        <f>HYPERLINK("http://funmeta.oebiotech.com/network/197335", "http://funmeta.oebiotech.com/network/197335")</f>
      </c>
      <c r="I47" s="2" t="s">
        <v>21203</v>
      </c>
      <c r="J47" s="2" t="s">
        <v>21204</v>
      </c>
      <c r="K47" s="2"/>
      <c r="L47" s="2" t="s">
        <v>21205</v>
      </c>
      <c r="M47" s="2" t="s">
        <v>21206</v>
      </c>
      <c r="N47" s="2" t="s">
        <v>21207</v>
      </c>
      <c r="O47" s="2" t="s">
        <v>21208</v>
      </c>
      <c r="P47" s="2" t="s">
        <v>21209</v>
      </c>
      <c r="Q47" s="2" t="s">
        <v>21210</v>
      </c>
      <c r="R47" s="2" t="s">
        <v>355</v>
      </c>
      <c r="S47" s="2" t="s">
        <v>2424</v>
      </c>
      <c r="T47" s="2" t="s">
        <v>5566</v>
      </c>
      <c r="U47" s="2" t="s">
        <v>15963</v>
      </c>
      <c r="V47" s="2" t="s">
        <v>15649</v>
      </c>
      <c r="W47" s="2" t="s">
        <v>39</v>
      </c>
    </row>
    <row r="48">
      <c r="A48" s="2" t="n">
        <v>31</v>
      </c>
      <c r="B48" s="2" t="s">
        <v>21211</v>
      </c>
      <c r="C48" s="2" t="s">
        <v>15962</v>
      </c>
      <c r="D48" s="2" t="n">
        <v>150.054954473</v>
      </c>
      <c r="E48" s="2" t="n">
        <v>2.23526342112943</v>
      </c>
      <c r="F48" s="2" t="s">
        <v>21212</v>
      </c>
      <c r="G48" s="2" t="n">
        <v>48215</v>
      </c>
      <c r="H48" s="3" t="str">
        <f>HYPERLINK("http://funmeta.oebiotech.com/network/48215", "http://funmeta.oebiotech.com/network/48215")</f>
      </c>
      <c r="I48" s="2" t="s">
        <v>21213</v>
      </c>
      <c r="J48" s="2" t="s">
        <v>21214</v>
      </c>
      <c r="K48" s="2"/>
      <c r="L48" s="2" t="s">
        <v>21215</v>
      </c>
      <c r="M48" s="2" t="s">
        <v>21216</v>
      </c>
      <c r="N48" s="2" t="s">
        <v>21217</v>
      </c>
      <c r="O48" s="2" t="s">
        <v>21218</v>
      </c>
      <c r="P48" s="2" t="s">
        <v>21219</v>
      </c>
      <c r="Q48" s="2" t="s">
        <v>21220</v>
      </c>
      <c r="R48" s="2" t="s">
        <v>355</v>
      </c>
      <c r="S48" s="2" t="s">
        <v>2424</v>
      </c>
      <c r="T48" s="2" t="s">
        <v>21221</v>
      </c>
      <c r="U48" s="2" t="s">
        <v>15963</v>
      </c>
      <c r="V48" s="2" t="s">
        <v>15649</v>
      </c>
      <c r="W48" s="2" t="s">
        <v>39</v>
      </c>
    </row>
    <row r="49">
      <c r="A49" s="2" t="n">
        <v>31</v>
      </c>
      <c r="B49" s="2" t="s">
        <v>21222</v>
      </c>
      <c r="C49" s="2" t="s">
        <v>15962</v>
      </c>
      <c r="D49" s="2" t="n">
        <v>150.054954473</v>
      </c>
      <c r="E49" s="2" t="n">
        <v>2.23526342112943</v>
      </c>
      <c r="F49" s="2" t="s">
        <v>21223</v>
      </c>
      <c r="G49" s="2" t="n">
        <v>82231</v>
      </c>
      <c r="H49" s="3" t="str">
        <f>HYPERLINK("http://funmeta.oebiotech.com/network/82231", "http://funmeta.oebiotech.com/network/82231")</f>
      </c>
      <c r="I49" s="2" t="s">
        <v>21224</v>
      </c>
      <c r="J49" s="2" t="s">
        <v>21225</v>
      </c>
      <c r="K49" s="2"/>
      <c r="L49" s="2" t="s">
        <v>21226</v>
      </c>
      <c r="M49" s="2" t="s">
        <v>21227</v>
      </c>
      <c r="N49" s="2" t="s">
        <v>21228</v>
      </c>
      <c r="O49" s="2" t="s">
        <v>21229</v>
      </c>
      <c r="P49" s="2" t="s">
        <v>21230</v>
      </c>
      <c r="Q49" s="2" t="s">
        <v>21231</v>
      </c>
      <c r="R49" s="2" t="s">
        <v>502</v>
      </c>
      <c r="S49" s="2" t="s">
        <v>2369</v>
      </c>
      <c r="T49" s="2" t="s">
        <v>11578</v>
      </c>
      <c r="U49" s="2" t="s">
        <v>15963</v>
      </c>
      <c r="V49" s="2" t="s">
        <v>15649</v>
      </c>
      <c r="W49" s="2" t="s">
        <v>39</v>
      </c>
    </row>
    <row r="50">
      <c r="A50" s="2" t="n">
        <v>32</v>
      </c>
      <c r="B50" s="2" t="s">
        <v>10379</v>
      </c>
      <c r="C50" s="2" t="s">
        <v>15976</v>
      </c>
      <c r="D50" s="2" t="n">
        <v>152.056685807</v>
      </c>
      <c r="E50" s="2" t="n">
        <v>0.532055822343879</v>
      </c>
      <c r="F50" s="2" t="s">
        <v>15978</v>
      </c>
      <c r="G50" s="2" t="n">
        <v>46889</v>
      </c>
      <c r="H50" s="3" t="str">
        <f>HYPERLINK("http://funmeta.oebiotech.com/network/46889", "http://funmeta.oebiotech.com/network/46889")</f>
      </c>
      <c r="I50" s="2" t="s">
        <v>15980</v>
      </c>
      <c r="J50" s="2" t="s">
        <v>15981</v>
      </c>
      <c r="K50" s="2"/>
      <c r="L50" s="2" t="s">
        <v>15982</v>
      </c>
      <c r="M50" s="2" t="s">
        <v>15983</v>
      </c>
      <c r="N50" s="2" t="s">
        <v>15984</v>
      </c>
      <c r="O50" s="2" t="s">
        <v>15985</v>
      </c>
      <c r="P50" s="2" t="s">
        <v>15986</v>
      </c>
      <c r="Q50" s="2" t="s">
        <v>15987</v>
      </c>
      <c r="R50" s="2" t="s">
        <v>355</v>
      </c>
      <c r="S50" s="2" t="s">
        <v>466</v>
      </c>
      <c r="T50" s="2" t="s">
        <v>467</v>
      </c>
      <c r="U50" s="2" t="s">
        <v>15977</v>
      </c>
      <c r="V50" s="2" t="s">
        <v>15649</v>
      </c>
      <c r="W50" s="2" t="s">
        <v>39</v>
      </c>
    </row>
    <row r="51">
      <c r="A51" s="2" t="n">
        <v>33</v>
      </c>
      <c r="B51" s="2" t="s">
        <v>10380</v>
      </c>
      <c r="C51" s="2" t="s">
        <v>15988</v>
      </c>
      <c r="D51" s="2" t="n">
        <v>154.035950365</v>
      </c>
      <c r="E51" s="2" t="n">
        <v>0.383278905263493</v>
      </c>
      <c r="F51" s="2" t="s">
        <v>15990</v>
      </c>
      <c r="G51" s="2" t="n">
        <v>202657</v>
      </c>
      <c r="H51" s="3" t="str">
        <f>HYPERLINK("http://funmeta.oebiotech.com/network/202657", "http://funmeta.oebiotech.com/network/202657")</f>
      </c>
      <c r="I51" s="2" t="s">
        <v>15992</v>
      </c>
      <c r="J51" s="2"/>
      <c r="K51" s="2"/>
      <c r="L51" s="2"/>
      <c r="M51" s="2" t="s">
        <v>15993</v>
      </c>
      <c r="N51" s="2" t="s">
        <v>15994</v>
      </c>
      <c r="O51" s="2"/>
      <c r="P51" s="2" t="s">
        <v>15995</v>
      </c>
      <c r="Q51" s="2" t="s">
        <v>15996</v>
      </c>
      <c r="R51" s="2" t="s">
        <v>355</v>
      </c>
      <c r="S51" s="2" t="s">
        <v>15997</v>
      </c>
      <c r="T51" s="2" t="s">
        <v>205</v>
      </c>
      <c r="U51" s="2" t="s">
        <v>15989</v>
      </c>
      <c r="V51" s="2" t="s">
        <v>15649</v>
      </c>
      <c r="W51" s="2"/>
    </row>
    <row r="52">
      <c r="A52" s="2" t="n">
        <v>34</v>
      </c>
      <c r="B52" s="2" t="s">
        <v>10381</v>
      </c>
      <c r="C52" s="2" t="s">
        <v>15998</v>
      </c>
      <c r="D52" s="2" t="n">
        <v>154.052349358</v>
      </c>
      <c r="E52" s="2" t="n">
        <v>13.2500232521533</v>
      </c>
      <c r="F52" s="2" t="s">
        <v>16000</v>
      </c>
      <c r="G52" s="2" t="n">
        <v>200571</v>
      </c>
      <c r="H52" s="3" t="str">
        <f>HYPERLINK("http://funmeta.oebiotech.com/network/200571", "http://funmeta.oebiotech.com/network/200571")</f>
      </c>
      <c r="I52" s="2" t="s">
        <v>16002</v>
      </c>
      <c r="J52" s="2"/>
      <c r="K52" s="2"/>
      <c r="L52" s="2"/>
      <c r="M52" s="2" t="s">
        <v>16003</v>
      </c>
      <c r="N52" s="2" t="s">
        <v>16004</v>
      </c>
      <c r="O52" s="2"/>
      <c r="P52" s="2" t="s">
        <v>16005</v>
      </c>
      <c r="Q52" s="2" t="s">
        <v>16006</v>
      </c>
      <c r="R52" s="2" t="s">
        <v>355</v>
      </c>
      <c r="S52" s="2" t="s">
        <v>466</v>
      </c>
      <c r="T52" s="2" t="s">
        <v>467</v>
      </c>
      <c r="U52" s="2" t="s">
        <v>15999</v>
      </c>
      <c r="V52" s="2" t="s">
        <v>15649</v>
      </c>
      <c r="W52" s="2"/>
    </row>
    <row r="53">
      <c r="A53" s="2" t="n">
        <v>35</v>
      </c>
      <c r="B53" s="2" t="s">
        <v>10403</v>
      </c>
      <c r="C53" s="2" t="s">
        <v>16007</v>
      </c>
      <c r="D53" s="2" t="n">
        <v>155.019496944</v>
      </c>
      <c r="E53" s="2" t="n">
        <v>8.85015421434792</v>
      </c>
      <c r="F53" s="2" t="s">
        <v>16009</v>
      </c>
      <c r="G53" s="2" t="n">
        <v>52405</v>
      </c>
      <c r="H53" s="3" t="str">
        <f>HYPERLINK("http://funmeta.oebiotech.com/network/52405", "http://funmeta.oebiotech.com/network/52405")</f>
      </c>
      <c r="I53" s="2" t="s">
        <v>16011</v>
      </c>
      <c r="J53" s="2"/>
      <c r="K53" s="2"/>
      <c r="L53" s="2" t="s">
        <v>16012</v>
      </c>
      <c r="M53" s="2" t="s">
        <v>16013</v>
      </c>
      <c r="N53" s="2" t="s">
        <v>16014</v>
      </c>
      <c r="O53" s="2"/>
      <c r="P53" s="2" t="s">
        <v>16015</v>
      </c>
      <c r="Q53" s="2" t="s">
        <v>16016</v>
      </c>
      <c r="R53" s="2" t="s">
        <v>64</v>
      </c>
      <c r="S53" s="2" t="s">
        <v>65</v>
      </c>
      <c r="T53" s="2" t="s">
        <v>2921</v>
      </c>
      <c r="U53" s="2" t="s">
        <v>16008</v>
      </c>
      <c r="V53" s="2" t="s">
        <v>15649</v>
      </c>
      <c r="W53" s="2" t="s">
        <v>39</v>
      </c>
    </row>
    <row r="54">
      <c r="A54" s="2" t="n">
        <v>36</v>
      </c>
      <c r="B54" s="2" t="s">
        <v>10404</v>
      </c>
      <c r="C54" s="2" t="s">
        <v>16017</v>
      </c>
      <c r="D54" s="2" t="n">
        <v>155.045118061</v>
      </c>
      <c r="E54" s="2" t="n">
        <v>0.542804571716329</v>
      </c>
      <c r="F54" s="2" t="s">
        <v>21232</v>
      </c>
      <c r="G54" s="2" t="n">
        <v>200441</v>
      </c>
      <c r="H54" s="3" t="str">
        <f>HYPERLINK("http://funmeta.oebiotech.com/network/200441", "http://funmeta.oebiotech.com/network/200441")</f>
      </c>
      <c r="I54" s="2" t="s">
        <v>21233</v>
      </c>
      <c r="J54" s="2" t="s">
        <v>21234</v>
      </c>
      <c r="K54" s="2"/>
      <c r="L54" s="2" t="s">
        <v>21235</v>
      </c>
      <c r="M54" s="2"/>
      <c r="N54" s="2" t="s">
        <v>21236</v>
      </c>
      <c r="O54" s="2" t="s">
        <v>21237</v>
      </c>
      <c r="P54" s="2" t="s">
        <v>21238</v>
      </c>
      <c r="Q54" s="2" t="s">
        <v>21239</v>
      </c>
      <c r="R54" s="2" t="s">
        <v>502</v>
      </c>
      <c r="S54" s="2" t="s">
        <v>2369</v>
      </c>
      <c r="T54" s="2" t="s">
        <v>3155</v>
      </c>
      <c r="U54" s="2" t="s">
        <v>16018</v>
      </c>
      <c r="V54" s="2" t="s">
        <v>15649</v>
      </c>
      <c r="W54" s="2" t="s">
        <v>39</v>
      </c>
    </row>
    <row r="55">
      <c r="A55" s="2" t="n">
        <v>36</v>
      </c>
      <c r="B55" s="2" t="s">
        <v>21240</v>
      </c>
      <c r="C55" s="2" t="s">
        <v>16017</v>
      </c>
      <c r="D55" s="2" t="n">
        <v>155.045118061</v>
      </c>
      <c r="E55" s="2" t="n">
        <v>0.542804571716329</v>
      </c>
      <c r="F55" s="2" t="s">
        <v>21241</v>
      </c>
      <c r="G55" s="2" t="n">
        <v>201688</v>
      </c>
      <c r="H55" s="3" t="str">
        <f>HYPERLINK("http://funmeta.oebiotech.com/network/201688", "http://funmeta.oebiotech.com/network/201688")</f>
      </c>
      <c r="I55" s="2" t="s">
        <v>21242</v>
      </c>
      <c r="J55" s="2" t="s">
        <v>21243</v>
      </c>
      <c r="K55" s="2"/>
      <c r="L55" s="2" t="s">
        <v>21244</v>
      </c>
      <c r="M55" s="2"/>
      <c r="N55" s="2" t="s">
        <v>21245</v>
      </c>
      <c r="O55" s="2" t="s">
        <v>21246</v>
      </c>
      <c r="P55" s="2" t="s">
        <v>21247</v>
      </c>
      <c r="Q55" s="2" t="s">
        <v>21248</v>
      </c>
      <c r="R55" s="2" t="s">
        <v>502</v>
      </c>
      <c r="S55" s="2" t="s">
        <v>2369</v>
      </c>
      <c r="T55" s="2" t="s">
        <v>3155</v>
      </c>
      <c r="U55" s="2" t="s">
        <v>16018</v>
      </c>
      <c r="V55" s="2" t="s">
        <v>15649</v>
      </c>
      <c r="W55" s="2" t="s">
        <v>39</v>
      </c>
    </row>
    <row r="56">
      <c r="A56" s="2" t="n">
        <v>37</v>
      </c>
      <c r="B56" s="2" t="s">
        <v>10405</v>
      </c>
      <c r="C56" s="2" t="s">
        <v>16029</v>
      </c>
      <c r="D56" s="2" t="n">
        <v>156.042136601</v>
      </c>
      <c r="E56" s="2" t="n">
        <v>8.46127724461188</v>
      </c>
      <c r="F56" s="2" t="s">
        <v>21249</v>
      </c>
      <c r="G56" s="2" t="n">
        <v>2483</v>
      </c>
      <c r="H56" s="3" t="str">
        <f>HYPERLINK("http://funmeta.oebiotech.com/network/2483", "http://funmeta.oebiotech.com/network/2483")</f>
      </c>
      <c r="I56" s="2" t="s">
        <v>21250</v>
      </c>
      <c r="J56" s="2" t="s">
        <v>21251</v>
      </c>
      <c r="K56" s="2" t="s">
        <v>21252</v>
      </c>
      <c r="L56" s="2" t="s">
        <v>21253</v>
      </c>
      <c r="M56" s="2" t="s">
        <v>21254</v>
      </c>
      <c r="N56" s="2" t="s">
        <v>21255</v>
      </c>
      <c r="O56" s="2" t="s">
        <v>21256</v>
      </c>
      <c r="P56" s="2" t="s">
        <v>21257</v>
      </c>
      <c r="Q56" s="2" t="s">
        <v>21258</v>
      </c>
      <c r="R56" s="2" t="s">
        <v>49</v>
      </c>
      <c r="S56" s="2" t="s">
        <v>165</v>
      </c>
      <c r="T56" s="2" t="s">
        <v>166</v>
      </c>
      <c r="U56" s="2" t="s">
        <v>16030</v>
      </c>
      <c r="V56" s="2" t="s">
        <v>15919</v>
      </c>
      <c r="W56" s="2" t="s">
        <v>39</v>
      </c>
    </row>
    <row r="57">
      <c r="A57" s="2" t="n">
        <v>37</v>
      </c>
      <c r="B57" s="2" t="s">
        <v>10415</v>
      </c>
      <c r="C57" s="2" t="s">
        <v>16029</v>
      </c>
      <c r="D57" s="2" t="n">
        <v>156.042136601</v>
      </c>
      <c r="E57" s="2" t="n">
        <v>8.46127724461188</v>
      </c>
      <c r="F57" s="2" t="s">
        <v>21259</v>
      </c>
      <c r="G57" s="2" t="n">
        <v>2488</v>
      </c>
      <c r="H57" s="3" t="str">
        <f>HYPERLINK("http://funmeta.oebiotech.com/network/2488", "http://funmeta.oebiotech.com/network/2488")</f>
      </c>
      <c r="I57" s="2" t="s">
        <v>21260</v>
      </c>
      <c r="J57" s="2" t="s">
        <v>21261</v>
      </c>
      <c r="K57" s="2" t="s">
        <v>21262</v>
      </c>
      <c r="L57" s="2" t="s">
        <v>21263</v>
      </c>
      <c r="M57" s="2" t="s">
        <v>21264</v>
      </c>
      <c r="N57" s="2" t="s">
        <v>21265</v>
      </c>
      <c r="O57" s="2"/>
      <c r="P57" s="2" t="s">
        <v>21266</v>
      </c>
      <c r="Q57" s="2" t="s">
        <v>21267</v>
      </c>
      <c r="R57" s="2" t="s">
        <v>49</v>
      </c>
      <c r="S57" s="2" t="s">
        <v>165</v>
      </c>
      <c r="T57" s="2" t="s">
        <v>166</v>
      </c>
      <c r="U57" s="2" t="s">
        <v>16030</v>
      </c>
      <c r="V57" s="2" t="s">
        <v>15919</v>
      </c>
      <c r="W57" s="2" t="s">
        <v>39</v>
      </c>
    </row>
    <row r="58">
      <c r="A58" s="2" t="n">
        <v>38</v>
      </c>
      <c r="B58" s="2" t="s">
        <v>10435</v>
      </c>
      <c r="C58" s="2" t="s">
        <v>16042</v>
      </c>
      <c r="D58" s="2" t="n">
        <v>156.078522107</v>
      </c>
      <c r="E58" s="2" t="n">
        <v>0.211872850990205</v>
      </c>
      <c r="F58" s="2" t="s">
        <v>21268</v>
      </c>
      <c r="G58" s="2" t="n">
        <v>212594</v>
      </c>
      <c r="H58" s="3" t="str">
        <f>HYPERLINK("http://funmeta.oebiotech.com/network/212594", "http://funmeta.oebiotech.com/network/212594")</f>
      </c>
      <c r="I58" s="2" t="s">
        <v>21269</v>
      </c>
      <c r="J58" s="2" t="s">
        <v>21270</v>
      </c>
      <c r="K58" s="2"/>
      <c r="L58" s="2"/>
      <c r="M58" s="2"/>
      <c r="N58" s="2" t="s">
        <v>21271</v>
      </c>
      <c r="O58" s="2"/>
      <c r="P58" s="2" t="s">
        <v>21272</v>
      </c>
      <c r="Q58" s="2" t="s">
        <v>21273</v>
      </c>
      <c r="R58" s="2" t="s">
        <v>36</v>
      </c>
      <c r="S58" s="2" t="s">
        <v>37</v>
      </c>
      <c r="T58" s="2" t="s">
        <v>21274</v>
      </c>
      <c r="U58" s="2" t="s">
        <v>16043</v>
      </c>
      <c r="V58" s="2" t="s">
        <v>15919</v>
      </c>
      <c r="W58" s="2"/>
    </row>
    <row r="59">
      <c r="A59" s="2" t="n">
        <v>38</v>
      </c>
      <c r="B59" s="2" t="s">
        <v>21275</v>
      </c>
      <c r="C59" s="2" t="s">
        <v>16042</v>
      </c>
      <c r="D59" s="2" t="n">
        <v>156.078522107</v>
      </c>
      <c r="E59" s="2" t="n">
        <v>0.211872850990205</v>
      </c>
      <c r="F59" s="2" t="s">
        <v>21276</v>
      </c>
      <c r="G59" s="2" t="n">
        <v>203129</v>
      </c>
      <c r="H59" s="3" t="str">
        <f>HYPERLINK("http://funmeta.oebiotech.com/network/203129", "http://funmeta.oebiotech.com/network/203129")</f>
      </c>
      <c r="I59" s="2" t="s">
        <v>21277</v>
      </c>
      <c r="J59" s="2"/>
      <c r="K59" s="2"/>
      <c r="L59" s="2"/>
      <c r="M59" s="2"/>
      <c r="N59" s="2" t="s">
        <v>21278</v>
      </c>
      <c r="O59" s="2"/>
      <c r="P59" s="2" t="s">
        <v>21279</v>
      </c>
      <c r="Q59" s="2" t="s">
        <v>21280</v>
      </c>
      <c r="R59" s="2" t="s">
        <v>36</v>
      </c>
      <c r="S59" s="2" t="s">
        <v>37</v>
      </c>
      <c r="T59" s="2" t="s">
        <v>679</v>
      </c>
      <c r="U59" s="2" t="s">
        <v>16043</v>
      </c>
      <c r="V59" s="2" t="s">
        <v>15919</v>
      </c>
      <c r="W59" s="2"/>
    </row>
    <row r="60">
      <c r="A60" s="2" t="n">
        <v>38</v>
      </c>
      <c r="B60" s="2" t="s">
        <v>21281</v>
      </c>
      <c r="C60" s="2" t="s">
        <v>16042</v>
      </c>
      <c r="D60" s="2" t="n">
        <v>156.078522107</v>
      </c>
      <c r="E60" s="2" t="n">
        <v>0.211872850990205</v>
      </c>
      <c r="F60" s="2" t="s">
        <v>21282</v>
      </c>
      <c r="G60" s="2" t="n">
        <v>58116</v>
      </c>
      <c r="H60" s="3" t="str">
        <f>HYPERLINK("http://funmeta.oebiotech.com/network/58116", "http://funmeta.oebiotech.com/network/58116")</f>
      </c>
      <c r="I60" s="2" t="s">
        <v>21283</v>
      </c>
      <c r="J60" s="2" t="s">
        <v>21284</v>
      </c>
      <c r="K60" s="2"/>
      <c r="L60" s="2"/>
      <c r="M60" s="2" t="s">
        <v>21285</v>
      </c>
      <c r="N60" s="2" t="s">
        <v>21286</v>
      </c>
      <c r="O60" s="2" t="s">
        <v>21287</v>
      </c>
      <c r="P60" s="2" t="s">
        <v>21288</v>
      </c>
      <c r="Q60" s="2" t="s">
        <v>21289</v>
      </c>
      <c r="R60" s="2" t="s">
        <v>36</v>
      </c>
      <c r="S60" s="2" t="s">
        <v>37</v>
      </c>
      <c r="T60" s="2" t="s">
        <v>679</v>
      </c>
      <c r="U60" s="2" t="s">
        <v>16043</v>
      </c>
      <c r="V60" s="2" t="s">
        <v>15919</v>
      </c>
      <c r="W60" s="2"/>
    </row>
    <row r="61">
      <c r="A61" s="2" t="n">
        <v>39</v>
      </c>
      <c r="B61" s="2" t="s">
        <v>10436</v>
      </c>
      <c r="C61" s="2" t="s">
        <v>16056</v>
      </c>
      <c r="D61" s="2" t="n">
        <v>158.036657293</v>
      </c>
      <c r="E61" s="2" t="n">
        <v>16.9579086792881</v>
      </c>
      <c r="F61" s="2" t="s">
        <v>21290</v>
      </c>
      <c r="G61" s="2" t="n">
        <v>207808</v>
      </c>
      <c r="H61" s="3" t="str">
        <f>HYPERLINK("http://funmeta.oebiotech.com/network/207808", "http://funmeta.oebiotech.com/network/207808")</f>
      </c>
      <c r="I61" s="2" t="s">
        <v>21291</v>
      </c>
      <c r="J61" s="2" t="s">
        <v>21292</v>
      </c>
      <c r="K61" s="2"/>
      <c r="L61" s="2"/>
      <c r="M61" s="2" t="s">
        <v>21293</v>
      </c>
      <c r="N61" s="2" t="s">
        <v>21294</v>
      </c>
      <c r="O61" s="2"/>
      <c r="P61" s="2" t="s">
        <v>21295</v>
      </c>
      <c r="Q61" s="2" t="s">
        <v>21296</v>
      </c>
      <c r="R61" s="2" t="s">
        <v>355</v>
      </c>
      <c r="S61" s="2" t="s">
        <v>2424</v>
      </c>
      <c r="T61" s="2" t="s">
        <v>5566</v>
      </c>
      <c r="U61" s="2" t="s">
        <v>16057</v>
      </c>
      <c r="V61" s="2" t="s">
        <v>15919</v>
      </c>
      <c r="W61" s="2"/>
    </row>
    <row r="62">
      <c r="A62" s="2" t="n">
        <v>39</v>
      </c>
      <c r="B62" s="2" t="s">
        <v>10442</v>
      </c>
      <c r="C62" s="2" t="s">
        <v>16056</v>
      </c>
      <c r="D62" s="2" t="n">
        <v>158.036657294</v>
      </c>
      <c r="E62" s="2" t="n">
        <v>16.9579086792881</v>
      </c>
      <c r="F62" s="2" t="s">
        <v>21297</v>
      </c>
      <c r="G62" s="2" t="n">
        <v>207961</v>
      </c>
      <c r="H62" s="3" t="str">
        <f>HYPERLINK("http://funmeta.oebiotech.com/network/207961", "http://funmeta.oebiotech.com/network/207961")</f>
      </c>
      <c r="I62" s="2" t="s">
        <v>21298</v>
      </c>
      <c r="J62" s="2"/>
      <c r="K62" s="2"/>
      <c r="L62" s="2"/>
      <c r="M62" s="2"/>
      <c r="N62" s="2" t="s">
        <v>21299</v>
      </c>
      <c r="O62" s="2"/>
      <c r="P62" s="2" t="s">
        <v>21300</v>
      </c>
      <c r="Q62" s="2" t="s">
        <v>21301</v>
      </c>
      <c r="R62" s="2" t="s">
        <v>355</v>
      </c>
      <c r="S62" s="2" t="s">
        <v>5806</v>
      </c>
      <c r="T62" s="2" t="s">
        <v>21302</v>
      </c>
      <c r="U62" s="2" t="s">
        <v>16057</v>
      </c>
      <c r="V62" s="2" t="s">
        <v>15919</v>
      </c>
      <c r="W62" s="2"/>
    </row>
    <row r="63">
      <c r="A63" s="2" t="n">
        <v>40</v>
      </c>
      <c r="B63" s="2" t="s">
        <v>10448</v>
      </c>
      <c r="C63" s="2" t="s">
        <v>16068</v>
      </c>
      <c r="D63" s="2" t="n">
        <v>159.051854764</v>
      </c>
      <c r="E63" s="2" t="n">
        <v>0.517316580451172</v>
      </c>
      <c r="F63" s="2" t="s">
        <v>16070</v>
      </c>
      <c r="G63" s="2" t="n">
        <v>47454</v>
      </c>
      <c r="H63" s="3" t="str">
        <f>HYPERLINK("http://funmeta.oebiotech.com/network/47454", "http://funmeta.oebiotech.com/network/47454")</f>
      </c>
      <c r="I63" s="2" t="s">
        <v>16072</v>
      </c>
      <c r="J63" s="2" t="s">
        <v>16073</v>
      </c>
      <c r="K63" s="2"/>
      <c r="L63" s="2" t="s">
        <v>16074</v>
      </c>
      <c r="M63" s="2" t="s">
        <v>16075</v>
      </c>
      <c r="N63" s="2" t="s">
        <v>16076</v>
      </c>
      <c r="O63" s="2" t="s">
        <v>16077</v>
      </c>
      <c r="P63" s="2" t="s">
        <v>16078</v>
      </c>
      <c r="Q63" s="2" t="s">
        <v>16079</v>
      </c>
      <c r="R63" s="2" t="s">
        <v>49</v>
      </c>
      <c r="S63" s="2" t="s">
        <v>165</v>
      </c>
      <c r="T63" s="2" t="s">
        <v>166</v>
      </c>
      <c r="U63" s="2" t="s">
        <v>16069</v>
      </c>
      <c r="V63" s="2" t="s">
        <v>15611</v>
      </c>
      <c r="W63" s="2" t="s">
        <v>39</v>
      </c>
    </row>
    <row r="64">
      <c r="A64" s="2" t="n">
        <v>41</v>
      </c>
      <c r="B64" s="2" t="s">
        <v>10449</v>
      </c>
      <c r="C64" s="2" t="s">
        <v>16080</v>
      </c>
      <c r="D64" s="2" t="n">
        <v>161.029738506</v>
      </c>
      <c r="E64" s="2" t="n">
        <v>2.8646113900224</v>
      </c>
      <c r="F64" s="2" t="s">
        <v>21303</v>
      </c>
      <c r="G64" s="2" t="n">
        <v>209224</v>
      </c>
      <c r="H64" s="3" t="str">
        <f>HYPERLINK("http://funmeta.oebiotech.com/network/209224", "http://funmeta.oebiotech.com/network/209224")</f>
      </c>
      <c r="I64" s="2" t="s">
        <v>21304</v>
      </c>
      <c r="J64" s="2" t="s">
        <v>21305</v>
      </c>
      <c r="K64" s="2"/>
      <c r="L64" s="2" t="s">
        <v>21306</v>
      </c>
      <c r="M64" s="2" t="s">
        <v>21307</v>
      </c>
      <c r="N64" s="2" t="s">
        <v>21308</v>
      </c>
      <c r="O64" s="2" t="s">
        <v>21309</v>
      </c>
      <c r="P64" s="2" t="s">
        <v>21310</v>
      </c>
      <c r="Q64" s="2" t="s">
        <v>21311</v>
      </c>
      <c r="R64" s="2" t="s">
        <v>355</v>
      </c>
      <c r="S64" s="2" t="s">
        <v>6690</v>
      </c>
      <c r="T64" s="2" t="s">
        <v>6691</v>
      </c>
      <c r="U64" s="2" t="s">
        <v>16081</v>
      </c>
      <c r="V64" s="2" t="s">
        <v>15691</v>
      </c>
      <c r="W64" s="2" t="s">
        <v>39</v>
      </c>
    </row>
    <row r="65">
      <c r="A65" s="2" t="n">
        <v>41</v>
      </c>
      <c r="B65" s="2" t="s">
        <v>10458</v>
      </c>
      <c r="C65" s="2" t="s">
        <v>16080</v>
      </c>
      <c r="D65" s="2" t="n">
        <v>161.02973851</v>
      </c>
      <c r="E65" s="2" t="n">
        <v>2.8646113900224</v>
      </c>
      <c r="F65" s="2" t="s">
        <v>21312</v>
      </c>
      <c r="G65" s="2" t="n">
        <v>82390</v>
      </c>
      <c r="H65" s="3" t="str">
        <f>HYPERLINK("http://funmeta.oebiotech.com/network/82390", "http://funmeta.oebiotech.com/network/82390")</f>
      </c>
      <c r="I65" s="2" t="s">
        <v>21313</v>
      </c>
      <c r="J65" s="2" t="s">
        <v>21314</v>
      </c>
      <c r="K65" s="2"/>
      <c r="L65" s="2" t="s">
        <v>21315</v>
      </c>
      <c r="M65" s="2"/>
      <c r="N65" s="2" t="s">
        <v>21316</v>
      </c>
      <c r="O65" s="2" t="s">
        <v>21317</v>
      </c>
      <c r="P65" s="2" t="s">
        <v>21318</v>
      </c>
      <c r="Q65" s="2" t="s">
        <v>21319</v>
      </c>
      <c r="R65" s="2" t="s">
        <v>36</v>
      </c>
      <c r="S65" s="2" t="s">
        <v>37</v>
      </c>
      <c r="T65" s="2" t="s">
        <v>1828</v>
      </c>
      <c r="U65" s="2" t="s">
        <v>16081</v>
      </c>
      <c r="V65" s="2" t="s">
        <v>15691</v>
      </c>
      <c r="W65" s="2" t="s">
        <v>39</v>
      </c>
    </row>
    <row r="66">
      <c r="A66" s="2" t="n">
        <v>42</v>
      </c>
      <c r="B66" s="2" t="s">
        <v>10465</v>
      </c>
      <c r="C66" s="2" t="s">
        <v>16095</v>
      </c>
      <c r="D66" s="2" t="n">
        <v>164.074524387</v>
      </c>
      <c r="E66" s="2" t="n">
        <v>3.16788230398129</v>
      </c>
      <c r="F66" s="2" t="s">
        <v>16097</v>
      </c>
      <c r="G66" s="2" t="n">
        <v>62035</v>
      </c>
      <c r="H66" s="3" t="str">
        <f>HYPERLINK("http://funmeta.oebiotech.com/network/62035", "http://funmeta.oebiotech.com/network/62035")</f>
      </c>
      <c r="I66" s="2" t="s">
        <v>16099</v>
      </c>
      <c r="J66" s="2"/>
      <c r="K66" s="2"/>
      <c r="L66" s="2"/>
      <c r="M66" s="2"/>
      <c r="N66" s="2" t="s">
        <v>16100</v>
      </c>
      <c r="O66" s="2" t="s">
        <v>16101</v>
      </c>
      <c r="P66" s="2" t="s">
        <v>16102</v>
      </c>
      <c r="Q66" s="2" t="s">
        <v>16103</v>
      </c>
      <c r="R66" s="2" t="s">
        <v>49</v>
      </c>
      <c r="S66" s="2" t="s">
        <v>165</v>
      </c>
      <c r="T66" s="2" t="s">
        <v>166</v>
      </c>
      <c r="U66" s="2" t="s">
        <v>16096</v>
      </c>
      <c r="V66" s="2" t="s">
        <v>15624</v>
      </c>
      <c r="W66" s="2"/>
    </row>
    <row r="67">
      <c r="A67" s="2" t="n">
        <v>43</v>
      </c>
      <c r="B67" s="2" t="s">
        <v>10487</v>
      </c>
      <c r="C67" s="2" t="s">
        <v>16104</v>
      </c>
      <c r="D67" s="2" t="n">
        <v>165.045866952</v>
      </c>
      <c r="E67" s="2" t="n">
        <v>4.11786715024368</v>
      </c>
      <c r="F67" s="2" t="s">
        <v>16106</v>
      </c>
      <c r="G67" s="2" t="n">
        <v>206878</v>
      </c>
      <c r="H67" s="3" t="str">
        <f>HYPERLINK("http://funmeta.oebiotech.com/network/206878", "http://funmeta.oebiotech.com/network/206878")</f>
      </c>
      <c r="I67" s="2" t="s">
        <v>16108</v>
      </c>
      <c r="J67" s="2"/>
      <c r="K67" s="2"/>
      <c r="L67" s="2"/>
      <c r="M67" s="2"/>
      <c r="N67" s="2" t="s">
        <v>16109</v>
      </c>
      <c r="O67" s="2"/>
      <c r="P67" s="2" t="s">
        <v>16110</v>
      </c>
      <c r="Q67" s="2" t="s">
        <v>16111</v>
      </c>
      <c r="R67" s="2" t="s">
        <v>355</v>
      </c>
      <c r="S67" s="2" t="s">
        <v>3533</v>
      </c>
      <c r="T67" s="2" t="s">
        <v>5248</v>
      </c>
      <c r="U67" s="2" t="s">
        <v>16105</v>
      </c>
      <c r="V67" s="2" t="s">
        <v>15649</v>
      </c>
      <c r="W67" s="2"/>
    </row>
    <row r="68">
      <c r="A68" s="2" t="n">
        <v>44</v>
      </c>
      <c r="B68" s="2" t="s">
        <v>10488</v>
      </c>
      <c r="C68" s="2" t="s">
        <v>16112</v>
      </c>
      <c r="D68" s="2" t="n">
        <v>166.950618259</v>
      </c>
      <c r="E68" s="2" t="n">
        <v>9.00436846771052</v>
      </c>
      <c r="F68" s="2" t="s">
        <v>16114</v>
      </c>
      <c r="G68" s="2" t="n">
        <v>211280</v>
      </c>
      <c r="H68" s="3" t="str">
        <f>HYPERLINK("http://funmeta.oebiotech.com/network/211280", "http://funmeta.oebiotech.com/network/211280")</f>
      </c>
      <c r="I68" s="2" t="s">
        <v>16116</v>
      </c>
      <c r="J68" s="2"/>
      <c r="K68" s="2"/>
      <c r="L68" s="2"/>
      <c r="M68" s="2"/>
      <c r="N68" s="2" t="s">
        <v>16117</v>
      </c>
      <c r="O68" s="2"/>
      <c r="P68" s="2" t="s">
        <v>16118</v>
      </c>
      <c r="Q68" s="2" t="s">
        <v>16119</v>
      </c>
      <c r="R68" s="2" t="s">
        <v>49</v>
      </c>
      <c r="S68" s="2" t="s">
        <v>771</v>
      </c>
      <c r="T68" s="2" t="s">
        <v>772</v>
      </c>
      <c r="U68" s="2" t="s">
        <v>16113</v>
      </c>
      <c r="V68" s="2" t="s">
        <v>15919</v>
      </c>
      <c r="W68" s="2"/>
    </row>
    <row r="69">
      <c r="A69" s="2" t="n">
        <v>45</v>
      </c>
      <c r="B69" s="2" t="s">
        <v>10489</v>
      </c>
      <c r="C69" s="2" t="s">
        <v>16120</v>
      </c>
      <c r="D69" s="2" t="n">
        <v>169.049534744</v>
      </c>
      <c r="E69" s="2" t="n">
        <v>2.42580504746288</v>
      </c>
      <c r="F69" s="2" t="s">
        <v>21320</v>
      </c>
      <c r="G69" s="2" t="n">
        <v>56702</v>
      </c>
      <c r="H69" s="3" t="str">
        <f>HYPERLINK("http://funmeta.oebiotech.com/network/56702", "http://funmeta.oebiotech.com/network/56702")</f>
      </c>
      <c r="I69" s="2" t="s">
        <v>21321</v>
      </c>
      <c r="J69" s="2" t="s">
        <v>21322</v>
      </c>
      <c r="K69" s="2"/>
      <c r="L69" s="2" t="s">
        <v>21323</v>
      </c>
      <c r="M69" s="2" t="s">
        <v>21324</v>
      </c>
      <c r="N69" s="2" t="s">
        <v>21325</v>
      </c>
      <c r="O69" s="2" t="s">
        <v>21326</v>
      </c>
      <c r="P69" s="2" t="s">
        <v>21327</v>
      </c>
      <c r="Q69" s="2" t="s">
        <v>21328</v>
      </c>
      <c r="R69" s="2" t="s">
        <v>355</v>
      </c>
      <c r="S69" s="2" t="s">
        <v>11617</v>
      </c>
      <c r="T69" s="2" t="s">
        <v>11618</v>
      </c>
      <c r="U69" s="2" t="s">
        <v>16121</v>
      </c>
      <c r="V69" s="2" t="s">
        <v>15778</v>
      </c>
      <c r="W69" s="2" t="s">
        <v>39</v>
      </c>
    </row>
    <row r="70">
      <c r="A70" s="2" t="n">
        <v>45</v>
      </c>
      <c r="B70" s="2" t="s">
        <v>10499</v>
      </c>
      <c r="C70" s="2" t="s">
        <v>16120</v>
      </c>
      <c r="D70" s="2" t="n">
        <v>169.049534738</v>
      </c>
      <c r="E70" s="2" t="n">
        <v>2.42580504746288</v>
      </c>
      <c r="F70" s="2" t="s">
        <v>21329</v>
      </c>
      <c r="G70" s="2" t="n">
        <v>115450</v>
      </c>
      <c r="H70" s="3" t="str">
        <f>HYPERLINK("http://funmeta.oebiotech.com/network/115450", "http://funmeta.oebiotech.com/network/115450")</f>
      </c>
      <c r="I70" s="2" t="s">
        <v>21330</v>
      </c>
      <c r="J70" s="2" t="s">
        <v>21331</v>
      </c>
      <c r="K70" s="2"/>
      <c r="L70" s="2" t="s">
        <v>21332</v>
      </c>
      <c r="M70" s="2" t="s">
        <v>21333</v>
      </c>
      <c r="N70" s="2" t="s">
        <v>21334</v>
      </c>
      <c r="O70" s="2" t="s">
        <v>21335</v>
      </c>
      <c r="P70" s="2" t="s">
        <v>21336</v>
      </c>
      <c r="Q70" s="2" t="s">
        <v>21337</v>
      </c>
      <c r="R70" s="2" t="s">
        <v>355</v>
      </c>
      <c r="S70" s="2" t="s">
        <v>11617</v>
      </c>
      <c r="T70" s="2" t="s">
        <v>11618</v>
      </c>
      <c r="U70" s="2" t="s">
        <v>16121</v>
      </c>
      <c r="V70" s="2" t="s">
        <v>15778</v>
      </c>
      <c r="W70" s="2" t="s">
        <v>39</v>
      </c>
    </row>
    <row r="71">
      <c r="A71" s="2" t="n">
        <v>46</v>
      </c>
      <c r="B71" s="2" t="s">
        <v>10519</v>
      </c>
      <c r="C71" s="2" t="s">
        <v>16134</v>
      </c>
      <c r="D71" s="2" t="n">
        <v>170.061771349</v>
      </c>
      <c r="E71" s="2" t="n">
        <v>6.57449385365449</v>
      </c>
      <c r="F71" s="2" t="s">
        <v>16136</v>
      </c>
      <c r="G71" s="2" t="n">
        <v>202344</v>
      </c>
      <c r="H71" s="3" t="str">
        <f>HYPERLINK("http://funmeta.oebiotech.com/network/202344", "http://funmeta.oebiotech.com/network/202344")</f>
      </c>
      <c r="I71" s="2" t="s">
        <v>16138</v>
      </c>
      <c r="J71" s="2"/>
      <c r="K71" s="2"/>
      <c r="L71" s="2"/>
      <c r="M71" s="2"/>
      <c r="N71" s="2" t="s">
        <v>16139</v>
      </c>
      <c r="O71" s="2"/>
      <c r="P71" s="2" t="s">
        <v>16140</v>
      </c>
      <c r="Q71" s="2" t="s">
        <v>16141</v>
      </c>
      <c r="R71" s="2" t="s">
        <v>355</v>
      </c>
      <c r="S71" s="2" t="s">
        <v>1316</v>
      </c>
      <c r="T71" s="2" t="s">
        <v>16142</v>
      </c>
      <c r="U71" s="2" t="s">
        <v>16135</v>
      </c>
      <c r="V71" s="2" t="s">
        <v>15611</v>
      </c>
      <c r="W71" s="2"/>
    </row>
    <row r="72">
      <c r="A72" s="2" t="n">
        <v>47</v>
      </c>
      <c r="B72" s="2" t="s">
        <v>10520</v>
      </c>
      <c r="C72" s="2" t="s">
        <v>16143</v>
      </c>
      <c r="D72" s="2" t="n">
        <v>171.011041227</v>
      </c>
      <c r="E72" s="2" t="n">
        <v>2.19998217711155</v>
      </c>
      <c r="F72" s="2" t="s">
        <v>16145</v>
      </c>
      <c r="G72" s="2" t="n">
        <v>203353</v>
      </c>
      <c r="H72" s="3" t="str">
        <f>HYPERLINK("http://funmeta.oebiotech.com/network/203353", "http://funmeta.oebiotech.com/network/203353")</f>
      </c>
      <c r="I72" s="2" t="s">
        <v>16147</v>
      </c>
      <c r="J72" s="2"/>
      <c r="K72" s="2"/>
      <c r="L72" s="2"/>
      <c r="M72" s="2"/>
      <c r="N72" s="2" t="s">
        <v>16148</v>
      </c>
      <c r="O72" s="2"/>
      <c r="P72" s="2" t="s">
        <v>16149</v>
      </c>
      <c r="Q72" s="2" t="s">
        <v>16150</v>
      </c>
      <c r="R72" s="2" t="s">
        <v>355</v>
      </c>
      <c r="S72" s="2" t="s">
        <v>1713</v>
      </c>
      <c r="T72" s="2" t="s">
        <v>205</v>
      </c>
      <c r="U72" s="2" t="s">
        <v>16144</v>
      </c>
      <c r="V72" s="2" t="s">
        <v>15649</v>
      </c>
      <c r="W72" s="2"/>
    </row>
    <row r="73">
      <c r="A73" s="2" t="n">
        <v>48</v>
      </c>
      <c r="B73" s="2" t="s">
        <v>10521</v>
      </c>
      <c r="C73" s="2" t="s">
        <v>16151</v>
      </c>
      <c r="D73" s="2" t="n">
        <v>171.065773486</v>
      </c>
      <c r="E73" s="2" t="n">
        <v>3.0361324087668</v>
      </c>
      <c r="F73" s="2" t="s">
        <v>21338</v>
      </c>
      <c r="G73" s="2" t="n">
        <v>211673</v>
      </c>
      <c r="H73" s="3" t="str">
        <f>HYPERLINK("http://funmeta.oebiotech.com/network/211673", "http://funmeta.oebiotech.com/network/211673")</f>
      </c>
      <c r="I73" s="2" t="s">
        <v>21339</v>
      </c>
      <c r="J73" s="2"/>
      <c r="K73" s="2"/>
      <c r="L73" s="2"/>
      <c r="M73" s="2"/>
      <c r="N73" s="2" t="s">
        <v>21340</v>
      </c>
      <c r="O73" s="2"/>
      <c r="P73" s="2" t="s">
        <v>21341</v>
      </c>
      <c r="Q73" s="2" t="s">
        <v>21342</v>
      </c>
      <c r="R73" s="2" t="s">
        <v>49</v>
      </c>
      <c r="S73" s="2" t="s">
        <v>396</v>
      </c>
      <c r="T73" s="2" t="s">
        <v>397</v>
      </c>
      <c r="U73" s="2" t="s">
        <v>16152</v>
      </c>
      <c r="V73" s="2" t="s">
        <v>15611</v>
      </c>
      <c r="W73" s="2"/>
    </row>
    <row r="74">
      <c r="A74" s="2" t="n">
        <v>48</v>
      </c>
      <c r="B74" s="2" t="s">
        <v>10529</v>
      </c>
      <c r="C74" s="2" t="s">
        <v>16151</v>
      </c>
      <c r="D74" s="2" t="n">
        <v>171.065773494</v>
      </c>
      <c r="E74" s="2" t="n">
        <v>3.0361324087668</v>
      </c>
      <c r="F74" s="2" t="s">
        <v>21343</v>
      </c>
      <c r="G74" s="2" t="n">
        <v>81812</v>
      </c>
      <c r="H74" s="3" t="str">
        <f>HYPERLINK("http://funmeta.oebiotech.com/network/81812", "http://funmeta.oebiotech.com/network/81812")</f>
      </c>
      <c r="I74" s="2" t="s">
        <v>21344</v>
      </c>
      <c r="J74" s="2"/>
      <c r="K74" s="2"/>
      <c r="L74" s="2"/>
      <c r="M74" s="2" t="s">
        <v>21345</v>
      </c>
      <c r="N74" s="2" t="s">
        <v>21346</v>
      </c>
      <c r="O74" s="2"/>
      <c r="P74" s="2" t="s">
        <v>21347</v>
      </c>
      <c r="Q74" s="2" t="s">
        <v>21348</v>
      </c>
      <c r="R74" s="2" t="s">
        <v>49</v>
      </c>
      <c r="S74" s="2" t="s">
        <v>165</v>
      </c>
      <c r="T74" s="2" t="s">
        <v>179</v>
      </c>
      <c r="U74" s="2" t="s">
        <v>16152</v>
      </c>
      <c r="V74" s="2" t="s">
        <v>15611</v>
      </c>
      <c r="W74" s="2"/>
    </row>
    <row r="75">
      <c r="A75" s="2" t="n">
        <v>49</v>
      </c>
      <c r="B75" s="2" t="s">
        <v>10545</v>
      </c>
      <c r="C75" s="2" t="s">
        <v>16162</v>
      </c>
      <c r="D75" s="2" t="n">
        <v>175.04538857</v>
      </c>
      <c r="E75" s="2" t="n">
        <v>1.67596818311275</v>
      </c>
      <c r="F75" s="2" t="s">
        <v>21349</v>
      </c>
      <c r="G75" s="2" t="n">
        <v>199220</v>
      </c>
      <c r="H75" s="3" t="str">
        <f>HYPERLINK("http://funmeta.oebiotech.com/network/199220", "http://funmeta.oebiotech.com/network/199220")</f>
      </c>
      <c r="I75" s="2" t="s">
        <v>21350</v>
      </c>
      <c r="J75" s="2"/>
      <c r="K75" s="2"/>
      <c r="L75" s="2"/>
      <c r="M75" s="2"/>
      <c r="N75" s="2" t="s">
        <v>21351</v>
      </c>
      <c r="O75" s="2"/>
      <c r="P75" s="2" t="s">
        <v>21352</v>
      </c>
      <c r="Q75" s="2" t="s">
        <v>21353</v>
      </c>
      <c r="R75" s="2" t="s">
        <v>49</v>
      </c>
      <c r="S75" s="2" t="s">
        <v>165</v>
      </c>
      <c r="T75" s="2" t="s">
        <v>166</v>
      </c>
      <c r="U75" s="2" t="s">
        <v>16163</v>
      </c>
      <c r="V75" s="2" t="s">
        <v>15691</v>
      </c>
      <c r="W75" s="2"/>
    </row>
    <row r="76">
      <c r="A76" s="2" t="n">
        <v>49</v>
      </c>
      <c r="B76" s="2" t="s">
        <v>10556</v>
      </c>
      <c r="C76" s="2" t="s">
        <v>16162</v>
      </c>
      <c r="D76" s="2" t="n">
        <v>175.045388574</v>
      </c>
      <c r="E76" s="2" t="n">
        <v>1.67596818311275</v>
      </c>
      <c r="F76" s="2" t="s">
        <v>21354</v>
      </c>
      <c r="G76" s="2" t="n">
        <v>54354</v>
      </c>
      <c r="H76" s="3" t="str">
        <f>HYPERLINK("http://funmeta.oebiotech.com/network/54354", "http://funmeta.oebiotech.com/network/54354")</f>
      </c>
      <c r="I76" s="2" t="s">
        <v>21355</v>
      </c>
      <c r="J76" s="2" t="s">
        <v>21356</v>
      </c>
      <c r="K76" s="2"/>
      <c r="L76" s="2"/>
      <c r="M76" s="2"/>
      <c r="N76" s="2" t="s">
        <v>21357</v>
      </c>
      <c r="O76" s="2" t="s">
        <v>21358</v>
      </c>
      <c r="P76" s="2" t="s">
        <v>21359</v>
      </c>
      <c r="Q76" s="2" t="s">
        <v>21360</v>
      </c>
      <c r="R76" s="2" t="s">
        <v>49</v>
      </c>
      <c r="S76" s="2" t="s">
        <v>165</v>
      </c>
      <c r="T76" s="2" t="s">
        <v>166</v>
      </c>
      <c r="U76" s="2" t="s">
        <v>16163</v>
      </c>
      <c r="V76" s="2" t="s">
        <v>15691</v>
      </c>
      <c r="W76" s="2"/>
    </row>
    <row r="77">
      <c r="A77" s="2" t="n">
        <v>49</v>
      </c>
      <c r="B77" s="2" t="s">
        <v>21361</v>
      </c>
      <c r="C77" s="2" t="s">
        <v>16162</v>
      </c>
      <c r="D77" s="2" t="n">
        <v>175.045388574</v>
      </c>
      <c r="E77" s="2" t="n">
        <v>1.67596818311275</v>
      </c>
      <c r="F77" s="2" t="s">
        <v>21362</v>
      </c>
      <c r="G77" s="2" t="n">
        <v>55221</v>
      </c>
      <c r="H77" s="3" t="str">
        <f>HYPERLINK("http://funmeta.oebiotech.com/network/55221", "http://funmeta.oebiotech.com/network/55221")</f>
      </c>
      <c r="I77" s="2" t="s">
        <v>21363</v>
      </c>
      <c r="J77" s="2" t="s">
        <v>21364</v>
      </c>
      <c r="K77" s="2"/>
      <c r="L77" s="2"/>
      <c r="M77" s="2"/>
      <c r="N77" s="2" t="s">
        <v>21365</v>
      </c>
      <c r="O77" s="2" t="s">
        <v>21366</v>
      </c>
      <c r="P77" s="2" t="s">
        <v>21367</v>
      </c>
      <c r="Q77" s="2" t="s">
        <v>21368</v>
      </c>
      <c r="R77" s="2" t="s">
        <v>49</v>
      </c>
      <c r="S77" s="2" t="s">
        <v>165</v>
      </c>
      <c r="T77" s="2" t="s">
        <v>166</v>
      </c>
      <c r="U77" s="2" t="s">
        <v>16163</v>
      </c>
      <c r="V77" s="2" t="s">
        <v>15691</v>
      </c>
      <c r="W77" s="2"/>
    </row>
    <row r="78">
      <c r="A78" s="2" t="n">
        <v>50</v>
      </c>
      <c r="B78" s="2" t="s">
        <v>10567</v>
      </c>
      <c r="C78" s="2" t="s">
        <v>16172</v>
      </c>
      <c r="D78" s="2" t="n">
        <v>175.118951712</v>
      </c>
      <c r="E78" s="2" t="n">
        <v>7.84499471172899</v>
      </c>
      <c r="F78" s="2" t="s">
        <v>21369</v>
      </c>
      <c r="G78" s="2" t="n">
        <v>47071</v>
      </c>
      <c r="H78" s="3" t="str">
        <f>HYPERLINK("http://funmeta.oebiotech.com/network/47071", "http://funmeta.oebiotech.com/network/47071")</f>
      </c>
      <c r="I78" s="2" t="s">
        <v>21370</v>
      </c>
      <c r="J78" s="2" t="s">
        <v>21371</v>
      </c>
      <c r="K78" s="2"/>
      <c r="L78" s="2" t="s">
        <v>21372</v>
      </c>
      <c r="M78" s="2" t="s">
        <v>21373</v>
      </c>
      <c r="N78" s="2" t="s">
        <v>21374</v>
      </c>
      <c r="O78" s="2" t="s">
        <v>21375</v>
      </c>
      <c r="P78" s="2" t="s">
        <v>21376</v>
      </c>
      <c r="Q78" s="2" t="s">
        <v>21377</v>
      </c>
      <c r="R78" s="2" t="s">
        <v>49</v>
      </c>
      <c r="S78" s="2" t="s">
        <v>165</v>
      </c>
      <c r="T78" s="2" t="s">
        <v>166</v>
      </c>
      <c r="U78" s="2" t="s">
        <v>16173</v>
      </c>
      <c r="V78" s="2" t="s">
        <v>15649</v>
      </c>
      <c r="W78" s="2" t="s">
        <v>39</v>
      </c>
    </row>
    <row r="79">
      <c r="A79" s="2" t="n">
        <v>50</v>
      </c>
      <c r="B79" s="2" t="s">
        <v>21378</v>
      </c>
      <c r="C79" s="2" t="s">
        <v>16172</v>
      </c>
      <c r="D79" s="2" t="n">
        <v>175.118951712</v>
      </c>
      <c r="E79" s="2" t="n">
        <v>7.84499471172899</v>
      </c>
      <c r="F79" s="2" t="s">
        <v>21379</v>
      </c>
      <c r="G79" s="2" t="n">
        <v>48094</v>
      </c>
      <c r="H79" s="3" t="str">
        <f>HYPERLINK("http://funmeta.oebiotech.com/network/48094", "http://funmeta.oebiotech.com/network/48094")</f>
      </c>
      <c r="I79" s="2" t="s">
        <v>21380</v>
      </c>
      <c r="J79" s="2" t="s">
        <v>21381</v>
      </c>
      <c r="K79" s="2"/>
      <c r="L79" s="2" t="s">
        <v>21382</v>
      </c>
      <c r="M79" s="2" t="s">
        <v>21383</v>
      </c>
      <c r="N79" s="2" t="s">
        <v>21384</v>
      </c>
      <c r="O79" s="2" t="s">
        <v>21385</v>
      </c>
      <c r="P79" s="2" t="s">
        <v>21386</v>
      </c>
      <c r="Q79" s="2" t="s">
        <v>21387</v>
      </c>
      <c r="R79" s="2" t="s">
        <v>49</v>
      </c>
      <c r="S79" s="2" t="s">
        <v>165</v>
      </c>
      <c r="T79" s="2" t="s">
        <v>166</v>
      </c>
      <c r="U79" s="2" t="s">
        <v>16173</v>
      </c>
      <c r="V79" s="2" t="s">
        <v>15649</v>
      </c>
      <c r="W79" s="2" t="s">
        <v>39</v>
      </c>
    </row>
    <row r="80">
      <c r="A80" s="2" t="n">
        <v>51</v>
      </c>
      <c r="B80" s="2" t="s">
        <v>10568</v>
      </c>
      <c r="C80" s="2" t="s">
        <v>16184</v>
      </c>
      <c r="D80" s="2" t="n">
        <v>176.010836473</v>
      </c>
      <c r="E80" s="2" t="n">
        <v>8.16743151956928</v>
      </c>
      <c r="F80" s="2" t="s">
        <v>21388</v>
      </c>
      <c r="G80" s="2" t="n">
        <v>47275</v>
      </c>
      <c r="H80" s="3" t="str">
        <f>HYPERLINK("http://funmeta.oebiotech.com/network/47275", "http://funmeta.oebiotech.com/network/47275")</f>
      </c>
      <c r="I80" s="2" t="s">
        <v>21389</v>
      </c>
      <c r="J80" s="2" t="s">
        <v>21390</v>
      </c>
      <c r="K80" s="2"/>
      <c r="L80" s="2" t="s">
        <v>21391</v>
      </c>
      <c r="M80" s="2" t="s">
        <v>21392</v>
      </c>
      <c r="N80" s="2" t="s">
        <v>21393</v>
      </c>
      <c r="O80" s="2" t="s">
        <v>21394</v>
      </c>
      <c r="P80" s="2" t="s">
        <v>21395</v>
      </c>
      <c r="Q80" s="2" t="s">
        <v>21396</v>
      </c>
      <c r="R80" s="2" t="s">
        <v>4189</v>
      </c>
      <c r="S80" s="2" t="s">
        <v>205</v>
      </c>
      <c r="T80" s="2" t="s">
        <v>205</v>
      </c>
      <c r="U80" s="2" t="s">
        <v>16185</v>
      </c>
      <c r="V80" s="2" t="s">
        <v>15919</v>
      </c>
      <c r="W80" s="2" t="s">
        <v>39</v>
      </c>
    </row>
    <row r="81">
      <c r="A81" s="2" t="n">
        <v>51</v>
      </c>
      <c r="B81" s="2" t="s">
        <v>21397</v>
      </c>
      <c r="C81" s="2" t="s">
        <v>16184</v>
      </c>
      <c r="D81" s="2" t="n">
        <v>176.010836473</v>
      </c>
      <c r="E81" s="2" t="n">
        <v>8.16743151956928</v>
      </c>
      <c r="F81" s="2" t="s">
        <v>21398</v>
      </c>
      <c r="G81" s="2" t="n">
        <v>47405</v>
      </c>
      <c r="H81" s="3" t="str">
        <f>HYPERLINK("http://funmeta.oebiotech.com/network/47405", "http://funmeta.oebiotech.com/network/47405")</f>
      </c>
      <c r="I81" s="2" t="s">
        <v>21399</v>
      </c>
      <c r="J81" s="2" t="s">
        <v>21400</v>
      </c>
      <c r="K81" s="2"/>
      <c r="L81" s="2" t="s">
        <v>21401</v>
      </c>
      <c r="M81" s="2" t="s">
        <v>21402</v>
      </c>
      <c r="N81" s="2" t="s">
        <v>21403</v>
      </c>
      <c r="O81" s="2" t="s">
        <v>21404</v>
      </c>
      <c r="P81" s="2" t="s">
        <v>21405</v>
      </c>
      <c r="Q81" s="2" t="s">
        <v>21406</v>
      </c>
      <c r="R81" s="2" t="s">
        <v>502</v>
      </c>
      <c r="S81" s="2" t="s">
        <v>503</v>
      </c>
      <c r="T81" s="2" t="s">
        <v>2174</v>
      </c>
      <c r="U81" s="2" t="s">
        <v>16185</v>
      </c>
      <c r="V81" s="2" t="s">
        <v>15919</v>
      </c>
      <c r="W81" s="2" t="s">
        <v>39</v>
      </c>
    </row>
    <row r="82">
      <c r="A82" s="2" t="n">
        <v>51</v>
      </c>
      <c r="B82" s="2" t="s">
        <v>21407</v>
      </c>
      <c r="C82" s="2" t="s">
        <v>16184</v>
      </c>
      <c r="D82" s="2" t="n">
        <v>176.010836473</v>
      </c>
      <c r="E82" s="2" t="n">
        <v>8.16743151956928</v>
      </c>
      <c r="F82" s="2" t="s">
        <v>21408</v>
      </c>
      <c r="G82" s="2" t="n">
        <v>47557</v>
      </c>
      <c r="H82" s="3" t="str">
        <f>HYPERLINK("http://funmeta.oebiotech.com/network/47557", "http://funmeta.oebiotech.com/network/47557")</f>
      </c>
      <c r="I82" s="2" t="s">
        <v>21409</v>
      </c>
      <c r="J82" s="2" t="s">
        <v>21410</v>
      </c>
      <c r="K82" s="2"/>
      <c r="L82" s="2" t="s">
        <v>21411</v>
      </c>
      <c r="M82" s="2" t="s">
        <v>21412</v>
      </c>
      <c r="N82" s="2" t="s">
        <v>21413</v>
      </c>
      <c r="O82" s="2" t="s">
        <v>21414</v>
      </c>
      <c r="P82" s="2" t="s">
        <v>21415</v>
      </c>
      <c r="Q82" s="2" t="s">
        <v>21416</v>
      </c>
      <c r="R82" s="2" t="s">
        <v>502</v>
      </c>
      <c r="S82" s="2" t="s">
        <v>503</v>
      </c>
      <c r="T82" s="2" t="s">
        <v>2174</v>
      </c>
      <c r="U82" s="2" t="s">
        <v>16185</v>
      </c>
      <c r="V82" s="2" t="s">
        <v>15919</v>
      </c>
      <c r="W82" s="2" t="s">
        <v>39</v>
      </c>
    </row>
    <row r="83">
      <c r="A83" s="2" t="n">
        <v>52</v>
      </c>
      <c r="B83" s="2" t="s">
        <v>10569</v>
      </c>
      <c r="C83" s="2" t="s">
        <v>16199</v>
      </c>
      <c r="D83" s="2" t="n">
        <v>176.047221979</v>
      </c>
      <c r="E83" s="2" t="n">
        <v>4.96009313749209</v>
      </c>
      <c r="F83" s="2" t="s">
        <v>21417</v>
      </c>
      <c r="G83" s="2" t="n">
        <v>46989</v>
      </c>
      <c r="H83" s="3" t="str">
        <f>HYPERLINK("http://funmeta.oebiotech.com/network/46989", "http://funmeta.oebiotech.com/network/46989")</f>
      </c>
      <c r="I83" s="2" t="s">
        <v>21418</v>
      </c>
      <c r="J83" s="2" t="s">
        <v>21419</v>
      </c>
      <c r="K83" s="2"/>
      <c r="L83" s="2" t="s">
        <v>21420</v>
      </c>
      <c r="M83" s="2" t="s">
        <v>21421</v>
      </c>
      <c r="N83" s="2" t="s">
        <v>21422</v>
      </c>
      <c r="O83" s="2" t="s">
        <v>21423</v>
      </c>
      <c r="P83" s="2" t="s">
        <v>21424</v>
      </c>
      <c r="Q83" s="2" t="s">
        <v>21425</v>
      </c>
      <c r="R83" s="2" t="s">
        <v>502</v>
      </c>
      <c r="S83" s="2" t="s">
        <v>503</v>
      </c>
      <c r="T83" s="2" t="s">
        <v>18424</v>
      </c>
      <c r="U83" s="2" t="s">
        <v>16200</v>
      </c>
      <c r="V83" s="2" t="s">
        <v>15919</v>
      </c>
      <c r="W83" s="2" t="s">
        <v>39</v>
      </c>
    </row>
    <row r="84">
      <c r="A84" s="2" t="n">
        <v>52</v>
      </c>
      <c r="B84" s="2" t="s">
        <v>21426</v>
      </c>
      <c r="C84" s="2" t="s">
        <v>16199</v>
      </c>
      <c r="D84" s="2" t="n">
        <v>176.047221979</v>
      </c>
      <c r="E84" s="2" t="n">
        <v>4.96009313749209</v>
      </c>
      <c r="F84" s="2" t="s">
        <v>21427</v>
      </c>
      <c r="G84" s="2" t="n">
        <v>47375</v>
      </c>
      <c r="H84" s="3" t="str">
        <f>HYPERLINK("http://funmeta.oebiotech.com/network/47375", "http://funmeta.oebiotech.com/network/47375")</f>
      </c>
      <c r="I84" s="2" t="s">
        <v>21428</v>
      </c>
      <c r="J84" s="2" t="s">
        <v>2265</v>
      </c>
      <c r="K84" s="2"/>
      <c r="L84" s="2" t="s">
        <v>21429</v>
      </c>
      <c r="M84" s="2" t="s">
        <v>21430</v>
      </c>
      <c r="N84" s="2" t="s">
        <v>21431</v>
      </c>
      <c r="O84" s="2" t="s">
        <v>21432</v>
      </c>
      <c r="P84" s="2" t="s">
        <v>21433</v>
      </c>
      <c r="Q84" s="2" t="s">
        <v>21434</v>
      </c>
      <c r="R84" s="2" t="s">
        <v>36</v>
      </c>
      <c r="S84" s="2" t="s">
        <v>37</v>
      </c>
      <c r="T84" s="2" t="s">
        <v>679</v>
      </c>
      <c r="U84" s="2" t="s">
        <v>16200</v>
      </c>
      <c r="V84" s="2" t="s">
        <v>15919</v>
      </c>
      <c r="W84" s="2" t="s">
        <v>39</v>
      </c>
    </row>
    <row r="85">
      <c r="A85" s="2" t="n">
        <v>53</v>
      </c>
      <c r="B85" s="2" t="s">
        <v>10570</v>
      </c>
      <c r="C85" s="2" t="s">
        <v>16214</v>
      </c>
      <c r="D85" s="2" t="n">
        <v>176.121594249</v>
      </c>
      <c r="E85" s="2" t="n">
        <v>0.381589069359432</v>
      </c>
      <c r="F85" s="2" t="s">
        <v>16216</v>
      </c>
      <c r="G85" s="2" t="n">
        <v>201652</v>
      </c>
      <c r="H85" s="3" t="str">
        <f>HYPERLINK("http://funmeta.oebiotech.com/network/201652", "http://funmeta.oebiotech.com/network/201652")</f>
      </c>
      <c r="I85" s="2" t="s">
        <v>16218</v>
      </c>
      <c r="J85" s="2"/>
      <c r="K85" s="2"/>
      <c r="L85" s="2"/>
      <c r="M85" s="2"/>
      <c r="N85" s="2" t="s">
        <v>16219</v>
      </c>
      <c r="O85" s="2"/>
      <c r="P85" s="2" t="s">
        <v>16220</v>
      </c>
      <c r="Q85" s="2" t="s">
        <v>16221</v>
      </c>
      <c r="R85" s="2" t="s">
        <v>638</v>
      </c>
      <c r="S85" s="2" t="s">
        <v>16222</v>
      </c>
      <c r="T85" s="2" t="s">
        <v>205</v>
      </c>
      <c r="U85" s="2" t="s">
        <v>16215</v>
      </c>
      <c r="V85" s="2" t="s">
        <v>15649</v>
      </c>
      <c r="W85" s="2"/>
    </row>
    <row r="86">
      <c r="A86" s="2" t="n">
        <v>54</v>
      </c>
      <c r="B86" s="2" t="s">
        <v>10590</v>
      </c>
      <c r="C86" s="2" t="s">
        <v>16223</v>
      </c>
      <c r="D86" s="2" t="n">
        <v>183.05035029</v>
      </c>
      <c r="E86" s="2" t="n">
        <v>6.54294105721477</v>
      </c>
      <c r="F86" s="2" t="s">
        <v>21435</v>
      </c>
      <c r="G86" s="2" t="n">
        <v>212368</v>
      </c>
      <c r="H86" s="3" t="str">
        <f>HYPERLINK("http://funmeta.oebiotech.com/network/212368", "http://funmeta.oebiotech.com/network/212368")</f>
      </c>
      <c r="I86" s="2" t="s">
        <v>21436</v>
      </c>
      <c r="J86" s="2"/>
      <c r="K86" s="2"/>
      <c r="L86" s="2"/>
      <c r="M86" s="2"/>
      <c r="N86" s="2" t="s">
        <v>21437</v>
      </c>
      <c r="O86" s="2"/>
      <c r="P86" s="2" t="s">
        <v>21438</v>
      </c>
      <c r="Q86" s="2" t="s">
        <v>21439</v>
      </c>
      <c r="R86" s="2" t="s">
        <v>355</v>
      </c>
      <c r="S86" s="2" t="s">
        <v>21173</v>
      </c>
      <c r="T86" s="2" t="s">
        <v>21440</v>
      </c>
      <c r="U86" s="2" t="s">
        <v>16224</v>
      </c>
      <c r="V86" s="2" t="s">
        <v>16225</v>
      </c>
      <c r="W86" s="2"/>
    </row>
    <row r="87">
      <c r="A87" s="2" t="n">
        <v>54</v>
      </c>
      <c r="B87" s="2" t="s">
        <v>10600</v>
      </c>
      <c r="C87" s="2" t="s">
        <v>16223</v>
      </c>
      <c r="D87" s="2" t="n">
        <v>183.05035029</v>
      </c>
      <c r="E87" s="2" t="n">
        <v>6.54294105721477</v>
      </c>
      <c r="F87" s="2" t="s">
        <v>21441</v>
      </c>
      <c r="G87" s="2" t="n">
        <v>213508</v>
      </c>
      <c r="H87" s="3" t="str">
        <f>HYPERLINK("http://funmeta.oebiotech.com/network/213508", "http://funmeta.oebiotech.com/network/213508")</f>
      </c>
      <c r="I87" s="2" t="s">
        <v>21442</v>
      </c>
      <c r="J87" s="2"/>
      <c r="K87" s="2"/>
      <c r="L87" s="2"/>
      <c r="M87" s="2"/>
      <c r="N87" s="2" t="s">
        <v>21443</v>
      </c>
      <c r="O87" s="2"/>
      <c r="P87" s="2" t="s">
        <v>21444</v>
      </c>
      <c r="Q87" s="2" t="s">
        <v>21445</v>
      </c>
      <c r="R87" s="2" t="s">
        <v>10455</v>
      </c>
      <c r="S87" s="2" t="s">
        <v>21446</v>
      </c>
      <c r="T87" s="2" t="s">
        <v>205</v>
      </c>
      <c r="U87" s="2" t="s">
        <v>16224</v>
      </c>
      <c r="V87" s="2" t="s">
        <v>16225</v>
      </c>
      <c r="W87" s="2"/>
    </row>
    <row r="88">
      <c r="A88" s="2" t="n">
        <v>54</v>
      </c>
      <c r="B88" s="2" t="s">
        <v>21447</v>
      </c>
      <c r="C88" s="2" t="s">
        <v>16223</v>
      </c>
      <c r="D88" s="2" t="n">
        <v>183.05035029</v>
      </c>
      <c r="E88" s="2" t="n">
        <v>6.54294105721477</v>
      </c>
      <c r="F88" s="2" t="s">
        <v>21448</v>
      </c>
      <c r="G88" s="2" t="n">
        <v>206928</v>
      </c>
      <c r="H88" s="3" t="str">
        <f>HYPERLINK("http://funmeta.oebiotech.com/network/206928", "http://funmeta.oebiotech.com/network/206928")</f>
      </c>
      <c r="I88" s="2" t="s">
        <v>21449</v>
      </c>
      <c r="J88" s="2"/>
      <c r="K88" s="2"/>
      <c r="L88" s="2"/>
      <c r="M88" s="2"/>
      <c r="N88" s="2" t="s">
        <v>21450</v>
      </c>
      <c r="O88" s="2"/>
      <c r="P88" s="2" t="s">
        <v>21451</v>
      </c>
      <c r="Q88" s="2" t="s">
        <v>21452</v>
      </c>
      <c r="R88" s="2" t="s">
        <v>36</v>
      </c>
      <c r="S88" s="2" t="s">
        <v>37</v>
      </c>
      <c r="T88" s="2" t="s">
        <v>1828</v>
      </c>
      <c r="U88" s="2" t="s">
        <v>16224</v>
      </c>
      <c r="V88" s="2" t="s">
        <v>16225</v>
      </c>
      <c r="W88" s="2"/>
    </row>
    <row r="89">
      <c r="A89" s="2" t="n">
        <v>55</v>
      </c>
      <c r="B89" s="2" t="s">
        <v>10610</v>
      </c>
      <c r="C89" s="2" t="s">
        <v>16235</v>
      </c>
      <c r="D89" s="2" t="n">
        <v>186.039698339</v>
      </c>
      <c r="E89" s="2" t="n">
        <v>3.15530506711327</v>
      </c>
      <c r="F89" s="2" t="s">
        <v>16237</v>
      </c>
      <c r="G89" s="2" t="n">
        <v>47522</v>
      </c>
      <c r="H89" s="3" t="str">
        <f>HYPERLINK("http://funmeta.oebiotech.com/network/47522", "http://funmeta.oebiotech.com/network/47522")</f>
      </c>
      <c r="I89" s="2" t="s">
        <v>16239</v>
      </c>
      <c r="J89" s="2" t="s">
        <v>16240</v>
      </c>
      <c r="K89" s="2"/>
      <c r="L89" s="2" t="s">
        <v>16241</v>
      </c>
      <c r="M89" s="2" t="s">
        <v>16242</v>
      </c>
      <c r="N89" s="2" t="s">
        <v>16243</v>
      </c>
      <c r="O89" s="2" t="s">
        <v>16244</v>
      </c>
      <c r="P89" s="2" t="s">
        <v>16245</v>
      </c>
      <c r="Q89" s="2" t="s">
        <v>16246</v>
      </c>
      <c r="R89" s="2" t="s">
        <v>49</v>
      </c>
      <c r="S89" s="2" t="s">
        <v>165</v>
      </c>
      <c r="T89" s="2" t="s">
        <v>166</v>
      </c>
      <c r="U89" s="2" t="s">
        <v>16236</v>
      </c>
      <c r="V89" s="2" t="s">
        <v>15649</v>
      </c>
      <c r="W89" s="2" t="s">
        <v>39</v>
      </c>
    </row>
    <row r="90">
      <c r="A90" s="2" t="n">
        <v>56</v>
      </c>
      <c r="B90" s="2" t="s">
        <v>10630</v>
      </c>
      <c r="C90" s="2" t="s">
        <v>16247</v>
      </c>
      <c r="D90" s="2" t="n">
        <v>187.042341356</v>
      </c>
      <c r="E90" s="2" t="n">
        <v>5.24017664553691</v>
      </c>
      <c r="F90" s="2" t="s">
        <v>16249</v>
      </c>
      <c r="G90" s="2" t="n">
        <v>256143</v>
      </c>
      <c r="H90" s="3" t="str">
        <f>HYPERLINK("http://funmeta.oebiotech.com/network/256143", "http://funmeta.oebiotech.com/network/256143")</f>
      </c>
      <c r="I90" s="2" t="s">
        <v>16251</v>
      </c>
      <c r="J90" s="2"/>
      <c r="K90" s="2"/>
      <c r="L90" s="2"/>
      <c r="M90" s="2"/>
      <c r="N90" s="2"/>
      <c r="O90" s="2"/>
      <c r="P90" s="2" t="s">
        <v>16252</v>
      </c>
      <c r="Q90" s="2" t="s">
        <v>16253</v>
      </c>
      <c r="R90" s="2" t="s">
        <v>355</v>
      </c>
      <c r="S90" s="2" t="s">
        <v>1713</v>
      </c>
      <c r="T90" s="2" t="s">
        <v>205</v>
      </c>
      <c r="U90" s="2" t="s">
        <v>16248</v>
      </c>
      <c r="V90" s="2" t="s">
        <v>15649</v>
      </c>
      <c r="W90" s="2"/>
    </row>
    <row r="91">
      <c r="A91" s="2" t="n">
        <v>57</v>
      </c>
      <c r="B91" s="2" t="s">
        <v>10663</v>
      </c>
      <c r="C91" s="2" t="s">
        <v>16254</v>
      </c>
      <c r="D91" s="2" t="n">
        <v>187.073102375</v>
      </c>
      <c r="E91" s="2" t="n">
        <v>4.96934383970759</v>
      </c>
      <c r="F91" s="2" t="s">
        <v>16256</v>
      </c>
      <c r="G91" s="2" t="n">
        <v>212592</v>
      </c>
      <c r="H91" s="3" t="str">
        <f>HYPERLINK("http://funmeta.oebiotech.com/network/212592", "http://funmeta.oebiotech.com/network/212592")</f>
      </c>
      <c r="I91" s="2" t="s">
        <v>16258</v>
      </c>
      <c r="J91" s="2"/>
      <c r="K91" s="2"/>
      <c r="L91" s="2"/>
      <c r="M91" s="2"/>
      <c r="N91" s="2"/>
      <c r="O91" s="2"/>
      <c r="P91" s="2" t="s">
        <v>16259</v>
      </c>
      <c r="Q91" s="2" t="s">
        <v>16260</v>
      </c>
      <c r="R91" s="2" t="s">
        <v>64</v>
      </c>
      <c r="S91" s="2" t="s">
        <v>65</v>
      </c>
      <c r="T91" s="2" t="s">
        <v>10788</v>
      </c>
      <c r="U91" s="2" t="s">
        <v>16255</v>
      </c>
      <c r="V91" s="2" t="s">
        <v>15919</v>
      </c>
      <c r="W91" s="2"/>
    </row>
    <row r="92">
      <c r="A92" s="2" t="n">
        <v>58</v>
      </c>
      <c r="B92" s="2" t="s">
        <v>10664</v>
      </c>
      <c r="C92" s="2" t="s">
        <v>16261</v>
      </c>
      <c r="D92" s="2" t="n">
        <v>188.143964235</v>
      </c>
      <c r="E92" s="2" t="n">
        <v>6.29595922057498</v>
      </c>
      <c r="F92" s="2" t="s">
        <v>16263</v>
      </c>
      <c r="G92" s="2" t="n">
        <v>53194</v>
      </c>
      <c r="H92" s="3" t="str">
        <f>HYPERLINK("http://funmeta.oebiotech.com/network/53194", "http://funmeta.oebiotech.com/network/53194")</f>
      </c>
      <c r="I92" s="2" t="s">
        <v>16265</v>
      </c>
      <c r="J92" s="2" t="s">
        <v>16266</v>
      </c>
      <c r="K92" s="2"/>
      <c r="L92" s="2" t="s">
        <v>16267</v>
      </c>
      <c r="M92" s="2" t="s">
        <v>16268</v>
      </c>
      <c r="N92" s="2" t="s">
        <v>16269</v>
      </c>
      <c r="O92" s="2" t="s">
        <v>16270</v>
      </c>
      <c r="P92" s="2" t="s">
        <v>16271</v>
      </c>
      <c r="Q92" s="2" t="s">
        <v>16272</v>
      </c>
      <c r="R92" s="2" t="s">
        <v>64</v>
      </c>
      <c r="S92" s="2" t="s">
        <v>65</v>
      </c>
      <c r="T92" s="2" t="s">
        <v>91</v>
      </c>
      <c r="U92" s="2" t="s">
        <v>16262</v>
      </c>
      <c r="V92" s="2" t="s">
        <v>15611</v>
      </c>
      <c r="W92" s="2" t="s">
        <v>39</v>
      </c>
    </row>
    <row r="93">
      <c r="A93" s="2" t="n">
        <v>59</v>
      </c>
      <c r="B93" s="2" t="s">
        <v>10665</v>
      </c>
      <c r="C93" s="2" t="s">
        <v>16273</v>
      </c>
      <c r="D93" s="2" t="n">
        <v>189.052212186</v>
      </c>
      <c r="E93" s="2" t="n">
        <v>5.44986046466908</v>
      </c>
      <c r="F93" s="2" t="s">
        <v>21453</v>
      </c>
      <c r="G93" s="2" t="n">
        <v>47014</v>
      </c>
      <c r="H93" s="3" t="str">
        <f>HYPERLINK("http://funmeta.oebiotech.com/network/47014", "http://funmeta.oebiotech.com/network/47014")</f>
      </c>
      <c r="I93" s="2" t="s">
        <v>21454</v>
      </c>
      <c r="J93" s="2" t="s">
        <v>21455</v>
      </c>
      <c r="K93" s="2"/>
      <c r="L93" s="2" t="s">
        <v>21456</v>
      </c>
      <c r="M93" s="2" t="s">
        <v>21457</v>
      </c>
      <c r="N93" s="2" t="s">
        <v>21458</v>
      </c>
      <c r="O93" s="2" t="s">
        <v>21459</v>
      </c>
      <c r="P93" s="2" t="s">
        <v>21460</v>
      </c>
      <c r="Q93" s="2" t="s">
        <v>21461</v>
      </c>
      <c r="R93" s="2" t="s">
        <v>2509</v>
      </c>
      <c r="S93" s="2" t="s">
        <v>6094</v>
      </c>
      <c r="T93" s="2" t="s">
        <v>205</v>
      </c>
      <c r="U93" s="2" t="s">
        <v>16274</v>
      </c>
      <c r="V93" s="2" t="s">
        <v>15858</v>
      </c>
      <c r="W93" s="2" t="s">
        <v>39</v>
      </c>
    </row>
    <row r="94">
      <c r="A94" s="2" t="n">
        <v>59</v>
      </c>
      <c r="B94" s="2" t="s">
        <v>21462</v>
      </c>
      <c r="C94" s="2" t="s">
        <v>16273</v>
      </c>
      <c r="D94" s="2" t="n">
        <v>189.052212186</v>
      </c>
      <c r="E94" s="2" t="n">
        <v>5.44986046466908</v>
      </c>
      <c r="F94" s="2" t="s">
        <v>21463</v>
      </c>
      <c r="G94" s="2" t="n">
        <v>47094</v>
      </c>
      <c r="H94" s="3" t="str">
        <f>HYPERLINK("http://funmeta.oebiotech.com/network/47094", "http://funmeta.oebiotech.com/network/47094")</f>
      </c>
      <c r="I94" s="2" t="s">
        <v>21464</v>
      </c>
      <c r="J94" s="2" t="s">
        <v>21465</v>
      </c>
      <c r="K94" s="2"/>
      <c r="L94" s="2" t="s">
        <v>21466</v>
      </c>
      <c r="M94" s="2" t="s">
        <v>21467</v>
      </c>
      <c r="N94" s="2" t="s">
        <v>21468</v>
      </c>
      <c r="O94" s="2" t="s">
        <v>21469</v>
      </c>
      <c r="P94" s="2" t="s">
        <v>21470</v>
      </c>
      <c r="Q94" s="2" t="s">
        <v>21471</v>
      </c>
      <c r="R94" s="2" t="s">
        <v>2509</v>
      </c>
      <c r="S94" s="2" t="s">
        <v>6094</v>
      </c>
      <c r="T94" s="2" t="s">
        <v>205</v>
      </c>
      <c r="U94" s="2" t="s">
        <v>16274</v>
      </c>
      <c r="V94" s="2" t="s">
        <v>15858</v>
      </c>
      <c r="W94" s="2" t="s">
        <v>39</v>
      </c>
    </row>
    <row r="95">
      <c r="A95" s="2" t="n">
        <v>59</v>
      </c>
      <c r="B95" s="2" t="s">
        <v>21472</v>
      </c>
      <c r="C95" s="2" t="s">
        <v>16273</v>
      </c>
      <c r="D95" s="2" t="n">
        <v>189.052212186</v>
      </c>
      <c r="E95" s="2" t="n">
        <v>5.44986046466908</v>
      </c>
      <c r="F95" s="2" t="s">
        <v>21473</v>
      </c>
      <c r="G95" s="2" t="n">
        <v>47199</v>
      </c>
      <c r="H95" s="3" t="str">
        <f>HYPERLINK("http://funmeta.oebiotech.com/network/47199", "http://funmeta.oebiotech.com/network/47199")</f>
      </c>
      <c r="I95" s="2" t="s">
        <v>21474</v>
      </c>
      <c r="J95" s="2" t="s">
        <v>21475</v>
      </c>
      <c r="K95" s="2"/>
      <c r="L95" s="2" t="s">
        <v>21466</v>
      </c>
      <c r="M95" s="2" t="s">
        <v>21476</v>
      </c>
      <c r="N95" s="2" t="s">
        <v>21477</v>
      </c>
      <c r="O95" s="2" t="s">
        <v>21478</v>
      </c>
      <c r="P95" s="2" t="s">
        <v>21479</v>
      </c>
      <c r="Q95" s="2" t="s">
        <v>21480</v>
      </c>
      <c r="R95" s="2" t="s">
        <v>2509</v>
      </c>
      <c r="S95" s="2" t="s">
        <v>6094</v>
      </c>
      <c r="T95" s="2" t="s">
        <v>205</v>
      </c>
      <c r="U95" s="2" t="s">
        <v>16274</v>
      </c>
      <c r="V95" s="2" t="s">
        <v>15858</v>
      </c>
      <c r="W95" s="2" t="s">
        <v>39</v>
      </c>
    </row>
    <row r="96">
      <c r="A96" s="2" t="n">
        <v>60</v>
      </c>
      <c r="B96" s="2" t="s">
        <v>10666</v>
      </c>
      <c r="C96" s="2" t="s">
        <v>16286</v>
      </c>
      <c r="D96" s="2" t="n">
        <v>189.134601776</v>
      </c>
      <c r="E96" s="2" t="n">
        <v>0.466628638270566</v>
      </c>
      <c r="F96" s="2" t="s">
        <v>21481</v>
      </c>
      <c r="G96" s="2" t="n">
        <v>47150</v>
      </c>
      <c r="H96" s="3" t="str">
        <f>HYPERLINK("http://funmeta.oebiotech.com/network/47150", "http://funmeta.oebiotech.com/network/47150")</f>
      </c>
      <c r="I96" s="2" t="s">
        <v>21482</v>
      </c>
      <c r="J96" s="2" t="s">
        <v>21483</v>
      </c>
      <c r="K96" s="2"/>
      <c r="L96" s="2" t="s">
        <v>21484</v>
      </c>
      <c r="M96" s="2" t="s">
        <v>21485</v>
      </c>
      <c r="N96" s="2" t="s">
        <v>21486</v>
      </c>
      <c r="O96" s="2" t="s">
        <v>21487</v>
      </c>
      <c r="P96" s="2" t="s">
        <v>21488</v>
      </c>
      <c r="Q96" s="2" t="s">
        <v>21489</v>
      </c>
      <c r="R96" s="2" t="s">
        <v>49</v>
      </c>
      <c r="S96" s="2" t="s">
        <v>165</v>
      </c>
      <c r="T96" s="2" t="s">
        <v>166</v>
      </c>
      <c r="U96" s="2" t="s">
        <v>16287</v>
      </c>
      <c r="V96" s="2" t="s">
        <v>15649</v>
      </c>
      <c r="W96" s="2" t="s">
        <v>39</v>
      </c>
    </row>
    <row r="97">
      <c r="A97" s="2" t="n">
        <v>60</v>
      </c>
      <c r="B97" s="2" t="s">
        <v>21490</v>
      </c>
      <c r="C97" s="2" t="s">
        <v>16286</v>
      </c>
      <c r="D97" s="2" t="n">
        <v>189.134601776</v>
      </c>
      <c r="E97" s="2" t="n">
        <v>0.466628638270566</v>
      </c>
      <c r="F97" s="2" t="s">
        <v>21491</v>
      </c>
      <c r="G97" s="2" t="n">
        <v>54374</v>
      </c>
      <c r="H97" s="3" t="str">
        <f>HYPERLINK("http://funmeta.oebiotech.com/network/54374", "http://funmeta.oebiotech.com/network/54374")</f>
      </c>
      <c r="I97" s="2" t="s">
        <v>21492</v>
      </c>
      <c r="J97" s="2"/>
      <c r="K97" s="2"/>
      <c r="L97" s="2" t="s">
        <v>21493</v>
      </c>
      <c r="M97" s="2" t="s">
        <v>21494</v>
      </c>
      <c r="N97" s="2" t="s">
        <v>21495</v>
      </c>
      <c r="O97" s="2" t="s">
        <v>21496</v>
      </c>
      <c r="P97" s="2" t="s">
        <v>21497</v>
      </c>
      <c r="Q97" s="2" t="s">
        <v>21498</v>
      </c>
      <c r="R97" s="2" t="s">
        <v>49</v>
      </c>
      <c r="S97" s="2" t="s">
        <v>165</v>
      </c>
      <c r="T97" s="2" t="s">
        <v>166</v>
      </c>
      <c r="U97" s="2" t="s">
        <v>16287</v>
      </c>
      <c r="V97" s="2" t="s">
        <v>15649</v>
      </c>
      <c r="W97" s="2" t="s">
        <v>39</v>
      </c>
    </row>
    <row r="98">
      <c r="A98" s="2" t="n">
        <v>61</v>
      </c>
      <c r="B98" s="2" t="s">
        <v>10667</v>
      </c>
      <c r="C98" s="2" t="s">
        <v>16298</v>
      </c>
      <c r="D98" s="2" t="n">
        <v>199.084335766</v>
      </c>
      <c r="E98" s="2" t="n">
        <v>2.60923309585497</v>
      </c>
      <c r="F98" s="2" t="s">
        <v>16300</v>
      </c>
      <c r="G98" s="2" t="n">
        <v>47774</v>
      </c>
      <c r="H98" s="3" t="str">
        <f>HYPERLINK("http://funmeta.oebiotech.com/network/47774", "http://funmeta.oebiotech.com/network/47774")</f>
      </c>
      <c r="I98" s="2" t="s">
        <v>16302</v>
      </c>
      <c r="J98" s="2" t="s">
        <v>16303</v>
      </c>
      <c r="K98" s="2"/>
      <c r="L98" s="2" t="s">
        <v>16304</v>
      </c>
      <c r="M98" s="2" t="s">
        <v>16305</v>
      </c>
      <c r="N98" s="2" t="s">
        <v>16306</v>
      </c>
      <c r="O98" s="2" t="s">
        <v>16307</v>
      </c>
      <c r="P98" s="2" t="s">
        <v>16308</v>
      </c>
      <c r="Q98" s="2" t="s">
        <v>16309</v>
      </c>
      <c r="R98" s="2" t="s">
        <v>49</v>
      </c>
      <c r="S98" s="2" t="s">
        <v>165</v>
      </c>
      <c r="T98" s="2" t="s">
        <v>166</v>
      </c>
      <c r="U98" s="2" t="s">
        <v>16299</v>
      </c>
      <c r="V98" s="2" t="s">
        <v>15919</v>
      </c>
      <c r="W98" s="2" t="s">
        <v>39</v>
      </c>
    </row>
    <row r="99">
      <c r="A99" s="2" t="n">
        <v>62</v>
      </c>
      <c r="B99" s="2" t="s">
        <v>10668</v>
      </c>
      <c r="C99" s="2" t="s">
        <v>16310</v>
      </c>
      <c r="D99" s="2" t="n">
        <v>201.088597692</v>
      </c>
      <c r="E99" s="2" t="n">
        <v>2.53600038449552</v>
      </c>
      <c r="F99" s="2" t="s">
        <v>21499</v>
      </c>
      <c r="G99" s="2" t="n">
        <v>56329</v>
      </c>
      <c r="H99" s="3" t="str">
        <f>HYPERLINK("http://funmeta.oebiotech.com/network/56329", "http://funmeta.oebiotech.com/network/56329")</f>
      </c>
      <c r="I99" s="2" t="s">
        <v>21500</v>
      </c>
      <c r="J99" s="2" t="s">
        <v>21501</v>
      </c>
      <c r="K99" s="2"/>
      <c r="L99" s="2" t="s">
        <v>21502</v>
      </c>
      <c r="M99" s="2" t="s">
        <v>21503</v>
      </c>
      <c r="N99" s="2" t="s">
        <v>21504</v>
      </c>
      <c r="O99" s="2" t="s">
        <v>21505</v>
      </c>
      <c r="P99" s="2" t="s">
        <v>21506</v>
      </c>
      <c r="Q99" s="2" t="s">
        <v>21507</v>
      </c>
      <c r="R99" s="2" t="s">
        <v>502</v>
      </c>
      <c r="S99" s="2" t="s">
        <v>503</v>
      </c>
      <c r="T99" s="2" t="s">
        <v>9010</v>
      </c>
      <c r="U99" s="2" t="s">
        <v>16311</v>
      </c>
      <c r="V99" s="2" t="s">
        <v>15858</v>
      </c>
      <c r="W99" s="2" t="s">
        <v>39</v>
      </c>
    </row>
    <row r="100">
      <c r="A100" s="2" t="n">
        <v>62</v>
      </c>
      <c r="B100" s="2" t="s">
        <v>21508</v>
      </c>
      <c r="C100" s="2" t="s">
        <v>16310</v>
      </c>
      <c r="D100" s="2" t="n">
        <v>201.088597692</v>
      </c>
      <c r="E100" s="2" t="n">
        <v>2.53600038449552</v>
      </c>
      <c r="F100" s="2" t="s">
        <v>21509</v>
      </c>
      <c r="G100" s="2" t="n">
        <v>64635</v>
      </c>
      <c r="H100" s="3" t="str">
        <f>HYPERLINK("http://funmeta.oebiotech.com/network/64635", "http://funmeta.oebiotech.com/network/64635")</f>
      </c>
      <c r="I100" s="2" t="s">
        <v>21510</v>
      </c>
      <c r="J100" s="2"/>
      <c r="K100" s="2"/>
      <c r="L100" s="2" t="s">
        <v>21511</v>
      </c>
      <c r="M100" s="2" t="s">
        <v>21512</v>
      </c>
      <c r="N100" s="2" t="s">
        <v>21513</v>
      </c>
      <c r="O100" s="2" t="s">
        <v>21514</v>
      </c>
      <c r="P100" s="2" t="s">
        <v>21515</v>
      </c>
      <c r="Q100" s="2" t="s">
        <v>21516</v>
      </c>
      <c r="R100" s="2" t="s">
        <v>502</v>
      </c>
      <c r="S100" s="2" t="s">
        <v>503</v>
      </c>
      <c r="T100" s="2" t="s">
        <v>9010</v>
      </c>
      <c r="U100" s="2" t="s">
        <v>16311</v>
      </c>
      <c r="V100" s="2" t="s">
        <v>15858</v>
      </c>
      <c r="W100" s="2" t="s">
        <v>39</v>
      </c>
    </row>
    <row r="101">
      <c r="A101" s="2" t="n">
        <v>62</v>
      </c>
      <c r="B101" s="2" t="s">
        <v>21517</v>
      </c>
      <c r="C101" s="2" t="s">
        <v>16310</v>
      </c>
      <c r="D101" s="2" t="n">
        <v>201.088597692</v>
      </c>
      <c r="E101" s="2" t="n">
        <v>2.53600038449552</v>
      </c>
      <c r="F101" s="2" t="s">
        <v>21518</v>
      </c>
      <c r="G101" s="2" t="n">
        <v>57625</v>
      </c>
      <c r="H101" s="3" t="str">
        <f>HYPERLINK("http://funmeta.oebiotech.com/network/57625", "http://funmeta.oebiotech.com/network/57625")</f>
      </c>
      <c r="I101" s="2" t="s">
        <v>21519</v>
      </c>
      <c r="J101" s="2" t="s">
        <v>21520</v>
      </c>
      <c r="K101" s="2"/>
      <c r="L101" s="2" t="s">
        <v>21521</v>
      </c>
      <c r="M101" s="2" t="s">
        <v>21522</v>
      </c>
      <c r="N101" s="2" t="s">
        <v>21523</v>
      </c>
      <c r="O101" s="2" t="s">
        <v>21524</v>
      </c>
      <c r="P101" s="2" t="s">
        <v>21525</v>
      </c>
      <c r="Q101" s="2" t="s">
        <v>21526</v>
      </c>
      <c r="R101" s="2" t="s">
        <v>502</v>
      </c>
      <c r="S101" s="2" t="s">
        <v>503</v>
      </c>
      <c r="T101" s="2" t="s">
        <v>205</v>
      </c>
      <c r="U101" s="2" t="s">
        <v>16311</v>
      </c>
      <c r="V101" s="2" t="s">
        <v>15858</v>
      </c>
      <c r="W101" s="2" t="s">
        <v>39</v>
      </c>
    </row>
    <row r="102">
      <c r="A102" s="2" t="n">
        <v>63</v>
      </c>
      <c r="B102" s="2" t="s">
        <v>10669</v>
      </c>
      <c r="C102" s="2" t="s">
        <v>16323</v>
      </c>
      <c r="D102" s="2" t="n">
        <v>203.08150357</v>
      </c>
      <c r="E102" s="2" t="n">
        <v>11.3707422423321</v>
      </c>
      <c r="F102" s="2" t="s">
        <v>16325</v>
      </c>
      <c r="G102" s="2" t="n">
        <v>213014</v>
      </c>
      <c r="H102" s="3" t="str">
        <f>HYPERLINK("http://funmeta.oebiotech.com/network/213014", "http://funmeta.oebiotech.com/network/213014")</f>
      </c>
      <c r="I102" s="2" t="s">
        <v>16327</v>
      </c>
      <c r="J102" s="2"/>
      <c r="K102" s="2"/>
      <c r="L102" s="2"/>
      <c r="M102" s="2"/>
      <c r="N102" s="2" t="s">
        <v>16328</v>
      </c>
      <c r="O102" s="2"/>
      <c r="P102" s="2" t="s">
        <v>16329</v>
      </c>
      <c r="Q102" s="2" t="s">
        <v>16330</v>
      </c>
      <c r="R102" s="2" t="s">
        <v>355</v>
      </c>
      <c r="S102" s="2" t="s">
        <v>3533</v>
      </c>
      <c r="T102" s="2" t="s">
        <v>3534</v>
      </c>
      <c r="U102" s="2" t="s">
        <v>16324</v>
      </c>
      <c r="V102" s="2" t="s">
        <v>15649</v>
      </c>
      <c r="W102" s="2"/>
    </row>
    <row r="103">
      <c r="A103" s="2" t="n">
        <v>64</v>
      </c>
      <c r="B103" s="2" t="s">
        <v>10670</v>
      </c>
      <c r="C103" s="2" t="s">
        <v>16331</v>
      </c>
      <c r="D103" s="2" t="n">
        <v>204.105864169</v>
      </c>
      <c r="E103" s="2" t="n">
        <v>5.82384228944225</v>
      </c>
      <c r="F103" s="2" t="s">
        <v>16333</v>
      </c>
      <c r="G103" s="2" t="n">
        <v>199905</v>
      </c>
      <c r="H103" s="3" t="str">
        <f>HYPERLINK("http://funmeta.oebiotech.com/network/199905", "http://funmeta.oebiotech.com/network/199905")</f>
      </c>
      <c r="I103" s="2" t="s">
        <v>16335</v>
      </c>
      <c r="J103" s="2" t="s">
        <v>16336</v>
      </c>
      <c r="K103" s="2"/>
      <c r="L103" s="2"/>
      <c r="M103" s="2"/>
      <c r="N103" s="2" t="s">
        <v>16337</v>
      </c>
      <c r="O103" s="2"/>
      <c r="P103" s="2" t="s">
        <v>16338</v>
      </c>
      <c r="Q103" s="2" t="s">
        <v>16339</v>
      </c>
      <c r="R103" s="2" t="s">
        <v>36</v>
      </c>
      <c r="S103" s="2" t="s">
        <v>37</v>
      </c>
      <c r="T103" s="2" t="s">
        <v>16340</v>
      </c>
      <c r="U103" s="2" t="s">
        <v>16332</v>
      </c>
      <c r="V103" s="2" t="s">
        <v>15611</v>
      </c>
      <c r="W103" s="2"/>
    </row>
    <row r="104">
      <c r="A104" s="2" t="n">
        <v>65</v>
      </c>
      <c r="B104" s="2" t="s">
        <v>10671</v>
      </c>
      <c r="C104" s="2" t="s">
        <v>16341</v>
      </c>
      <c r="D104" s="2" t="n">
        <v>205.057613784</v>
      </c>
      <c r="E104" s="2" t="n">
        <v>0.344389012189302</v>
      </c>
      <c r="F104" s="2" t="s">
        <v>16343</v>
      </c>
      <c r="G104" s="2" t="n">
        <v>200613</v>
      </c>
      <c r="H104" s="3" t="str">
        <f>HYPERLINK("http://funmeta.oebiotech.com/network/200613", "http://funmeta.oebiotech.com/network/200613")</f>
      </c>
      <c r="I104" s="2" t="s">
        <v>16345</v>
      </c>
      <c r="J104" s="2" t="s">
        <v>16346</v>
      </c>
      <c r="K104" s="2"/>
      <c r="L104" s="2" t="s">
        <v>16347</v>
      </c>
      <c r="M104" s="2"/>
      <c r="N104" s="2" t="s">
        <v>16348</v>
      </c>
      <c r="O104" s="2" t="s">
        <v>16349</v>
      </c>
      <c r="P104" s="2" t="s">
        <v>16350</v>
      </c>
      <c r="Q104" s="2" t="s">
        <v>16351</v>
      </c>
      <c r="R104" s="2" t="s">
        <v>355</v>
      </c>
      <c r="S104" s="2" t="s">
        <v>3110</v>
      </c>
      <c r="T104" s="2" t="s">
        <v>3111</v>
      </c>
      <c r="U104" s="2" t="s">
        <v>16342</v>
      </c>
      <c r="V104" s="2" t="s">
        <v>15778</v>
      </c>
      <c r="W104" s="2" t="s">
        <v>39</v>
      </c>
    </row>
    <row r="105">
      <c r="A105" s="2" t="n">
        <v>66</v>
      </c>
      <c r="B105" s="2" t="s">
        <v>10672</v>
      </c>
      <c r="C105" s="2" t="s">
        <v>16352</v>
      </c>
      <c r="D105" s="2" t="n">
        <v>208.064393761</v>
      </c>
      <c r="E105" s="2" t="n">
        <v>5.82906009019038</v>
      </c>
      <c r="F105" s="2" t="s">
        <v>16354</v>
      </c>
      <c r="G105" s="2" t="n">
        <v>208939</v>
      </c>
      <c r="H105" s="3" t="str">
        <f>HYPERLINK("http://funmeta.oebiotech.com/network/208939", "http://funmeta.oebiotech.com/network/208939")</f>
      </c>
      <c r="I105" s="2" t="s">
        <v>16356</v>
      </c>
      <c r="J105" s="2"/>
      <c r="K105" s="2"/>
      <c r="L105" s="2"/>
      <c r="M105" s="2"/>
      <c r="N105" s="2" t="s">
        <v>16357</v>
      </c>
      <c r="O105" s="2"/>
      <c r="P105" s="2" t="s">
        <v>16358</v>
      </c>
      <c r="Q105" s="2" t="s">
        <v>16359</v>
      </c>
      <c r="R105" s="2" t="s">
        <v>355</v>
      </c>
      <c r="S105" s="2" t="s">
        <v>6690</v>
      </c>
      <c r="T105" s="2" t="s">
        <v>6691</v>
      </c>
      <c r="U105" s="2" t="s">
        <v>16353</v>
      </c>
      <c r="V105" s="2" t="s">
        <v>15611</v>
      </c>
      <c r="W105" s="2"/>
    </row>
    <row r="106">
      <c r="A106" s="2" t="n">
        <v>67</v>
      </c>
      <c r="B106" s="2" t="s">
        <v>10673</v>
      </c>
      <c r="C106" s="2" t="s">
        <v>16360</v>
      </c>
      <c r="D106" s="2" t="n">
        <v>208.117948659</v>
      </c>
      <c r="E106" s="2" t="n">
        <v>0.964508073026151</v>
      </c>
      <c r="F106" s="2" t="s">
        <v>16362</v>
      </c>
      <c r="G106" s="2" t="n">
        <v>52839</v>
      </c>
      <c r="H106" s="3" t="str">
        <f>HYPERLINK("http://funmeta.oebiotech.com/network/52839", "http://funmeta.oebiotech.com/network/52839")</f>
      </c>
      <c r="I106" s="2" t="s">
        <v>16364</v>
      </c>
      <c r="J106" s="2" t="s">
        <v>16365</v>
      </c>
      <c r="K106" s="2"/>
      <c r="L106" s="2" t="s">
        <v>16366</v>
      </c>
      <c r="M106" s="2" t="s">
        <v>16367</v>
      </c>
      <c r="N106" s="2" t="s">
        <v>16368</v>
      </c>
      <c r="O106" s="2" t="s">
        <v>16369</v>
      </c>
      <c r="P106" s="2" t="s">
        <v>16370</v>
      </c>
      <c r="Q106" s="2" t="s">
        <v>16371</v>
      </c>
      <c r="R106" s="2" t="s">
        <v>355</v>
      </c>
      <c r="S106" s="2" t="s">
        <v>1580</v>
      </c>
      <c r="T106" s="2" t="s">
        <v>205</v>
      </c>
      <c r="U106" s="2" t="s">
        <v>16361</v>
      </c>
      <c r="V106" s="2" t="s">
        <v>15649</v>
      </c>
      <c r="W106" s="2" t="s">
        <v>39</v>
      </c>
    </row>
    <row r="107">
      <c r="A107" s="2" t="n">
        <v>68</v>
      </c>
      <c r="B107" s="2" t="s">
        <v>10697</v>
      </c>
      <c r="C107" s="2" t="s">
        <v>16372</v>
      </c>
      <c r="D107" s="2" t="n">
        <v>208.976615175</v>
      </c>
      <c r="E107" s="2" t="n">
        <v>18.3560830213029</v>
      </c>
      <c r="F107" s="2" t="s">
        <v>16374</v>
      </c>
      <c r="G107" s="2" t="n">
        <v>201744</v>
      </c>
      <c r="H107" s="3" t="str">
        <f>HYPERLINK("http://funmeta.oebiotech.com/network/201744", "http://funmeta.oebiotech.com/network/201744")</f>
      </c>
      <c r="I107" s="2" t="s">
        <v>16376</v>
      </c>
      <c r="J107" s="2" t="s">
        <v>16377</v>
      </c>
      <c r="K107" s="2"/>
      <c r="L107" s="2" t="s">
        <v>16378</v>
      </c>
      <c r="M107" s="2" t="s">
        <v>16379</v>
      </c>
      <c r="N107" s="2" t="s">
        <v>16380</v>
      </c>
      <c r="O107" s="2" t="s">
        <v>16381</v>
      </c>
      <c r="P107" s="2" t="s">
        <v>16382</v>
      </c>
      <c r="Q107" s="2" t="s">
        <v>16383</v>
      </c>
      <c r="R107" s="2" t="s">
        <v>502</v>
      </c>
      <c r="S107" s="2" t="s">
        <v>503</v>
      </c>
      <c r="T107" s="2" t="s">
        <v>2313</v>
      </c>
      <c r="U107" s="2" t="s">
        <v>16373</v>
      </c>
      <c r="V107" s="2" t="s">
        <v>15919</v>
      </c>
      <c r="W107" s="2" t="s">
        <v>39</v>
      </c>
    </row>
    <row r="108">
      <c r="A108" s="2" t="n">
        <v>69</v>
      </c>
      <c r="B108" s="2" t="s">
        <v>10724</v>
      </c>
      <c r="C108" s="2" t="s">
        <v>16384</v>
      </c>
      <c r="D108" s="2" t="n">
        <v>209.9596205</v>
      </c>
      <c r="E108" s="2" t="n">
        <v>1.21787391505798</v>
      </c>
      <c r="F108" s="2" t="s">
        <v>16386</v>
      </c>
      <c r="G108" s="2" t="n">
        <v>202181</v>
      </c>
      <c r="H108" s="3" t="str">
        <f>HYPERLINK("http://funmeta.oebiotech.com/network/202181", "http://funmeta.oebiotech.com/network/202181")</f>
      </c>
      <c r="I108" s="2" t="s">
        <v>16388</v>
      </c>
      <c r="J108" s="2"/>
      <c r="K108" s="2"/>
      <c r="L108" s="2"/>
      <c r="M108" s="2"/>
      <c r="N108" s="2" t="s">
        <v>16389</v>
      </c>
      <c r="O108" s="2"/>
      <c r="P108" s="2" t="s">
        <v>16390</v>
      </c>
      <c r="Q108" s="2" t="s">
        <v>16391</v>
      </c>
      <c r="R108" s="2" t="s">
        <v>355</v>
      </c>
      <c r="S108" s="2" t="s">
        <v>16392</v>
      </c>
      <c r="T108" s="2" t="s">
        <v>16393</v>
      </c>
      <c r="U108" s="2" t="s">
        <v>16385</v>
      </c>
      <c r="V108" s="2" t="s">
        <v>15858</v>
      </c>
      <c r="W108" s="2"/>
    </row>
    <row r="109">
      <c r="A109" s="2" t="n">
        <v>70</v>
      </c>
      <c r="B109" s="2" t="s">
        <v>10725</v>
      </c>
      <c r="C109" s="2" t="s">
        <v>16394</v>
      </c>
      <c r="D109" s="2" t="n">
        <v>210.0680177</v>
      </c>
      <c r="E109" s="2" t="n">
        <v>7.81566819863786</v>
      </c>
      <c r="F109" s="2" t="s">
        <v>16396</v>
      </c>
      <c r="G109" s="2" t="n">
        <v>203581</v>
      </c>
      <c r="H109" s="3" t="str">
        <f>HYPERLINK("http://funmeta.oebiotech.com/network/203581", "http://funmeta.oebiotech.com/network/203581")</f>
      </c>
      <c r="I109" s="2" t="s">
        <v>16398</v>
      </c>
      <c r="J109" s="2"/>
      <c r="K109" s="2"/>
      <c r="L109" s="2"/>
      <c r="M109" s="2"/>
      <c r="N109" s="2" t="s">
        <v>16399</v>
      </c>
      <c r="O109" s="2"/>
      <c r="P109" s="2" t="s">
        <v>16400</v>
      </c>
      <c r="Q109" s="2" t="s">
        <v>16401</v>
      </c>
      <c r="R109" s="2" t="s">
        <v>502</v>
      </c>
      <c r="S109" s="2" t="s">
        <v>503</v>
      </c>
      <c r="T109" s="2" t="s">
        <v>2313</v>
      </c>
      <c r="U109" s="2" t="s">
        <v>16395</v>
      </c>
      <c r="V109" s="2" t="s">
        <v>15649</v>
      </c>
      <c r="W109" s="2"/>
    </row>
    <row r="110">
      <c r="A110" s="2" t="n">
        <v>71</v>
      </c>
      <c r="B110" s="2" t="s">
        <v>10744</v>
      </c>
      <c r="C110" s="2" t="s">
        <v>16402</v>
      </c>
      <c r="D110" s="2" t="n">
        <v>210.098550614</v>
      </c>
      <c r="E110" s="2" t="n">
        <v>2.29392400558591</v>
      </c>
      <c r="F110" s="2" t="s">
        <v>16404</v>
      </c>
      <c r="G110" s="2" t="n">
        <v>205701</v>
      </c>
      <c r="H110" s="3" t="str">
        <f>HYPERLINK("http://funmeta.oebiotech.com/network/205701", "http://funmeta.oebiotech.com/network/205701")</f>
      </c>
      <c r="I110" s="2" t="s">
        <v>16406</v>
      </c>
      <c r="J110" s="2"/>
      <c r="K110" s="2"/>
      <c r="L110" s="2"/>
      <c r="M110" s="2"/>
      <c r="N110" s="2" t="s">
        <v>16407</v>
      </c>
      <c r="O110" s="2"/>
      <c r="P110" s="2" t="s">
        <v>16408</v>
      </c>
      <c r="Q110" s="2" t="s">
        <v>16409</v>
      </c>
      <c r="R110" s="2" t="s">
        <v>355</v>
      </c>
      <c r="S110" s="2" t="s">
        <v>466</v>
      </c>
      <c r="T110" s="2" t="s">
        <v>467</v>
      </c>
      <c r="U110" s="2" t="s">
        <v>16403</v>
      </c>
      <c r="V110" s="2" t="s">
        <v>15649</v>
      </c>
      <c r="W110" s="2"/>
    </row>
    <row r="111">
      <c r="A111" s="2" t="n">
        <v>72</v>
      </c>
      <c r="B111" s="2" t="s">
        <v>10756</v>
      </c>
      <c r="C111" s="2" t="s">
        <v>16410</v>
      </c>
      <c r="D111" s="2" t="n">
        <v>211.06009943</v>
      </c>
      <c r="E111" s="2" t="n">
        <v>1.19895713009185</v>
      </c>
      <c r="F111" s="2" t="s">
        <v>16412</v>
      </c>
      <c r="G111" s="2" t="n">
        <v>59351</v>
      </c>
      <c r="H111" s="3" t="str">
        <f>HYPERLINK("http://funmeta.oebiotech.com/network/59351", "http://funmeta.oebiotech.com/network/59351")</f>
      </c>
      <c r="I111" s="2" t="s">
        <v>16414</v>
      </c>
      <c r="J111" s="2"/>
      <c r="K111" s="2"/>
      <c r="L111" s="2" t="s">
        <v>16415</v>
      </c>
      <c r="M111" s="2" t="s">
        <v>16416</v>
      </c>
      <c r="N111" s="2" t="s">
        <v>16417</v>
      </c>
      <c r="O111" s="2" t="s">
        <v>16418</v>
      </c>
      <c r="P111" s="2" t="s">
        <v>16419</v>
      </c>
      <c r="Q111" s="2" t="s">
        <v>16420</v>
      </c>
      <c r="R111" s="2" t="s">
        <v>2509</v>
      </c>
      <c r="S111" s="2" t="s">
        <v>4528</v>
      </c>
      <c r="T111" s="2" t="s">
        <v>4529</v>
      </c>
      <c r="U111" s="2" t="s">
        <v>16411</v>
      </c>
      <c r="V111" s="2" t="s">
        <v>15649</v>
      </c>
      <c r="W111" s="2" t="s">
        <v>39</v>
      </c>
    </row>
    <row r="112">
      <c r="A112" s="2" t="n">
        <v>73</v>
      </c>
      <c r="B112" s="2" t="s">
        <v>10774</v>
      </c>
      <c r="C112" s="2" t="s">
        <v>16421</v>
      </c>
      <c r="D112" s="2" t="n">
        <v>215.052606116</v>
      </c>
      <c r="E112" s="2" t="n">
        <v>0.17386039027269</v>
      </c>
      <c r="F112" s="2" t="s">
        <v>16423</v>
      </c>
      <c r="G112" s="2" t="n">
        <v>48024</v>
      </c>
      <c r="H112" s="3" t="str">
        <f>HYPERLINK("http://funmeta.oebiotech.com/network/48024", "http://funmeta.oebiotech.com/network/48024")</f>
      </c>
      <c r="I112" s="2" t="s">
        <v>16425</v>
      </c>
      <c r="J112" s="2"/>
      <c r="K112" s="2"/>
      <c r="L112" s="2" t="s">
        <v>16426</v>
      </c>
      <c r="M112" s="2" t="s">
        <v>16427</v>
      </c>
      <c r="N112" s="2" t="s">
        <v>16428</v>
      </c>
      <c r="O112" s="2" t="s">
        <v>16429</v>
      </c>
      <c r="P112" s="2" t="s">
        <v>16430</v>
      </c>
      <c r="Q112" s="2" t="s">
        <v>16431</v>
      </c>
      <c r="R112" s="2" t="s">
        <v>64</v>
      </c>
      <c r="S112" s="2" t="s">
        <v>65</v>
      </c>
      <c r="T112" s="2" t="s">
        <v>2921</v>
      </c>
      <c r="U112" s="2" t="s">
        <v>16422</v>
      </c>
      <c r="V112" s="2" t="s">
        <v>15858</v>
      </c>
      <c r="W112" s="2" t="s">
        <v>39</v>
      </c>
    </row>
    <row r="113">
      <c r="A113" s="2" t="n">
        <v>74</v>
      </c>
      <c r="B113" s="2" t="s">
        <v>10775</v>
      </c>
      <c r="C113" s="2" t="s">
        <v>16432</v>
      </c>
      <c r="D113" s="2" t="n">
        <v>222.9922652</v>
      </c>
      <c r="E113" s="2" t="n">
        <v>14.8355560424041</v>
      </c>
      <c r="F113" s="2" t="s">
        <v>16434</v>
      </c>
      <c r="G113" s="2" t="n">
        <v>204089</v>
      </c>
      <c r="H113" s="3" t="str">
        <f>HYPERLINK("http://funmeta.oebiotech.com/network/204089", "http://funmeta.oebiotech.com/network/204089")</f>
      </c>
      <c r="I113" s="2" t="s">
        <v>16436</v>
      </c>
      <c r="J113" s="2" t="s">
        <v>16437</v>
      </c>
      <c r="K113" s="2"/>
      <c r="L113" s="2"/>
      <c r="M113" s="2"/>
      <c r="N113" s="2" t="s">
        <v>16438</v>
      </c>
      <c r="O113" s="2"/>
      <c r="P113" s="2" t="s">
        <v>16439</v>
      </c>
      <c r="Q113" s="2" t="s">
        <v>16440</v>
      </c>
      <c r="R113" s="2" t="s">
        <v>502</v>
      </c>
      <c r="S113" s="2" t="s">
        <v>503</v>
      </c>
      <c r="T113" s="2" t="s">
        <v>3793</v>
      </c>
      <c r="U113" s="2" t="s">
        <v>16433</v>
      </c>
      <c r="V113" s="2" t="s">
        <v>15919</v>
      </c>
      <c r="W113" s="2"/>
    </row>
    <row r="114">
      <c r="A114" s="2" t="n">
        <v>75</v>
      </c>
      <c r="B114" s="2" t="s">
        <v>10797</v>
      </c>
      <c r="C114" s="2" t="s">
        <v>16441</v>
      </c>
      <c r="D114" s="2" t="n">
        <v>223.972081505</v>
      </c>
      <c r="E114" s="2" t="n">
        <v>3.65304645076121</v>
      </c>
      <c r="F114" s="2" t="s">
        <v>16443</v>
      </c>
      <c r="G114" s="2" t="n">
        <v>46968</v>
      </c>
      <c r="H114" s="3" t="str">
        <f>HYPERLINK("http://funmeta.oebiotech.com/network/46968", "http://funmeta.oebiotech.com/network/46968")</f>
      </c>
      <c r="I114" s="2" t="s">
        <v>16445</v>
      </c>
      <c r="J114" s="2" t="s">
        <v>16446</v>
      </c>
      <c r="K114" s="2"/>
      <c r="L114" s="2" t="s">
        <v>16447</v>
      </c>
      <c r="M114" s="2" t="s">
        <v>16448</v>
      </c>
      <c r="N114" s="2" t="s">
        <v>16449</v>
      </c>
      <c r="O114" s="2" t="s">
        <v>16450</v>
      </c>
      <c r="P114" s="2" t="s">
        <v>16451</v>
      </c>
      <c r="Q114" s="2" t="s">
        <v>16452</v>
      </c>
      <c r="R114" s="2" t="s">
        <v>49</v>
      </c>
      <c r="S114" s="2" t="s">
        <v>165</v>
      </c>
      <c r="T114" s="2" t="s">
        <v>166</v>
      </c>
      <c r="U114" s="2" t="s">
        <v>16442</v>
      </c>
      <c r="V114" s="2" t="s">
        <v>15919</v>
      </c>
      <c r="W114" s="2" t="s">
        <v>39</v>
      </c>
    </row>
    <row r="115">
      <c r="A115" s="2" t="n">
        <v>76</v>
      </c>
      <c r="B115" s="2" t="s">
        <v>10798</v>
      </c>
      <c r="C115" s="2" t="s">
        <v>16453</v>
      </c>
      <c r="D115" s="2" t="n">
        <v>226.070998467</v>
      </c>
      <c r="E115" s="2" t="n">
        <v>8.7847237412024</v>
      </c>
      <c r="F115" s="2" t="s">
        <v>16455</v>
      </c>
      <c r="G115" s="2" t="n">
        <v>256993</v>
      </c>
      <c r="H115" s="3" t="str">
        <f>HYPERLINK("http://funmeta.oebiotech.com/network/256993", "http://funmeta.oebiotech.com/network/256993")</f>
      </c>
      <c r="I115" s="2" t="s">
        <v>16457</v>
      </c>
      <c r="J115" s="2" t="s">
        <v>16458</v>
      </c>
      <c r="K115" s="2"/>
      <c r="L115" s="2" t="s">
        <v>16459</v>
      </c>
      <c r="M115" s="2" t="s">
        <v>16460</v>
      </c>
      <c r="N115" s="2" t="s">
        <v>16461</v>
      </c>
      <c r="O115" s="2" t="s">
        <v>16462</v>
      </c>
      <c r="P115" s="2" t="s">
        <v>16463</v>
      </c>
      <c r="Q115" s="2" t="s">
        <v>16464</v>
      </c>
      <c r="R115" s="2" t="s">
        <v>49</v>
      </c>
      <c r="S115" s="2" t="s">
        <v>165</v>
      </c>
      <c r="T115" s="2" t="s">
        <v>179</v>
      </c>
      <c r="U115" s="2" t="s">
        <v>16454</v>
      </c>
      <c r="V115" s="2" t="s">
        <v>15649</v>
      </c>
      <c r="W115" s="2" t="s">
        <v>39</v>
      </c>
    </row>
    <row r="116">
      <c r="A116" s="2" t="n">
        <v>77</v>
      </c>
      <c r="B116" s="2" t="s">
        <v>10799</v>
      </c>
      <c r="C116" s="2" t="s">
        <v>16465</v>
      </c>
      <c r="D116" s="2" t="n">
        <v>229.122894442</v>
      </c>
      <c r="E116" s="2" t="n">
        <v>0.00110528835474596</v>
      </c>
      <c r="F116" s="2" t="s">
        <v>21527</v>
      </c>
      <c r="G116" s="2" t="n">
        <v>61630</v>
      </c>
      <c r="H116" s="3" t="str">
        <f>HYPERLINK("http://funmeta.oebiotech.com/network/61630", "http://funmeta.oebiotech.com/network/61630")</f>
      </c>
      <c r="I116" s="2" t="s">
        <v>21528</v>
      </c>
      <c r="J116" s="2"/>
      <c r="K116" s="2"/>
      <c r="L116" s="2" t="s">
        <v>21529</v>
      </c>
      <c r="M116" s="2"/>
      <c r="N116" s="2" t="s">
        <v>21530</v>
      </c>
      <c r="O116" s="2" t="s">
        <v>21531</v>
      </c>
      <c r="P116" s="2" t="s">
        <v>21532</v>
      </c>
      <c r="Q116" s="2" t="s">
        <v>21533</v>
      </c>
      <c r="R116" s="2" t="s">
        <v>1490</v>
      </c>
      <c r="S116" s="2" t="s">
        <v>4971</v>
      </c>
      <c r="T116" s="2" t="s">
        <v>5966</v>
      </c>
      <c r="U116" s="2" t="s">
        <v>16466</v>
      </c>
      <c r="V116" s="2" t="s">
        <v>15611</v>
      </c>
      <c r="W116" s="2" t="s">
        <v>39</v>
      </c>
    </row>
    <row r="117">
      <c r="A117" s="2" t="n">
        <v>77</v>
      </c>
      <c r="B117" s="2" t="s">
        <v>10808</v>
      </c>
      <c r="C117" s="2" t="s">
        <v>16465</v>
      </c>
      <c r="D117" s="2" t="n">
        <v>229.122894442</v>
      </c>
      <c r="E117" s="2" t="n">
        <v>0.00110528835474596</v>
      </c>
      <c r="F117" s="2" t="s">
        <v>21534</v>
      </c>
      <c r="G117" s="2" t="n">
        <v>64934</v>
      </c>
      <c r="H117" s="3" t="str">
        <f>HYPERLINK("http://funmeta.oebiotech.com/network/64934", "http://funmeta.oebiotech.com/network/64934")</f>
      </c>
      <c r="I117" s="2" t="s">
        <v>21535</v>
      </c>
      <c r="J117" s="2" t="s">
        <v>21536</v>
      </c>
      <c r="K117" s="2"/>
      <c r="L117" s="2" t="s">
        <v>21537</v>
      </c>
      <c r="M117" s="2" t="s">
        <v>21538</v>
      </c>
      <c r="N117" s="2" t="s">
        <v>21539</v>
      </c>
      <c r="O117" s="2" t="s">
        <v>21540</v>
      </c>
      <c r="P117" s="2" t="s">
        <v>21541</v>
      </c>
      <c r="Q117" s="2" t="s">
        <v>21542</v>
      </c>
      <c r="R117" s="2" t="s">
        <v>2509</v>
      </c>
      <c r="S117" s="2" t="s">
        <v>6094</v>
      </c>
      <c r="T117" s="2" t="s">
        <v>205</v>
      </c>
      <c r="U117" s="2" t="s">
        <v>16466</v>
      </c>
      <c r="V117" s="2" t="s">
        <v>15611</v>
      </c>
      <c r="W117" s="2" t="s">
        <v>39</v>
      </c>
    </row>
    <row r="118">
      <c r="A118" s="2" t="n">
        <v>78</v>
      </c>
      <c r="B118" s="2" t="s">
        <v>10827</v>
      </c>
      <c r="C118" s="2" t="s">
        <v>16479</v>
      </c>
      <c r="D118" s="2" t="n">
        <v>230.032634547</v>
      </c>
      <c r="E118" s="2" t="n">
        <v>5.57829379448558</v>
      </c>
      <c r="F118" s="2" t="s">
        <v>16481</v>
      </c>
      <c r="G118" s="2" t="n">
        <v>56240</v>
      </c>
      <c r="H118" s="3" t="str">
        <f>HYPERLINK("http://funmeta.oebiotech.com/network/56240", "http://funmeta.oebiotech.com/network/56240")</f>
      </c>
      <c r="I118" s="2" t="s">
        <v>16483</v>
      </c>
      <c r="J118" s="2" t="s">
        <v>16484</v>
      </c>
      <c r="K118" s="2"/>
      <c r="L118" s="2" t="s">
        <v>16485</v>
      </c>
      <c r="M118" s="2" t="s">
        <v>16486</v>
      </c>
      <c r="N118" s="2" t="s">
        <v>16487</v>
      </c>
      <c r="O118" s="2" t="s">
        <v>16488</v>
      </c>
      <c r="P118" s="2" t="s">
        <v>16489</v>
      </c>
      <c r="Q118" s="2" t="s">
        <v>16490</v>
      </c>
      <c r="R118" s="2" t="s">
        <v>355</v>
      </c>
      <c r="S118" s="2" t="s">
        <v>1396</v>
      </c>
      <c r="T118" s="2" t="s">
        <v>5487</v>
      </c>
      <c r="U118" s="2" t="s">
        <v>16480</v>
      </c>
      <c r="V118" s="2" t="s">
        <v>15919</v>
      </c>
      <c r="W118" s="2" t="s">
        <v>39</v>
      </c>
    </row>
    <row r="119">
      <c r="A119" s="2" t="n">
        <v>79</v>
      </c>
      <c r="B119" s="2" t="s">
        <v>10849</v>
      </c>
      <c r="C119" s="2" t="s">
        <v>16491</v>
      </c>
      <c r="D119" s="2" t="n">
        <v>231.102159</v>
      </c>
      <c r="E119" s="2" t="n">
        <v>9.57222892127746</v>
      </c>
      <c r="F119" s="2" t="s">
        <v>21543</v>
      </c>
      <c r="G119" s="2" t="n">
        <v>255025</v>
      </c>
      <c r="H119" s="3" t="str">
        <f>HYPERLINK("http://funmeta.oebiotech.com/network/255025", "http://funmeta.oebiotech.com/network/255025")</f>
      </c>
      <c r="I119" s="2" t="s">
        <v>21544</v>
      </c>
      <c r="J119" s="2"/>
      <c r="K119" s="2"/>
      <c r="L119" s="2" t="s">
        <v>21545</v>
      </c>
      <c r="M119" s="2"/>
      <c r="N119" s="2" t="s">
        <v>21546</v>
      </c>
      <c r="O119" s="2"/>
      <c r="P119" s="2" t="s">
        <v>21547</v>
      </c>
      <c r="Q119" s="2" t="s">
        <v>21548</v>
      </c>
      <c r="R119" s="2" t="s">
        <v>1490</v>
      </c>
      <c r="S119" s="2" t="s">
        <v>1491</v>
      </c>
      <c r="T119" s="2" t="s">
        <v>1492</v>
      </c>
      <c r="U119" s="2" t="s">
        <v>16492</v>
      </c>
      <c r="V119" s="2" t="s">
        <v>15611</v>
      </c>
      <c r="W119" s="2" t="s">
        <v>39</v>
      </c>
    </row>
    <row r="120">
      <c r="A120" s="2" t="n">
        <v>79</v>
      </c>
      <c r="B120" s="2" t="s">
        <v>21549</v>
      </c>
      <c r="C120" s="2" t="s">
        <v>16491</v>
      </c>
      <c r="D120" s="2" t="n">
        <v>231.102159</v>
      </c>
      <c r="E120" s="2" t="n">
        <v>9.57222892127746</v>
      </c>
      <c r="F120" s="2" t="s">
        <v>21550</v>
      </c>
      <c r="G120" s="2" t="n">
        <v>64246</v>
      </c>
      <c r="H120" s="3" t="str">
        <f>HYPERLINK("http://funmeta.oebiotech.com/network/64246", "http://funmeta.oebiotech.com/network/64246")</f>
      </c>
      <c r="I120" s="2" t="s">
        <v>21551</v>
      </c>
      <c r="J120" s="2" t="s">
        <v>21552</v>
      </c>
      <c r="K120" s="2"/>
      <c r="L120" s="2" t="s">
        <v>21553</v>
      </c>
      <c r="M120" s="2" t="s">
        <v>21554</v>
      </c>
      <c r="N120" s="2" t="s">
        <v>21555</v>
      </c>
      <c r="O120" s="2" t="s">
        <v>21556</v>
      </c>
      <c r="P120" s="2" t="s">
        <v>21557</v>
      </c>
      <c r="Q120" s="2" t="s">
        <v>21558</v>
      </c>
      <c r="R120" s="2" t="s">
        <v>2509</v>
      </c>
      <c r="S120" s="2" t="s">
        <v>4528</v>
      </c>
      <c r="T120" s="2" t="s">
        <v>4529</v>
      </c>
      <c r="U120" s="2" t="s">
        <v>16492</v>
      </c>
      <c r="V120" s="2" t="s">
        <v>15611</v>
      </c>
      <c r="W120" s="2" t="s">
        <v>39</v>
      </c>
    </row>
    <row r="121">
      <c r="A121" s="2" t="n">
        <v>80</v>
      </c>
      <c r="B121" s="2" t="s">
        <v>10850</v>
      </c>
      <c r="C121" s="2" t="s">
        <v>16505</v>
      </c>
      <c r="D121" s="2" t="n">
        <v>232.040422041</v>
      </c>
      <c r="E121" s="2" t="n">
        <v>9.92748039885285</v>
      </c>
      <c r="F121" s="2" t="s">
        <v>16507</v>
      </c>
      <c r="G121" s="2" t="n">
        <v>255158</v>
      </c>
      <c r="H121" s="3" t="str">
        <f>HYPERLINK("http://funmeta.oebiotech.com/network/255158", "http://funmeta.oebiotech.com/network/255158")</f>
      </c>
      <c r="I121" s="2" t="s">
        <v>16509</v>
      </c>
      <c r="J121" s="2"/>
      <c r="K121" s="2"/>
      <c r="L121" s="2"/>
      <c r="M121" s="2"/>
      <c r="N121" s="2" t="s">
        <v>16510</v>
      </c>
      <c r="O121" s="2"/>
      <c r="P121" s="2" t="s">
        <v>16511</v>
      </c>
      <c r="Q121" s="2" t="s">
        <v>16512</v>
      </c>
      <c r="R121" s="2" t="s">
        <v>49</v>
      </c>
      <c r="S121" s="2" t="s">
        <v>165</v>
      </c>
      <c r="T121" s="2" t="s">
        <v>166</v>
      </c>
      <c r="U121" s="2" t="s">
        <v>16506</v>
      </c>
      <c r="V121" s="2" t="s">
        <v>15919</v>
      </c>
      <c r="W121" s="2"/>
    </row>
    <row r="122">
      <c r="A122" s="2" t="n">
        <v>81</v>
      </c>
      <c r="B122" s="2" t="s">
        <v>10851</v>
      </c>
      <c r="C122" s="2" t="s">
        <v>16513</v>
      </c>
      <c r="D122" s="2" t="n">
        <v>233.081423558</v>
      </c>
      <c r="E122" s="2" t="n">
        <v>2.19503187887847</v>
      </c>
      <c r="F122" s="2" t="s">
        <v>16515</v>
      </c>
      <c r="G122" s="2" t="n">
        <v>64891</v>
      </c>
      <c r="H122" s="3" t="str">
        <f>HYPERLINK("http://funmeta.oebiotech.com/network/64891", "http://funmeta.oebiotech.com/network/64891")</f>
      </c>
      <c r="I122" s="2" t="s">
        <v>16517</v>
      </c>
      <c r="J122" s="2"/>
      <c r="K122" s="2"/>
      <c r="L122" s="2" t="s">
        <v>16518</v>
      </c>
      <c r="M122" s="2" t="s">
        <v>16519</v>
      </c>
      <c r="N122" s="2"/>
      <c r="O122" s="2" t="s">
        <v>16520</v>
      </c>
      <c r="P122" s="2" t="s">
        <v>16521</v>
      </c>
      <c r="Q122" s="2" t="s">
        <v>16522</v>
      </c>
      <c r="R122" s="2" t="s">
        <v>355</v>
      </c>
      <c r="S122" s="2" t="s">
        <v>5537</v>
      </c>
      <c r="T122" s="2" t="s">
        <v>205</v>
      </c>
      <c r="U122" s="2" t="s">
        <v>16514</v>
      </c>
      <c r="V122" s="2" t="s">
        <v>15611</v>
      </c>
      <c r="W122" s="2" t="s">
        <v>39</v>
      </c>
    </row>
    <row r="123">
      <c r="A123" s="2" t="n">
        <v>82</v>
      </c>
      <c r="B123" s="2" t="s">
        <v>10880</v>
      </c>
      <c r="C123" s="2" t="s">
        <v>16523</v>
      </c>
      <c r="D123" s="2" t="n">
        <v>234.028022052</v>
      </c>
      <c r="E123" s="2" t="n">
        <v>0.057161868315965</v>
      </c>
      <c r="F123" s="2" t="s">
        <v>16525</v>
      </c>
      <c r="G123" s="2" t="n">
        <v>208773</v>
      </c>
      <c r="H123" s="3" t="str">
        <f>HYPERLINK("http://funmeta.oebiotech.com/network/208773", "http://funmeta.oebiotech.com/network/208773")</f>
      </c>
      <c r="I123" s="2" t="s">
        <v>16527</v>
      </c>
      <c r="J123" s="2"/>
      <c r="K123" s="2"/>
      <c r="L123" s="2"/>
      <c r="M123" s="2"/>
      <c r="N123" s="2" t="s">
        <v>16528</v>
      </c>
      <c r="O123" s="2"/>
      <c r="P123" s="2" t="s">
        <v>16529</v>
      </c>
      <c r="Q123" s="2" t="s">
        <v>16530</v>
      </c>
      <c r="R123" s="2" t="s">
        <v>355</v>
      </c>
      <c r="S123" s="2" t="s">
        <v>356</v>
      </c>
      <c r="T123" s="2" t="s">
        <v>357</v>
      </c>
      <c r="U123" s="2" t="s">
        <v>16524</v>
      </c>
      <c r="V123" s="2" t="s">
        <v>15611</v>
      </c>
      <c r="W123" s="2"/>
    </row>
    <row r="124">
      <c r="A124" s="2" t="n">
        <v>83</v>
      </c>
      <c r="B124" s="2" t="s">
        <v>10908</v>
      </c>
      <c r="C124" s="2" t="s">
        <v>16531</v>
      </c>
      <c r="D124" s="2" t="n">
        <v>242.103635994</v>
      </c>
      <c r="E124" s="2" t="n">
        <v>1.0756389390959</v>
      </c>
      <c r="F124" s="2" t="s">
        <v>21559</v>
      </c>
      <c r="G124" s="2" t="n">
        <v>202267</v>
      </c>
      <c r="H124" s="3" t="str">
        <f>HYPERLINK("http://funmeta.oebiotech.com/network/202267", "http://funmeta.oebiotech.com/network/202267")</f>
      </c>
      <c r="I124" s="2" t="s">
        <v>21560</v>
      </c>
      <c r="J124" s="2"/>
      <c r="K124" s="2"/>
      <c r="L124" s="2"/>
      <c r="M124" s="2"/>
      <c r="N124" s="2" t="s">
        <v>21561</v>
      </c>
      <c r="O124" s="2"/>
      <c r="P124" s="2" t="s">
        <v>21562</v>
      </c>
      <c r="Q124" s="2" t="s">
        <v>21563</v>
      </c>
      <c r="R124" s="2" t="s">
        <v>355</v>
      </c>
      <c r="S124" s="2" t="s">
        <v>466</v>
      </c>
      <c r="T124" s="2" t="s">
        <v>467</v>
      </c>
      <c r="U124" s="2" t="s">
        <v>16532</v>
      </c>
      <c r="V124" s="2" t="s">
        <v>15649</v>
      </c>
      <c r="W124" s="2"/>
    </row>
    <row r="125">
      <c r="A125" s="2" t="n">
        <v>83</v>
      </c>
      <c r="B125" s="2" t="s">
        <v>21564</v>
      </c>
      <c r="C125" s="2" t="s">
        <v>16531</v>
      </c>
      <c r="D125" s="2" t="n">
        <v>242.103635999</v>
      </c>
      <c r="E125" s="2" t="n">
        <v>1.0756389390959</v>
      </c>
      <c r="F125" s="2" t="s">
        <v>21565</v>
      </c>
      <c r="G125" s="2" t="n">
        <v>209799</v>
      </c>
      <c r="H125" s="3" t="str">
        <f>HYPERLINK("http://funmeta.oebiotech.com/network/209799", "http://funmeta.oebiotech.com/network/209799")</f>
      </c>
      <c r="I125" s="2" t="s">
        <v>21566</v>
      </c>
      <c r="J125" s="2" t="s">
        <v>21567</v>
      </c>
      <c r="K125" s="2"/>
      <c r="L125" s="2"/>
      <c r="M125" s="2"/>
      <c r="N125" s="2" t="s">
        <v>21568</v>
      </c>
      <c r="O125" s="2"/>
      <c r="P125" s="2" t="s">
        <v>21569</v>
      </c>
      <c r="Q125" s="2" t="s">
        <v>21570</v>
      </c>
      <c r="R125" s="2" t="s">
        <v>355</v>
      </c>
      <c r="S125" s="2" t="s">
        <v>466</v>
      </c>
      <c r="T125" s="2" t="s">
        <v>467</v>
      </c>
      <c r="U125" s="2" t="s">
        <v>16532</v>
      </c>
      <c r="V125" s="2" t="s">
        <v>15649</v>
      </c>
      <c r="W125" s="2"/>
    </row>
    <row r="126">
      <c r="A126" s="2" t="n">
        <v>83</v>
      </c>
      <c r="B126" s="2" t="s">
        <v>21571</v>
      </c>
      <c r="C126" s="2" t="s">
        <v>16531</v>
      </c>
      <c r="D126" s="2" t="n">
        <v>242.103635999</v>
      </c>
      <c r="E126" s="2" t="n">
        <v>1.0756389390959</v>
      </c>
      <c r="F126" s="2" t="s">
        <v>21572</v>
      </c>
      <c r="G126" s="2" t="n">
        <v>210085</v>
      </c>
      <c r="H126" s="3" t="str">
        <f>HYPERLINK("http://funmeta.oebiotech.com/network/210085", "http://funmeta.oebiotech.com/network/210085")</f>
      </c>
      <c r="I126" s="2" t="s">
        <v>21573</v>
      </c>
      <c r="J126" s="2" t="s">
        <v>21574</v>
      </c>
      <c r="K126" s="2"/>
      <c r="L126" s="2"/>
      <c r="M126" s="2"/>
      <c r="N126" s="2" t="s">
        <v>21575</v>
      </c>
      <c r="O126" s="2"/>
      <c r="P126" s="2" t="s">
        <v>21576</v>
      </c>
      <c r="Q126" s="2" t="s">
        <v>21577</v>
      </c>
      <c r="R126" s="2" t="s">
        <v>355</v>
      </c>
      <c r="S126" s="2" t="s">
        <v>21578</v>
      </c>
      <c r="T126" s="2" t="s">
        <v>205</v>
      </c>
      <c r="U126" s="2" t="s">
        <v>16532</v>
      </c>
      <c r="V126" s="2" t="s">
        <v>15649</v>
      </c>
      <c r="W126" s="2"/>
    </row>
    <row r="127">
      <c r="A127" s="2" t="n">
        <v>84</v>
      </c>
      <c r="B127" s="2" t="s">
        <v>10909</v>
      </c>
      <c r="C127" s="2" t="s">
        <v>16542</v>
      </c>
      <c r="D127" s="2" t="n">
        <v>243.109369631</v>
      </c>
      <c r="E127" s="2" t="n">
        <v>8.27581485409383</v>
      </c>
      <c r="F127" s="2" t="s">
        <v>16544</v>
      </c>
      <c r="G127" s="2" t="n">
        <v>53768</v>
      </c>
      <c r="H127" s="3" t="str">
        <f>HYPERLINK("http://funmeta.oebiotech.com/network/53768", "http://funmeta.oebiotech.com/network/53768")</f>
      </c>
      <c r="I127" s="2" t="s">
        <v>16546</v>
      </c>
      <c r="J127" s="2" t="s">
        <v>16547</v>
      </c>
      <c r="K127" s="2"/>
      <c r="L127" s="2"/>
      <c r="M127" s="2" t="s">
        <v>16548</v>
      </c>
      <c r="N127" s="2" t="s">
        <v>16549</v>
      </c>
      <c r="O127" s="2" t="s">
        <v>16550</v>
      </c>
      <c r="P127" s="2" t="s">
        <v>16551</v>
      </c>
      <c r="Q127" s="2" t="s">
        <v>16552</v>
      </c>
      <c r="R127" s="2" t="s">
        <v>49</v>
      </c>
      <c r="S127" s="2" t="s">
        <v>165</v>
      </c>
      <c r="T127" s="2" t="s">
        <v>166</v>
      </c>
      <c r="U127" s="2" t="s">
        <v>16543</v>
      </c>
      <c r="V127" s="2" t="s">
        <v>15611</v>
      </c>
      <c r="W127" s="2"/>
    </row>
    <row r="128">
      <c r="A128" s="2" t="n">
        <v>85</v>
      </c>
      <c r="B128" s="2" t="s">
        <v>10910</v>
      </c>
      <c r="C128" s="2" t="s">
        <v>16553</v>
      </c>
      <c r="D128" s="2" t="n">
        <v>244.095903505</v>
      </c>
      <c r="E128" s="2" t="n">
        <v>6.79428432356743</v>
      </c>
      <c r="F128" s="2" t="s">
        <v>16555</v>
      </c>
      <c r="G128" s="2" t="n">
        <v>53176</v>
      </c>
      <c r="H128" s="3" t="str">
        <f>HYPERLINK("http://funmeta.oebiotech.com/network/53176", "http://funmeta.oebiotech.com/network/53176")</f>
      </c>
      <c r="I128" s="2" t="s">
        <v>16557</v>
      </c>
      <c r="J128" s="2" t="s">
        <v>16558</v>
      </c>
      <c r="K128" s="2"/>
      <c r="L128" s="2" t="s">
        <v>16559</v>
      </c>
      <c r="M128" s="2" t="s">
        <v>16560</v>
      </c>
      <c r="N128" s="2" t="s">
        <v>16561</v>
      </c>
      <c r="O128" s="2" t="s">
        <v>16562</v>
      </c>
      <c r="P128" s="2" t="s">
        <v>16563</v>
      </c>
      <c r="Q128" s="2" t="s">
        <v>16564</v>
      </c>
      <c r="R128" s="2" t="s">
        <v>36</v>
      </c>
      <c r="S128" s="2" t="s">
        <v>37</v>
      </c>
      <c r="T128" s="2" t="s">
        <v>16565</v>
      </c>
      <c r="U128" s="2" t="s">
        <v>16554</v>
      </c>
      <c r="V128" s="2" t="s">
        <v>15919</v>
      </c>
      <c r="W128" s="2" t="s">
        <v>39</v>
      </c>
    </row>
    <row r="129">
      <c r="A129" s="2" t="n">
        <v>86</v>
      </c>
      <c r="B129" s="2" t="s">
        <v>10931</v>
      </c>
      <c r="C129" s="2" t="s">
        <v>16566</v>
      </c>
      <c r="D129" s="2" t="n">
        <v>245.053429559</v>
      </c>
      <c r="E129" s="2" t="n">
        <v>0.259302895534763</v>
      </c>
      <c r="F129" s="2" t="s">
        <v>21579</v>
      </c>
      <c r="G129" s="2" t="n">
        <v>54060</v>
      </c>
      <c r="H129" s="3" t="str">
        <f>HYPERLINK("http://funmeta.oebiotech.com/network/54060", "http://funmeta.oebiotech.com/network/54060")</f>
      </c>
      <c r="I129" s="2" t="s">
        <v>21580</v>
      </c>
      <c r="J129" s="2"/>
      <c r="K129" s="2"/>
      <c r="L129" s="2"/>
      <c r="M129" s="2" t="s">
        <v>21581</v>
      </c>
      <c r="N129" s="2" t="s">
        <v>21582</v>
      </c>
      <c r="O129" s="2" t="s">
        <v>21583</v>
      </c>
      <c r="P129" s="2" t="s">
        <v>21584</v>
      </c>
      <c r="Q129" s="2" t="s">
        <v>21585</v>
      </c>
      <c r="R129" s="2" t="s">
        <v>49</v>
      </c>
      <c r="S129" s="2" t="s">
        <v>165</v>
      </c>
      <c r="T129" s="2" t="s">
        <v>166</v>
      </c>
      <c r="U129" s="2" t="s">
        <v>16567</v>
      </c>
      <c r="V129" s="2" t="s">
        <v>15919</v>
      </c>
      <c r="W129" s="2"/>
    </row>
    <row r="130">
      <c r="A130" s="2" t="n">
        <v>86</v>
      </c>
      <c r="B130" s="2" t="s">
        <v>21586</v>
      </c>
      <c r="C130" s="2" t="s">
        <v>16566</v>
      </c>
      <c r="D130" s="2" t="n">
        <v>245.053429559</v>
      </c>
      <c r="E130" s="2" t="n">
        <v>0.259302895534763</v>
      </c>
      <c r="F130" s="2" t="s">
        <v>21587</v>
      </c>
      <c r="G130" s="2" t="n">
        <v>54081</v>
      </c>
      <c r="H130" s="3" t="str">
        <f>HYPERLINK("http://funmeta.oebiotech.com/network/54081", "http://funmeta.oebiotech.com/network/54081")</f>
      </c>
      <c r="I130" s="2" t="s">
        <v>21588</v>
      </c>
      <c r="J130" s="2" t="s">
        <v>21589</v>
      </c>
      <c r="K130" s="2"/>
      <c r="L130" s="2"/>
      <c r="M130" s="2" t="s">
        <v>21590</v>
      </c>
      <c r="N130" s="2" t="s">
        <v>21591</v>
      </c>
      <c r="O130" s="2" t="s">
        <v>21592</v>
      </c>
      <c r="P130" s="2" t="s">
        <v>21593</v>
      </c>
      <c r="Q130" s="2" t="s">
        <v>21594</v>
      </c>
      <c r="R130" s="2" t="s">
        <v>49</v>
      </c>
      <c r="S130" s="2" t="s">
        <v>165</v>
      </c>
      <c r="T130" s="2" t="s">
        <v>166</v>
      </c>
      <c r="U130" s="2" t="s">
        <v>16567</v>
      </c>
      <c r="V130" s="2" t="s">
        <v>15919</v>
      </c>
      <c r="W130" s="2"/>
    </row>
    <row r="131">
      <c r="A131" s="2" t="n">
        <v>86</v>
      </c>
      <c r="B131" s="2" t="s">
        <v>21595</v>
      </c>
      <c r="C131" s="2" t="s">
        <v>16566</v>
      </c>
      <c r="D131" s="2" t="n">
        <v>245.053429559</v>
      </c>
      <c r="E131" s="2" t="n">
        <v>0.259302895534763</v>
      </c>
      <c r="F131" s="2" t="s">
        <v>21596</v>
      </c>
      <c r="G131" s="2" t="n">
        <v>211227</v>
      </c>
      <c r="H131" s="3" t="str">
        <f>HYPERLINK("http://funmeta.oebiotech.com/network/211227", "http://funmeta.oebiotech.com/network/211227")</f>
      </c>
      <c r="I131" s="2" t="s">
        <v>21597</v>
      </c>
      <c r="J131" s="2"/>
      <c r="K131" s="2"/>
      <c r="L131" s="2"/>
      <c r="M131" s="2"/>
      <c r="N131" s="2"/>
      <c r="O131" s="2"/>
      <c r="P131" s="2" t="s">
        <v>21598</v>
      </c>
      <c r="Q131" s="2" t="s">
        <v>21599</v>
      </c>
      <c r="R131" s="2" t="s">
        <v>49</v>
      </c>
      <c r="S131" s="2" t="s">
        <v>165</v>
      </c>
      <c r="T131" s="2" t="s">
        <v>166</v>
      </c>
      <c r="U131" s="2" t="s">
        <v>16567</v>
      </c>
      <c r="V131" s="2" t="s">
        <v>15919</v>
      </c>
      <c r="W131" s="2"/>
    </row>
    <row r="132">
      <c r="A132" s="2" t="n">
        <v>87</v>
      </c>
      <c r="B132" s="2" t="s">
        <v>10932</v>
      </c>
      <c r="C132" s="2" t="s">
        <v>16577</v>
      </c>
      <c r="D132" s="2" t="n">
        <v>245.113786318</v>
      </c>
      <c r="E132" s="2" t="n">
        <v>4.71178128806323</v>
      </c>
      <c r="F132" s="2" t="s">
        <v>16579</v>
      </c>
      <c r="G132" s="2" t="n">
        <v>54395</v>
      </c>
      <c r="H132" s="3" t="str">
        <f>HYPERLINK("http://funmeta.oebiotech.com/network/54395", "http://funmeta.oebiotech.com/network/54395")</f>
      </c>
      <c r="I132" s="2" t="s">
        <v>16581</v>
      </c>
      <c r="J132" s="2" t="s">
        <v>16582</v>
      </c>
      <c r="K132" s="2"/>
      <c r="L132" s="2" t="s">
        <v>16583</v>
      </c>
      <c r="M132" s="2" t="s">
        <v>16584</v>
      </c>
      <c r="N132" s="2" t="s">
        <v>16585</v>
      </c>
      <c r="O132" s="2" t="s">
        <v>16586</v>
      </c>
      <c r="P132" s="2" t="s">
        <v>16587</v>
      </c>
      <c r="Q132" s="2" t="s">
        <v>16588</v>
      </c>
      <c r="R132" s="2" t="s">
        <v>49</v>
      </c>
      <c r="S132" s="2" t="s">
        <v>165</v>
      </c>
      <c r="T132" s="2" t="s">
        <v>166</v>
      </c>
      <c r="U132" s="2" t="s">
        <v>16578</v>
      </c>
      <c r="V132" s="2" t="s">
        <v>15611</v>
      </c>
      <c r="W132" s="2" t="s">
        <v>39</v>
      </c>
    </row>
    <row r="133">
      <c r="A133" s="2" t="n">
        <v>88</v>
      </c>
      <c r="B133" s="2" t="s">
        <v>10933</v>
      </c>
      <c r="C133" s="2" t="s">
        <v>16589</v>
      </c>
      <c r="D133" s="2" t="n">
        <v>247.019691161</v>
      </c>
      <c r="E133" s="2" t="n">
        <v>0.872704809223412</v>
      </c>
      <c r="F133" s="2" t="s">
        <v>16591</v>
      </c>
      <c r="G133" s="2" t="n">
        <v>212970</v>
      </c>
      <c r="H133" s="3" t="str">
        <f>HYPERLINK("http://funmeta.oebiotech.com/network/212970", "http://funmeta.oebiotech.com/network/212970")</f>
      </c>
      <c r="I133" s="2" t="s">
        <v>16593</v>
      </c>
      <c r="J133" s="2"/>
      <c r="K133" s="2"/>
      <c r="L133" s="2"/>
      <c r="M133" s="2"/>
      <c r="N133" s="2" t="s">
        <v>16594</v>
      </c>
      <c r="O133" s="2"/>
      <c r="P133" s="2" t="s">
        <v>16595</v>
      </c>
      <c r="Q133" s="2" t="s">
        <v>16596</v>
      </c>
      <c r="R133" s="2" t="s">
        <v>49</v>
      </c>
      <c r="S133" s="2" t="s">
        <v>165</v>
      </c>
      <c r="T133" s="2" t="s">
        <v>2001</v>
      </c>
      <c r="U133" s="2" t="s">
        <v>16590</v>
      </c>
      <c r="V133" s="2" t="s">
        <v>15649</v>
      </c>
      <c r="W133" s="2"/>
    </row>
    <row r="134">
      <c r="A134" s="2" t="n">
        <v>89</v>
      </c>
      <c r="B134" s="2" t="s">
        <v>10957</v>
      </c>
      <c r="C134" s="2" t="s">
        <v>16597</v>
      </c>
      <c r="D134" s="2" t="n">
        <v>248.0448743</v>
      </c>
      <c r="E134" s="2" t="n">
        <v>15.3832129084131</v>
      </c>
      <c r="F134" s="2" t="s">
        <v>16599</v>
      </c>
      <c r="G134" s="2" t="n">
        <v>213220</v>
      </c>
      <c r="H134" s="3" t="str">
        <f>HYPERLINK("http://funmeta.oebiotech.com/network/213220", "http://funmeta.oebiotech.com/network/213220")</f>
      </c>
      <c r="I134" s="2" t="s">
        <v>16601</v>
      </c>
      <c r="J134" s="2"/>
      <c r="K134" s="2"/>
      <c r="L134" s="2"/>
      <c r="M134" s="2"/>
      <c r="N134" s="2" t="s">
        <v>16602</v>
      </c>
      <c r="O134" s="2"/>
      <c r="P134" s="2" t="s">
        <v>16603</v>
      </c>
      <c r="Q134" s="2" t="s">
        <v>16604</v>
      </c>
      <c r="R134" s="2" t="s">
        <v>355</v>
      </c>
      <c r="S134" s="2" t="s">
        <v>6690</v>
      </c>
      <c r="T134" s="2" t="s">
        <v>6691</v>
      </c>
      <c r="U134" s="2" t="s">
        <v>16598</v>
      </c>
      <c r="V134" s="2" t="s">
        <v>15858</v>
      </c>
      <c r="W134" s="2"/>
    </row>
    <row r="135">
      <c r="A135" s="2" t="n">
        <v>90</v>
      </c>
      <c r="B135" s="2" t="s">
        <v>10958</v>
      </c>
      <c r="C135" s="2" t="s">
        <v>16605</v>
      </c>
      <c r="D135" s="2" t="n">
        <v>249.06762307</v>
      </c>
      <c r="E135" s="2" t="n">
        <v>3.04745646695782</v>
      </c>
      <c r="F135" s="2" t="s">
        <v>16607</v>
      </c>
      <c r="G135" s="2" t="n">
        <v>59717</v>
      </c>
      <c r="H135" s="3" t="str">
        <f>HYPERLINK("http://funmeta.oebiotech.com/network/59717", "http://funmeta.oebiotech.com/network/59717")</f>
      </c>
      <c r="I135" s="2" t="s">
        <v>16609</v>
      </c>
      <c r="J135" s="2" t="s">
        <v>16610</v>
      </c>
      <c r="K135" s="2"/>
      <c r="L135" s="2" t="s">
        <v>16611</v>
      </c>
      <c r="M135" s="2" t="s">
        <v>16612</v>
      </c>
      <c r="N135" s="2" t="s">
        <v>16613</v>
      </c>
      <c r="O135" s="2" t="s">
        <v>16614</v>
      </c>
      <c r="P135" s="2" t="s">
        <v>16615</v>
      </c>
      <c r="Q135" s="2" t="s">
        <v>16616</v>
      </c>
      <c r="R135" s="2" t="s">
        <v>1490</v>
      </c>
      <c r="S135" s="2" t="s">
        <v>4971</v>
      </c>
      <c r="T135" s="2" t="s">
        <v>5966</v>
      </c>
      <c r="U135" s="2" t="s">
        <v>16606</v>
      </c>
      <c r="V135" s="2" t="s">
        <v>15919</v>
      </c>
      <c r="W135" s="2" t="s">
        <v>39</v>
      </c>
    </row>
    <row r="136">
      <c r="A136" s="2" t="n">
        <v>91</v>
      </c>
      <c r="B136" s="2" t="s">
        <v>10959</v>
      </c>
      <c r="C136" s="2" t="s">
        <v>16617</v>
      </c>
      <c r="D136" s="2" t="n">
        <v>250.008728468</v>
      </c>
      <c r="E136" s="2" t="n">
        <v>0.429447464313229</v>
      </c>
      <c r="F136" s="2" t="s">
        <v>16619</v>
      </c>
      <c r="G136" s="2" t="n">
        <v>211721</v>
      </c>
      <c r="H136" s="3" t="str">
        <f>HYPERLINK("http://funmeta.oebiotech.com/network/211721", "http://funmeta.oebiotech.com/network/211721")</f>
      </c>
      <c r="I136" s="2" t="s">
        <v>16621</v>
      </c>
      <c r="J136" s="2"/>
      <c r="K136" s="2"/>
      <c r="L136" s="2"/>
      <c r="M136" s="2"/>
      <c r="N136" s="2" t="s">
        <v>16622</v>
      </c>
      <c r="O136" s="2"/>
      <c r="P136" s="2" t="s">
        <v>16623</v>
      </c>
      <c r="Q136" s="2" t="s">
        <v>16624</v>
      </c>
      <c r="R136" s="2" t="s">
        <v>502</v>
      </c>
      <c r="S136" s="2" t="s">
        <v>205</v>
      </c>
      <c r="T136" s="2" t="s">
        <v>205</v>
      </c>
      <c r="U136" s="2" t="s">
        <v>16618</v>
      </c>
      <c r="V136" s="2" t="s">
        <v>15919</v>
      </c>
      <c r="W136" s="2"/>
    </row>
    <row r="137">
      <c r="A137" s="2" t="n">
        <v>92</v>
      </c>
      <c r="B137" s="2" t="s">
        <v>10984</v>
      </c>
      <c r="C137" s="2" t="s">
        <v>16625</v>
      </c>
      <c r="D137" s="2" t="n">
        <v>253.121653828</v>
      </c>
      <c r="E137" s="2" t="n">
        <v>1.31402913812962</v>
      </c>
      <c r="F137" s="2" t="s">
        <v>16627</v>
      </c>
      <c r="G137" s="2" t="n">
        <v>207475</v>
      </c>
      <c r="H137" s="3" t="str">
        <f>HYPERLINK("http://funmeta.oebiotech.com/network/207475", "http://funmeta.oebiotech.com/network/207475")</f>
      </c>
      <c r="I137" s="2" t="s">
        <v>16629</v>
      </c>
      <c r="J137" s="2" t="s">
        <v>16630</v>
      </c>
      <c r="K137" s="2"/>
      <c r="L137" s="2"/>
      <c r="M137" s="2" t="s">
        <v>16631</v>
      </c>
      <c r="N137" s="2" t="s">
        <v>16632</v>
      </c>
      <c r="O137" s="2"/>
      <c r="P137" s="2" t="s">
        <v>16633</v>
      </c>
      <c r="Q137" s="2" t="s">
        <v>16634</v>
      </c>
      <c r="R137" s="2" t="s">
        <v>355</v>
      </c>
      <c r="S137" s="2" t="s">
        <v>5131</v>
      </c>
      <c r="T137" s="2" t="s">
        <v>5132</v>
      </c>
      <c r="U137" s="2" t="s">
        <v>16626</v>
      </c>
      <c r="V137" s="2" t="s">
        <v>15649</v>
      </c>
      <c r="W137" s="2"/>
    </row>
    <row r="138">
      <c r="A138" s="2" t="n">
        <v>93</v>
      </c>
      <c r="B138" s="2" t="s">
        <v>10985</v>
      </c>
      <c r="C138" s="2" t="s">
        <v>16635</v>
      </c>
      <c r="D138" s="2" t="n">
        <v>255.06573384</v>
      </c>
      <c r="E138" s="2" t="n">
        <v>4.71672468183869</v>
      </c>
      <c r="F138" s="2" t="s">
        <v>16637</v>
      </c>
      <c r="G138" s="2" t="n">
        <v>255964</v>
      </c>
      <c r="H138" s="3" t="str">
        <f>HYPERLINK("http://funmeta.oebiotech.com/network/255964", "http://funmeta.oebiotech.com/network/255964")</f>
      </c>
      <c r="I138" s="2" t="s">
        <v>16639</v>
      </c>
      <c r="J138" s="2"/>
      <c r="K138" s="2"/>
      <c r="L138" s="2" t="s">
        <v>16640</v>
      </c>
      <c r="M138" s="2" t="s">
        <v>16641</v>
      </c>
      <c r="N138" s="2" t="s">
        <v>16642</v>
      </c>
      <c r="O138" s="2"/>
      <c r="P138" s="2" t="s">
        <v>16643</v>
      </c>
      <c r="Q138" s="2" t="s">
        <v>16644</v>
      </c>
      <c r="R138" s="2" t="s">
        <v>2509</v>
      </c>
      <c r="S138" s="2" t="s">
        <v>5520</v>
      </c>
      <c r="T138" s="2" t="s">
        <v>16645</v>
      </c>
      <c r="U138" s="2" t="s">
        <v>16636</v>
      </c>
      <c r="V138" s="2" t="s">
        <v>15624</v>
      </c>
      <c r="W138" s="2" t="s">
        <v>39</v>
      </c>
    </row>
    <row r="139">
      <c r="A139" s="2" t="n">
        <v>94</v>
      </c>
      <c r="B139" s="2" t="s">
        <v>11003</v>
      </c>
      <c r="C139" s="2" t="s">
        <v>16646</v>
      </c>
      <c r="D139" s="2" t="n">
        <v>255.135547884</v>
      </c>
      <c r="E139" s="2" t="n">
        <v>1.70861600221692</v>
      </c>
      <c r="F139" s="2" t="s">
        <v>21600</v>
      </c>
      <c r="G139" s="2" t="n">
        <v>59726</v>
      </c>
      <c r="H139" s="3" t="str">
        <f>HYPERLINK("http://funmeta.oebiotech.com/network/59726", "http://funmeta.oebiotech.com/network/59726")</f>
      </c>
      <c r="I139" s="2" t="s">
        <v>21601</v>
      </c>
      <c r="J139" s="2"/>
      <c r="K139" s="2"/>
      <c r="L139" s="2" t="s">
        <v>21602</v>
      </c>
      <c r="M139" s="2" t="s">
        <v>21603</v>
      </c>
      <c r="N139" s="2" t="s">
        <v>21604</v>
      </c>
      <c r="O139" s="2" t="s">
        <v>21605</v>
      </c>
      <c r="P139" s="2" t="s">
        <v>21606</v>
      </c>
      <c r="Q139" s="2" t="s">
        <v>21607</v>
      </c>
      <c r="R139" s="2" t="s">
        <v>1490</v>
      </c>
      <c r="S139" s="2" t="s">
        <v>4971</v>
      </c>
      <c r="T139" s="2" t="s">
        <v>8265</v>
      </c>
      <c r="U139" s="2" t="s">
        <v>16647</v>
      </c>
      <c r="V139" s="2" t="s">
        <v>15858</v>
      </c>
      <c r="W139" s="2" t="s">
        <v>39</v>
      </c>
    </row>
    <row r="140">
      <c r="A140" s="2" t="n">
        <v>94</v>
      </c>
      <c r="B140" s="2" t="s">
        <v>21608</v>
      </c>
      <c r="C140" s="2" t="s">
        <v>16646</v>
      </c>
      <c r="D140" s="2" t="n">
        <v>255.135547884</v>
      </c>
      <c r="E140" s="2" t="n">
        <v>1.70861600221692</v>
      </c>
      <c r="F140" s="2" t="s">
        <v>21609</v>
      </c>
      <c r="G140" s="2" t="n">
        <v>59749</v>
      </c>
      <c r="H140" s="3" t="str">
        <f>HYPERLINK("http://funmeta.oebiotech.com/network/59749", "http://funmeta.oebiotech.com/network/59749")</f>
      </c>
      <c r="I140" s="2" t="s">
        <v>21610</v>
      </c>
      <c r="J140" s="2"/>
      <c r="K140" s="2"/>
      <c r="L140" s="2" t="s">
        <v>21611</v>
      </c>
      <c r="M140" s="2"/>
      <c r="N140" s="2" t="s">
        <v>21612</v>
      </c>
      <c r="O140" s="2" t="s">
        <v>21613</v>
      </c>
      <c r="P140" s="2" t="s">
        <v>21614</v>
      </c>
      <c r="Q140" s="2" t="s">
        <v>21615</v>
      </c>
      <c r="R140" s="2" t="s">
        <v>1490</v>
      </c>
      <c r="S140" s="2" t="s">
        <v>4971</v>
      </c>
      <c r="T140" s="2" t="s">
        <v>8265</v>
      </c>
      <c r="U140" s="2" t="s">
        <v>16647</v>
      </c>
      <c r="V140" s="2" t="s">
        <v>15858</v>
      </c>
      <c r="W140" s="2" t="s">
        <v>39</v>
      </c>
    </row>
    <row r="141">
      <c r="A141" s="2" t="n">
        <v>94</v>
      </c>
      <c r="B141" s="2" t="s">
        <v>21616</v>
      </c>
      <c r="C141" s="2" t="s">
        <v>16646</v>
      </c>
      <c r="D141" s="2" t="n">
        <v>255.135547884</v>
      </c>
      <c r="E141" s="2" t="n">
        <v>1.70861600221692</v>
      </c>
      <c r="F141" s="2" t="s">
        <v>21617</v>
      </c>
      <c r="G141" s="2" t="n">
        <v>60366</v>
      </c>
      <c r="H141" s="3" t="str">
        <f>HYPERLINK("http://funmeta.oebiotech.com/network/60366", "http://funmeta.oebiotech.com/network/60366")</f>
      </c>
      <c r="I141" s="2" t="s">
        <v>21618</v>
      </c>
      <c r="J141" s="2"/>
      <c r="K141" s="2"/>
      <c r="L141" s="2" t="s">
        <v>21619</v>
      </c>
      <c r="M141" s="2"/>
      <c r="N141" s="2" t="s">
        <v>21620</v>
      </c>
      <c r="O141" s="2" t="s">
        <v>21621</v>
      </c>
      <c r="P141" s="2" t="s">
        <v>21622</v>
      </c>
      <c r="Q141" s="2" t="s">
        <v>21623</v>
      </c>
      <c r="R141" s="2" t="s">
        <v>1490</v>
      </c>
      <c r="S141" s="2" t="s">
        <v>4971</v>
      </c>
      <c r="T141" s="2" t="s">
        <v>8265</v>
      </c>
      <c r="U141" s="2" t="s">
        <v>16647</v>
      </c>
      <c r="V141" s="2" t="s">
        <v>15858</v>
      </c>
      <c r="W141" s="2" t="s">
        <v>39</v>
      </c>
    </row>
    <row r="142">
      <c r="A142" s="2" t="n">
        <v>95</v>
      </c>
      <c r="B142" s="2" t="s">
        <v>11004</v>
      </c>
      <c r="C142" s="2" t="s">
        <v>16658</v>
      </c>
      <c r="D142" s="2" t="n">
        <v>257.040426606</v>
      </c>
      <c r="E142" s="2" t="n">
        <v>4.18916284266817</v>
      </c>
      <c r="F142" s="2" t="s">
        <v>21624</v>
      </c>
      <c r="G142" s="2" t="n">
        <v>202591</v>
      </c>
      <c r="H142" s="3" t="str">
        <f>HYPERLINK("http://funmeta.oebiotech.com/network/202591", "http://funmeta.oebiotech.com/network/202591")</f>
      </c>
      <c r="I142" s="2" t="s">
        <v>21625</v>
      </c>
      <c r="J142" s="2"/>
      <c r="K142" s="2"/>
      <c r="L142" s="2"/>
      <c r="M142" s="2"/>
      <c r="N142" s="2"/>
      <c r="O142" s="2"/>
      <c r="P142" s="2" t="s">
        <v>21626</v>
      </c>
      <c r="Q142" s="2" t="s">
        <v>21627</v>
      </c>
      <c r="R142" s="2" t="s">
        <v>355</v>
      </c>
      <c r="S142" s="2" t="s">
        <v>10097</v>
      </c>
      <c r="T142" s="2" t="s">
        <v>10098</v>
      </c>
      <c r="U142" s="2" t="s">
        <v>16659</v>
      </c>
      <c r="V142" s="2" t="s">
        <v>15649</v>
      </c>
      <c r="W142" s="2"/>
    </row>
    <row r="143">
      <c r="A143" s="2" t="n">
        <v>95</v>
      </c>
      <c r="B143" s="2" t="s">
        <v>21628</v>
      </c>
      <c r="C143" s="2" t="s">
        <v>16658</v>
      </c>
      <c r="D143" s="2" t="n">
        <v>257.040426606</v>
      </c>
      <c r="E143" s="2" t="n">
        <v>4.18916284266817</v>
      </c>
      <c r="F143" s="2" t="s">
        <v>21629</v>
      </c>
      <c r="G143" s="2" t="n">
        <v>213491</v>
      </c>
      <c r="H143" s="3" t="str">
        <f>HYPERLINK("http://funmeta.oebiotech.com/network/213491", "http://funmeta.oebiotech.com/network/213491")</f>
      </c>
      <c r="I143" s="2" t="s">
        <v>21630</v>
      </c>
      <c r="J143" s="2"/>
      <c r="K143" s="2"/>
      <c r="L143" s="2"/>
      <c r="M143" s="2"/>
      <c r="N143" s="2" t="s">
        <v>21631</v>
      </c>
      <c r="O143" s="2"/>
      <c r="P143" s="2" t="s">
        <v>21632</v>
      </c>
      <c r="Q143" s="2" t="s">
        <v>21633</v>
      </c>
      <c r="R143" s="2" t="s">
        <v>355</v>
      </c>
      <c r="S143" s="2" t="s">
        <v>13047</v>
      </c>
      <c r="T143" s="2" t="s">
        <v>13048</v>
      </c>
      <c r="U143" s="2" t="s">
        <v>16659</v>
      </c>
      <c r="V143" s="2" t="s">
        <v>15649</v>
      </c>
      <c r="W143" s="2"/>
    </row>
    <row r="144">
      <c r="A144" s="2" t="n">
        <v>96</v>
      </c>
      <c r="B144" s="2" t="s">
        <v>11005</v>
      </c>
      <c r="C144" s="2" t="s">
        <v>16668</v>
      </c>
      <c r="D144" s="2" t="n">
        <v>257.080834872</v>
      </c>
      <c r="E144" s="2" t="n">
        <v>0.692762158617481</v>
      </c>
      <c r="F144" s="2" t="s">
        <v>21634</v>
      </c>
      <c r="G144" s="2" t="n">
        <v>34395</v>
      </c>
      <c r="H144" s="3" t="str">
        <f>HYPERLINK("http://funmeta.oebiotech.com/network/34395", "http://funmeta.oebiotech.com/network/34395")</f>
      </c>
      <c r="I144" s="2" t="s">
        <v>21635</v>
      </c>
      <c r="J144" s="2" t="s">
        <v>21636</v>
      </c>
      <c r="K144" s="2" t="s">
        <v>21637</v>
      </c>
      <c r="L144" s="2" t="s">
        <v>21638</v>
      </c>
      <c r="M144" s="2" t="s">
        <v>21639</v>
      </c>
      <c r="N144" s="2" t="s">
        <v>21640</v>
      </c>
      <c r="O144" s="2" t="s">
        <v>21641</v>
      </c>
      <c r="P144" s="2" t="s">
        <v>21642</v>
      </c>
      <c r="Q144" s="2" t="s">
        <v>21643</v>
      </c>
      <c r="R144" s="2" t="s">
        <v>2509</v>
      </c>
      <c r="S144" s="2" t="s">
        <v>5520</v>
      </c>
      <c r="T144" s="2" t="s">
        <v>13396</v>
      </c>
      <c r="U144" s="2" t="s">
        <v>16669</v>
      </c>
      <c r="V144" s="2" t="s">
        <v>15649</v>
      </c>
      <c r="W144" s="2" t="s">
        <v>39</v>
      </c>
    </row>
    <row r="145">
      <c r="A145" s="2" t="n">
        <v>96</v>
      </c>
      <c r="B145" s="2" t="s">
        <v>11016</v>
      </c>
      <c r="C145" s="2" t="s">
        <v>16668</v>
      </c>
      <c r="D145" s="2" t="n">
        <v>257.080834872</v>
      </c>
      <c r="E145" s="2" t="n">
        <v>0.692762158617481</v>
      </c>
      <c r="F145" s="2" t="s">
        <v>21644</v>
      </c>
      <c r="G145" s="2" t="n">
        <v>34243</v>
      </c>
      <c r="H145" s="3" t="str">
        <f>HYPERLINK("http://funmeta.oebiotech.com/network/34243", "http://funmeta.oebiotech.com/network/34243")</f>
      </c>
      <c r="I145" s="2" t="s">
        <v>21645</v>
      </c>
      <c r="J145" s="2" t="s">
        <v>21646</v>
      </c>
      <c r="K145" s="2" t="s">
        <v>21647</v>
      </c>
      <c r="L145" s="2" t="s">
        <v>21648</v>
      </c>
      <c r="M145" s="2" t="s">
        <v>21649</v>
      </c>
      <c r="N145" s="2" t="s">
        <v>21650</v>
      </c>
      <c r="O145" s="2" t="s">
        <v>21651</v>
      </c>
      <c r="P145" s="2" t="s">
        <v>21652</v>
      </c>
      <c r="Q145" s="2" t="s">
        <v>21653</v>
      </c>
      <c r="R145" s="2" t="s">
        <v>2509</v>
      </c>
      <c r="S145" s="2" t="s">
        <v>5520</v>
      </c>
      <c r="T145" s="2" t="s">
        <v>13396</v>
      </c>
      <c r="U145" s="2" t="s">
        <v>16669</v>
      </c>
      <c r="V145" s="2" t="s">
        <v>15649</v>
      </c>
      <c r="W145" s="2" t="s">
        <v>39</v>
      </c>
    </row>
    <row r="146">
      <c r="A146" s="2" t="n">
        <v>96</v>
      </c>
      <c r="B146" s="2" t="s">
        <v>11026</v>
      </c>
      <c r="C146" s="2" t="s">
        <v>16668</v>
      </c>
      <c r="D146" s="2" t="n">
        <v>257.080834872</v>
      </c>
      <c r="E146" s="2" t="n">
        <v>0.692762158617481</v>
      </c>
      <c r="F146" s="2" t="s">
        <v>21654</v>
      </c>
      <c r="G146" s="2" t="n">
        <v>33587</v>
      </c>
      <c r="H146" s="3" t="str">
        <f>HYPERLINK("http://funmeta.oebiotech.com/network/33587", "http://funmeta.oebiotech.com/network/33587")</f>
      </c>
      <c r="I146" s="2" t="s">
        <v>21655</v>
      </c>
      <c r="J146" s="2" t="s">
        <v>21656</v>
      </c>
      <c r="K146" s="2" t="s">
        <v>21657</v>
      </c>
      <c r="L146" s="2" t="s">
        <v>21658</v>
      </c>
      <c r="M146" s="2" t="s">
        <v>21659</v>
      </c>
      <c r="N146" s="2" t="s">
        <v>21660</v>
      </c>
      <c r="O146" s="2" t="s">
        <v>21661</v>
      </c>
      <c r="P146" s="2" t="s">
        <v>21662</v>
      </c>
      <c r="Q146" s="2" t="s">
        <v>21663</v>
      </c>
      <c r="R146" s="2" t="s">
        <v>2509</v>
      </c>
      <c r="S146" s="2" t="s">
        <v>8835</v>
      </c>
      <c r="T146" s="2" t="s">
        <v>8836</v>
      </c>
      <c r="U146" s="2" t="s">
        <v>16669</v>
      </c>
      <c r="V146" s="2" t="s">
        <v>15649</v>
      </c>
      <c r="W146" s="2" t="s">
        <v>39</v>
      </c>
    </row>
    <row r="147">
      <c r="A147" s="2" t="n">
        <v>97</v>
      </c>
      <c r="B147" s="2" t="s">
        <v>11037</v>
      </c>
      <c r="C147" s="2" t="s">
        <v>16683</v>
      </c>
      <c r="D147" s="2" t="n">
        <v>259.085937024</v>
      </c>
      <c r="E147" s="2" t="n">
        <v>1.61943315300901</v>
      </c>
      <c r="F147" s="2" t="s">
        <v>21664</v>
      </c>
      <c r="G147" s="2" t="n">
        <v>257531</v>
      </c>
      <c r="H147" s="3" t="str">
        <f>HYPERLINK("http://funmeta.oebiotech.com/network/257531", "http://funmeta.oebiotech.com/network/257531")</f>
      </c>
      <c r="I147" s="2" t="s">
        <v>21665</v>
      </c>
      <c r="J147" s="2" t="s">
        <v>21666</v>
      </c>
      <c r="K147" s="2"/>
      <c r="L147" s="2"/>
      <c r="M147" s="2" t="s">
        <v>21667</v>
      </c>
      <c r="N147" s="2" t="s">
        <v>21668</v>
      </c>
      <c r="O147" s="2"/>
      <c r="P147" s="2" t="s">
        <v>21669</v>
      </c>
      <c r="Q147" s="2" t="s">
        <v>21670</v>
      </c>
      <c r="R147" s="2" t="s">
        <v>49</v>
      </c>
      <c r="S147" s="2" t="s">
        <v>165</v>
      </c>
      <c r="T147" s="2" t="s">
        <v>166</v>
      </c>
      <c r="U147" s="2" t="s">
        <v>16684</v>
      </c>
      <c r="V147" s="2" t="s">
        <v>15649</v>
      </c>
      <c r="W147" s="2"/>
    </row>
    <row r="148">
      <c r="A148" s="2" t="n">
        <v>97</v>
      </c>
      <c r="B148" s="2" t="s">
        <v>11047</v>
      </c>
      <c r="C148" s="2" t="s">
        <v>16683</v>
      </c>
      <c r="D148" s="2" t="n">
        <v>259.085937024</v>
      </c>
      <c r="E148" s="2" t="n">
        <v>1.61943315300901</v>
      </c>
      <c r="F148" s="2" t="s">
        <v>21671</v>
      </c>
      <c r="G148" s="2" t="n">
        <v>53813</v>
      </c>
      <c r="H148" s="3" t="str">
        <f>HYPERLINK("http://funmeta.oebiotech.com/network/53813", "http://funmeta.oebiotech.com/network/53813")</f>
      </c>
      <c r="I148" s="2" t="s">
        <v>21672</v>
      </c>
      <c r="J148" s="2"/>
      <c r="K148" s="2"/>
      <c r="L148" s="2"/>
      <c r="M148" s="2"/>
      <c r="N148" s="2" t="s">
        <v>21673</v>
      </c>
      <c r="O148" s="2"/>
      <c r="P148" s="2" t="s">
        <v>21674</v>
      </c>
      <c r="Q148" s="2" t="s">
        <v>21675</v>
      </c>
      <c r="R148" s="2" t="s">
        <v>49</v>
      </c>
      <c r="S148" s="2" t="s">
        <v>165</v>
      </c>
      <c r="T148" s="2" t="s">
        <v>166</v>
      </c>
      <c r="U148" s="2" t="s">
        <v>16684</v>
      </c>
      <c r="V148" s="2" t="s">
        <v>15649</v>
      </c>
      <c r="W148" s="2"/>
    </row>
    <row r="149">
      <c r="A149" s="2" t="n">
        <v>97</v>
      </c>
      <c r="B149" s="2" t="s">
        <v>21676</v>
      </c>
      <c r="C149" s="2" t="s">
        <v>16683</v>
      </c>
      <c r="D149" s="2" t="n">
        <v>259.085937501</v>
      </c>
      <c r="E149" s="2" t="n">
        <v>1.61943315300901</v>
      </c>
      <c r="F149" s="2" t="s">
        <v>21677</v>
      </c>
      <c r="G149" s="2" t="n">
        <v>53906</v>
      </c>
      <c r="H149" s="3" t="str">
        <f>HYPERLINK("http://funmeta.oebiotech.com/network/53906", "http://funmeta.oebiotech.com/network/53906")</f>
      </c>
      <c r="I149" s="2" t="s">
        <v>21678</v>
      </c>
      <c r="J149" s="2" t="s">
        <v>21679</v>
      </c>
      <c r="K149" s="2"/>
      <c r="L149" s="2"/>
      <c r="M149" s="2"/>
      <c r="N149" s="2" t="s">
        <v>21680</v>
      </c>
      <c r="O149" s="2" t="s">
        <v>21681</v>
      </c>
      <c r="P149" s="2" t="s">
        <v>21682</v>
      </c>
      <c r="Q149" s="2" t="s">
        <v>21683</v>
      </c>
      <c r="R149" s="2" t="s">
        <v>49</v>
      </c>
      <c r="S149" s="2" t="s">
        <v>165</v>
      </c>
      <c r="T149" s="2" t="s">
        <v>166</v>
      </c>
      <c r="U149" s="2" t="s">
        <v>16684</v>
      </c>
      <c r="V149" s="2" t="s">
        <v>15649</v>
      </c>
      <c r="W149" s="2"/>
    </row>
    <row r="150">
      <c r="A150" s="2" t="n">
        <v>98</v>
      </c>
      <c r="B150" s="2" t="s">
        <v>11057</v>
      </c>
      <c r="C150" s="2" t="s">
        <v>16694</v>
      </c>
      <c r="D150" s="2" t="n">
        <v>260.043463087</v>
      </c>
      <c r="E150" s="2" t="n">
        <v>5.09330298562812</v>
      </c>
      <c r="F150" s="2" t="s">
        <v>21684</v>
      </c>
      <c r="G150" s="2" t="n">
        <v>47607</v>
      </c>
      <c r="H150" s="3" t="str">
        <f>HYPERLINK("http://funmeta.oebiotech.com/network/47607", "http://funmeta.oebiotech.com/network/47607")</f>
      </c>
      <c r="I150" s="2" t="s">
        <v>21685</v>
      </c>
      <c r="J150" s="2" t="s">
        <v>21686</v>
      </c>
      <c r="K150" s="2"/>
      <c r="L150" s="2" t="s">
        <v>21687</v>
      </c>
      <c r="M150" s="2" t="s">
        <v>21688</v>
      </c>
      <c r="N150" s="2" t="s">
        <v>21689</v>
      </c>
      <c r="O150" s="2" t="s">
        <v>21690</v>
      </c>
      <c r="P150" s="2" t="s">
        <v>21691</v>
      </c>
      <c r="Q150" s="2" t="s">
        <v>21692</v>
      </c>
      <c r="R150" s="2" t="s">
        <v>64</v>
      </c>
      <c r="S150" s="2" t="s">
        <v>65</v>
      </c>
      <c r="T150" s="2" t="s">
        <v>66</v>
      </c>
      <c r="U150" s="2" t="s">
        <v>16695</v>
      </c>
      <c r="V150" s="2" t="s">
        <v>15649</v>
      </c>
      <c r="W150" s="2" t="s">
        <v>39</v>
      </c>
    </row>
    <row r="151">
      <c r="A151" s="2" t="n">
        <v>98</v>
      </c>
      <c r="B151" s="2" t="s">
        <v>11065</v>
      </c>
      <c r="C151" s="2" t="s">
        <v>16694</v>
      </c>
      <c r="D151" s="2" t="n">
        <v>260.043463087</v>
      </c>
      <c r="E151" s="2" t="n">
        <v>5.09330298562812</v>
      </c>
      <c r="F151" s="2" t="s">
        <v>21693</v>
      </c>
      <c r="G151" s="2" t="n">
        <v>47111</v>
      </c>
      <c r="H151" s="3" t="str">
        <f>HYPERLINK("http://funmeta.oebiotech.com/network/47111", "http://funmeta.oebiotech.com/network/47111")</f>
      </c>
      <c r="I151" s="2" t="s">
        <v>21694</v>
      </c>
      <c r="J151" s="2" t="s">
        <v>21695</v>
      </c>
      <c r="K151" s="2"/>
      <c r="L151" s="2" t="s">
        <v>21696</v>
      </c>
      <c r="M151" s="2" t="s">
        <v>21697</v>
      </c>
      <c r="N151" s="2" t="s">
        <v>21698</v>
      </c>
      <c r="O151" s="2" t="s">
        <v>21699</v>
      </c>
      <c r="P151" s="2" t="s">
        <v>21700</v>
      </c>
      <c r="Q151" s="2" t="s">
        <v>21701</v>
      </c>
      <c r="R151" s="2" t="s">
        <v>64</v>
      </c>
      <c r="S151" s="2" t="s">
        <v>65</v>
      </c>
      <c r="T151" s="2" t="s">
        <v>66</v>
      </c>
      <c r="U151" s="2" t="s">
        <v>16695</v>
      </c>
      <c r="V151" s="2" t="s">
        <v>15649</v>
      </c>
      <c r="W151" s="2" t="s">
        <v>39</v>
      </c>
    </row>
    <row r="152">
      <c r="A152" s="2" t="n">
        <v>99</v>
      </c>
      <c r="B152" s="2" t="s">
        <v>11082</v>
      </c>
      <c r="C152" s="2" t="s">
        <v>16706</v>
      </c>
      <c r="D152" s="2" t="n">
        <v>261.091594311</v>
      </c>
      <c r="E152" s="2" t="n">
        <v>0.62003022375747</v>
      </c>
      <c r="F152" s="2" t="s">
        <v>21702</v>
      </c>
      <c r="G152" s="2" t="n">
        <v>205961</v>
      </c>
      <c r="H152" s="3" t="str">
        <f>HYPERLINK("http://funmeta.oebiotech.com/network/205961", "http://funmeta.oebiotech.com/network/205961")</f>
      </c>
      <c r="I152" s="2" t="s">
        <v>21703</v>
      </c>
      <c r="J152" s="2" t="s">
        <v>21704</v>
      </c>
      <c r="K152" s="2"/>
      <c r="L152" s="2"/>
      <c r="M152" s="2"/>
      <c r="N152" s="2" t="s">
        <v>21705</v>
      </c>
      <c r="O152" s="2" t="s">
        <v>21706</v>
      </c>
      <c r="P152" s="2" t="s">
        <v>21707</v>
      </c>
      <c r="Q152" s="2" t="s">
        <v>21708</v>
      </c>
      <c r="R152" s="2" t="s">
        <v>1490</v>
      </c>
      <c r="S152" s="2" t="s">
        <v>4971</v>
      </c>
      <c r="T152" s="2" t="s">
        <v>6983</v>
      </c>
      <c r="U152" s="2" t="s">
        <v>16707</v>
      </c>
      <c r="V152" s="2" t="s">
        <v>15611</v>
      </c>
      <c r="W152" s="2"/>
    </row>
    <row r="153">
      <c r="A153" s="2" t="n">
        <v>99</v>
      </c>
      <c r="B153" s="2" t="s">
        <v>11087</v>
      </c>
      <c r="C153" s="2" t="s">
        <v>16706</v>
      </c>
      <c r="D153" s="2" t="n">
        <v>261.091594311</v>
      </c>
      <c r="E153" s="2" t="n">
        <v>0.62003022375747</v>
      </c>
      <c r="F153" s="2" t="s">
        <v>21709</v>
      </c>
      <c r="G153" s="2" t="n">
        <v>208731</v>
      </c>
      <c r="H153" s="3" t="str">
        <f>HYPERLINK("http://funmeta.oebiotech.com/network/208731", "http://funmeta.oebiotech.com/network/208731")</f>
      </c>
      <c r="I153" s="2" t="s">
        <v>21710</v>
      </c>
      <c r="J153" s="2"/>
      <c r="K153" s="2"/>
      <c r="L153" s="2"/>
      <c r="M153" s="2"/>
      <c r="N153" s="2" t="s">
        <v>21711</v>
      </c>
      <c r="O153" s="2"/>
      <c r="P153" s="2" t="s">
        <v>21712</v>
      </c>
      <c r="Q153" s="2" t="s">
        <v>21713</v>
      </c>
      <c r="R153" s="2" t="s">
        <v>1490</v>
      </c>
      <c r="S153" s="2" t="s">
        <v>4971</v>
      </c>
      <c r="T153" s="2" t="s">
        <v>6983</v>
      </c>
      <c r="U153" s="2" t="s">
        <v>16707</v>
      </c>
      <c r="V153" s="2" t="s">
        <v>15611</v>
      </c>
      <c r="W153" s="2"/>
    </row>
    <row r="154">
      <c r="A154" s="2" t="n">
        <v>99</v>
      </c>
      <c r="B154" s="2" t="s">
        <v>21714</v>
      </c>
      <c r="C154" s="2" t="s">
        <v>16706</v>
      </c>
      <c r="D154" s="2" t="n">
        <v>261.091594311</v>
      </c>
      <c r="E154" s="2" t="n">
        <v>0.62003022375747</v>
      </c>
      <c r="F154" s="2" t="s">
        <v>21715</v>
      </c>
      <c r="G154" s="2" t="n">
        <v>199604</v>
      </c>
      <c r="H154" s="3" t="str">
        <f>HYPERLINK("http://funmeta.oebiotech.com/network/199604", "http://funmeta.oebiotech.com/network/199604")</f>
      </c>
      <c r="I154" s="2" t="s">
        <v>21716</v>
      </c>
      <c r="J154" s="2"/>
      <c r="K154" s="2"/>
      <c r="L154" s="2"/>
      <c r="M154" s="2"/>
      <c r="N154" s="2" t="s">
        <v>21717</v>
      </c>
      <c r="O154" s="2"/>
      <c r="P154" s="2" t="s">
        <v>21718</v>
      </c>
      <c r="Q154" s="2" t="s">
        <v>21719</v>
      </c>
      <c r="R154" s="2" t="s">
        <v>1490</v>
      </c>
      <c r="S154" s="2" t="s">
        <v>4971</v>
      </c>
      <c r="T154" s="2" t="s">
        <v>6983</v>
      </c>
      <c r="U154" s="2" t="s">
        <v>16707</v>
      </c>
      <c r="V154" s="2" t="s">
        <v>15611</v>
      </c>
      <c r="W154" s="2"/>
    </row>
    <row r="155">
      <c r="A155" s="2" t="n">
        <v>100</v>
      </c>
      <c r="B155" s="2" t="s">
        <v>11093</v>
      </c>
      <c r="C155" s="2" t="s">
        <v>16717</v>
      </c>
      <c r="D155" s="2" t="n">
        <v>263.0429252</v>
      </c>
      <c r="E155" s="2" t="n">
        <v>3.4426141243033</v>
      </c>
      <c r="F155" s="2" t="s">
        <v>16719</v>
      </c>
      <c r="G155" s="2" t="n">
        <v>204945</v>
      </c>
      <c r="H155" s="3" t="str">
        <f>HYPERLINK("http://funmeta.oebiotech.com/network/204945", "http://funmeta.oebiotech.com/network/204945")</f>
      </c>
      <c r="I155" s="2" t="s">
        <v>16721</v>
      </c>
      <c r="J155" s="2"/>
      <c r="K155" s="2"/>
      <c r="L155" s="2"/>
      <c r="M155" s="2"/>
      <c r="N155" s="2" t="s">
        <v>16722</v>
      </c>
      <c r="O155" s="2"/>
      <c r="P155" s="2" t="s">
        <v>16723</v>
      </c>
      <c r="Q155" s="2" t="s">
        <v>16724</v>
      </c>
      <c r="R155" s="2" t="s">
        <v>2590</v>
      </c>
      <c r="S155" s="2" t="s">
        <v>2591</v>
      </c>
      <c r="T155" s="2" t="s">
        <v>2592</v>
      </c>
      <c r="U155" s="2" t="s">
        <v>16718</v>
      </c>
      <c r="V155" s="2" t="s">
        <v>15649</v>
      </c>
      <c r="W155" s="2"/>
    </row>
    <row r="156">
      <c r="A156" s="2" t="n">
        <v>101</v>
      </c>
      <c r="B156" s="2" t="s">
        <v>11114</v>
      </c>
      <c r="C156" s="2" t="s">
        <v>16725</v>
      </c>
      <c r="D156" s="2" t="n">
        <v>266.161739556</v>
      </c>
      <c r="E156" s="2" t="n">
        <v>0.0960221350327262</v>
      </c>
      <c r="F156" s="2" t="s">
        <v>21720</v>
      </c>
      <c r="G156" s="2" t="n">
        <v>53914</v>
      </c>
      <c r="H156" s="3" t="str">
        <f>HYPERLINK("http://funmeta.oebiotech.com/network/53914", "http://funmeta.oebiotech.com/network/53914")</f>
      </c>
      <c r="I156" s="2" t="s">
        <v>21721</v>
      </c>
      <c r="J156" s="2" t="s">
        <v>21722</v>
      </c>
      <c r="K156" s="2"/>
      <c r="L156" s="2"/>
      <c r="M156" s="2" t="s">
        <v>21723</v>
      </c>
      <c r="N156" s="2" t="s">
        <v>21724</v>
      </c>
      <c r="O156" s="2" t="s">
        <v>21725</v>
      </c>
      <c r="P156" s="2" t="s">
        <v>21726</v>
      </c>
      <c r="Q156" s="2" t="s">
        <v>21727</v>
      </c>
      <c r="R156" s="2" t="s">
        <v>49</v>
      </c>
      <c r="S156" s="2" t="s">
        <v>165</v>
      </c>
      <c r="T156" s="2" t="s">
        <v>166</v>
      </c>
      <c r="U156" s="2" t="s">
        <v>16726</v>
      </c>
      <c r="V156" s="2" t="s">
        <v>15611</v>
      </c>
      <c r="W156" s="2"/>
    </row>
    <row r="157">
      <c r="A157" s="2" t="n">
        <v>101</v>
      </c>
      <c r="B157" s="2" t="s">
        <v>11123</v>
      </c>
      <c r="C157" s="2" t="s">
        <v>16725</v>
      </c>
      <c r="D157" s="2" t="n">
        <v>266.161739556</v>
      </c>
      <c r="E157" s="2" t="n">
        <v>0.0960221350327262</v>
      </c>
      <c r="F157" s="2" t="s">
        <v>21728</v>
      </c>
      <c r="G157" s="2" t="n">
        <v>53974</v>
      </c>
      <c r="H157" s="3" t="str">
        <f>HYPERLINK("http://funmeta.oebiotech.com/network/53974", "http://funmeta.oebiotech.com/network/53974")</f>
      </c>
      <c r="I157" s="2" t="s">
        <v>21729</v>
      </c>
      <c r="J157" s="2" t="s">
        <v>21730</v>
      </c>
      <c r="K157" s="2"/>
      <c r="L157" s="2"/>
      <c r="M157" s="2"/>
      <c r="N157" s="2" t="s">
        <v>21731</v>
      </c>
      <c r="O157" s="2" t="s">
        <v>21732</v>
      </c>
      <c r="P157" s="2" t="s">
        <v>21733</v>
      </c>
      <c r="Q157" s="2" t="s">
        <v>21734</v>
      </c>
      <c r="R157" s="2" t="s">
        <v>49</v>
      </c>
      <c r="S157" s="2" t="s">
        <v>165</v>
      </c>
      <c r="T157" s="2" t="s">
        <v>166</v>
      </c>
      <c r="U157" s="2" t="s">
        <v>16726</v>
      </c>
      <c r="V157" s="2" t="s">
        <v>15611</v>
      </c>
      <c r="W157" s="2"/>
    </row>
    <row r="158">
      <c r="A158" s="2" t="n">
        <v>101</v>
      </c>
      <c r="B158" s="2" t="s">
        <v>11133</v>
      </c>
      <c r="C158" s="2" t="s">
        <v>16725</v>
      </c>
      <c r="D158" s="2" t="n">
        <v>266.161739563</v>
      </c>
      <c r="E158" s="2" t="n">
        <v>0.0960221350327262</v>
      </c>
      <c r="F158" s="2" t="s">
        <v>21735</v>
      </c>
      <c r="G158" s="2" t="n">
        <v>64884</v>
      </c>
      <c r="H158" s="3" t="str">
        <f>HYPERLINK("http://funmeta.oebiotech.com/network/64884", "http://funmeta.oebiotech.com/network/64884")</f>
      </c>
      <c r="I158" s="2" t="s">
        <v>21736</v>
      </c>
      <c r="J158" s="2" t="s">
        <v>21737</v>
      </c>
      <c r="K158" s="2"/>
      <c r="L158" s="2"/>
      <c r="M158" s="2"/>
      <c r="N158" s="2" t="s">
        <v>21738</v>
      </c>
      <c r="O158" s="2" t="s">
        <v>21739</v>
      </c>
      <c r="P158" s="2" t="s">
        <v>21740</v>
      </c>
      <c r="Q158" s="2" t="s">
        <v>21741</v>
      </c>
      <c r="R158" s="2" t="s">
        <v>36</v>
      </c>
      <c r="S158" s="2" t="s">
        <v>37</v>
      </c>
      <c r="T158" s="2" t="s">
        <v>679</v>
      </c>
      <c r="U158" s="2" t="s">
        <v>16726</v>
      </c>
      <c r="V158" s="2" t="s">
        <v>15611</v>
      </c>
      <c r="W158" s="2"/>
    </row>
    <row r="159">
      <c r="A159" s="2" t="n">
        <v>102</v>
      </c>
      <c r="B159" s="2" t="s">
        <v>11143</v>
      </c>
      <c r="C159" s="2" t="s">
        <v>16739</v>
      </c>
      <c r="D159" s="2" t="n">
        <v>268.108052671</v>
      </c>
      <c r="E159" s="2" t="n">
        <v>4.7470004634486</v>
      </c>
      <c r="F159" s="2" t="s">
        <v>16741</v>
      </c>
      <c r="G159" s="2" t="n">
        <v>210577</v>
      </c>
      <c r="H159" s="3" t="str">
        <f>HYPERLINK("http://funmeta.oebiotech.com/network/210577", "http://funmeta.oebiotech.com/network/210577")</f>
      </c>
      <c r="I159" s="2" t="s">
        <v>16743</v>
      </c>
      <c r="J159" s="2" t="s">
        <v>16744</v>
      </c>
      <c r="K159" s="2"/>
      <c r="L159" s="2" t="s">
        <v>16745</v>
      </c>
      <c r="M159" s="2" t="s">
        <v>16746</v>
      </c>
      <c r="N159" s="2" t="s">
        <v>16747</v>
      </c>
      <c r="O159" s="2" t="s">
        <v>16748</v>
      </c>
      <c r="P159" s="2" t="s">
        <v>16749</v>
      </c>
      <c r="Q159" s="2" t="s">
        <v>16750</v>
      </c>
      <c r="R159" s="2" t="s">
        <v>502</v>
      </c>
      <c r="S159" s="2" t="s">
        <v>503</v>
      </c>
      <c r="T159" s="2" t="s">
        <v>2651</v>
      </c>
      <c r="U159" s="2" t="s">
        <v>16740</v>
      </c>
      <c r="V159" s="2" t="s">
        <v>15649</v>
      </c>
      <c r="W159" s="2" t="s">
        <v>39</v>
      </c>
    </row>
    <row r="160">
      <c r="A160" s="2" t="n">
        <v>103</v>
      </c>
      <c r="B160" s="2" t="s">
        <v>11144</v>
      </c>
      <c r="C160" s="2" t="s">
        <v>16751</v>
      </c>
      <c r="D160" s="2" t="n">
        <v>271.060648462</v>
      </c>
      <c r="E160" s="2" t="n">
        <v>4.00228120900745</v>
      </c>
      <c r="F160" s="2" t="s">
        <v>21742</v>
      </c>
      <c r="G160" s="2" t="n">
        <v>54227</v>
      </c>
      <c r="H160" s="3" t="str">
        <f>HYPERLINK("http://funmeta.oebiotech.com/network/54227", "http://funmeta.oebiotech.com/network/54227")</f>
      </c>
      <c r="I160" s="2" t="s">
        <v>21743</v>
      </c>
      <c r="J160" s="2" t="s">
        <v>21744</v>
      </c>
      <c r="K160" s="2"/>
      <c r="L160" s="2" t="s">
        <v>21745</v>
      </c>
      <c r="M160" s="2" t="s">
        <v>21746</v>
      </c>
      <c r="N160" s="2" t="s">
        <v>21747</v>
      </c>
      <c r="O160" s="2" t="s">
        <v>21748</v>
      </c>
      <c r="P160" s="2" t="s">
        <v>21749</v>
      </c>
      <c r="Q160" s="2" t="s">
        <v>21750</v>
      </c>
      <c r="R160" s="2" t="s">
        <v>2509</v>
      </c>
      <c r="S160" s="2" t="s">
        <v>5520</v>
      </c>
      <c r="T160" s="2" t="s">
        <v>16645</v>
      </c>
      <c r="U160" s="2" t="s">
        <v>16752</v>
      </c>
      <c r="V160" s="2" t="s">
        <v>15624</v>
      </c>
      <c r="W160" s="2" t="s">
        <v>39</v>
      </c>
    </row>
    <row r="161">
      <c r="A161" s="2" t="n">
        <v>103</v>
      </c>
      <c r="B161" s="2" t="s">
        <v>21751</v>
      </c>
      <c r="C161" s="2" t="s">
        <v>16751</v>
      </c>
      <c r="D161" s="2" t="n">
        <v>271.060648462</v>
      </c>
      <c r="E161" s="2" t="n">
        <v>4.00228120900745</v>
      </c>
      <c r="F161" s="2" t="s">
        <v>21752</v>
      </c>
      <c r="G161" s="2" t="n">
        <v>28380</v>
      </c>
      <c r="H161" s="3" t="str">
        <f>HYPERLINK("http://funmeta.oebiotech.com/network/28380", "http://funmeta.oebiotech.com/network/28380")</f>
      </c>
      <c r="I161" s="2" t="s">
        <v>21753</v>
      </c>
      <c r="J161" s="2" t="s">
        <v>21754</v>
      </c>
      <c r="K161" s="2" t="s">
        <v>21755</v>
      </c>
      <c r="L161" s="2" t="s">
        <v>21756</v>
      </c>
      <c r="M161" s="2" t="s">
        <v>21757</v>
      </c>
      <c r="N161" s="2" t="s">
        <v>21758</v>
      </c>
      <c r="O161" s="2" t="s">
        <v>21759</v>
      </c>
      <c r="P161" s="2" t="s">
        <v>21760</v>
      </c>
      <c r="Q161" s="2" t="s">
        <v>21761</v>
      </c>
      <c r="R161" s="2" t="s">
        <v>2509</v>
      </c>
      <c r="S161" s="2" t="s">
        <v>5520</v>
      </c>
      <c r="T161" s="2" t="s">
        <v>16645</v>
      </c>
      <c r="U161" s="2" t="s">
        <v>16752</v>
      </c>
      <c r="V161" s="2" t="s">
        <v>15624</v>
      </c>
      <c r="W161" s="2" t="s">
        <v>39</v>
      </c>
    </row>
    <row r="162">
      <c r="A162" s="2" t="n">
        <v>104</v>
      </c>
      <c r="B162" s="2" t="s">
        <v>11145</v>
      </c>
      <c r="C162" s="2" t="s">
        <v>16765</v>
      </c>
      <c r="D162" s="2" t="n">
        <v>271.130185095</v>
      </c>
      <c r="E162" s="2" t="n">
        <v>1.2737075760287</v>
      </c>
      <c r="F162" s="2" t="s">
        <v>16767</v>
      </c>
      <c r="G162" s="2" t="n">
        <v>213099</v>
      </c>
      <c r="H162" s="3" t="str">
        <f>HYPERLINK("http://funmeta.oebiotech.com/network/213099", "http://funmeta.oebiotech.com/network/213099")</f>
      </c>
      <c r="I162" s="2" t="s">
        <v>16769</v>
      </c>
      <c r="J162" s="2"/>
      <c r="K162" s="2"/>
      <c r="L162" s="2"/>
      <c r="M162" s="2"/>
      <c r="N162" s="2"/>
      <c r="O162" s="2"/>
      <c r="P162" s="2" t="s">
        <v>16770</v>
      </c>
      <c r="Q162" s="2" t="s">
        <v>16771</v>
      </c>
      <c r="R162" s="2" t="s">
        <v>355</v>
      </c>
      <c r="S162" s="2" t="s">
        <v>1316</v>
      </c>
      <c r="T162" s="2" t="s">
        <v>16772</v>
      </c>
      <c r="U162" s="2" t="s">
        <v>16766</v>
      </c>
      <c r="V162" s="2" t="s">
        <v>15649</v>
      </c>
      <c r="W162" s="2"/>
    </row>
    <row r="163">
      <c r="A163" s="2" t="n">
        <v>105</v>
      </c>
      <c r="B163" s="2" t="s">
        <v>11174</v>
      </c>
      <c r="C163" s="2" t="s">
        <v>16773</v>
      </c>
      <c r="D163" s="2" t="n">
        <v>272.162096985</v>
      </c>
      <c r="E163" s="2" t="n">
        <v>2.29199979528478</v>
      </c>
      <c r="F163" s="2" t="s">
        <v>21762</v>
      </c>
      <c r="G163" s="2" t="n">
        <v>53137</v>
      </c>
      <c r="H163" s="3" t="str">
        <f>HYPERLINK("http://funmeta.oebiotech.com/network/53137", "http://funmeta.oebiotech.com/network/53137")</f>
      </c>
      <c r="I163" s="2" t="s">
        <v>21763</v>
      </c>
      <c r="J163" s="2" t="s">
        <v>21764</v>
      </c>
      <c r="K163" s="2"/>
      <c r="L163" s="2"/>
      <c r="M163" s="2" t="s">
        <v>21765</v>
      </c>
      <c r="N163" s="2" t="s">
        <v>6989</v>
      </c>
      <c r="O163" s="2" t="s">
        <v>21766</v>
      </c>
      <c r="P163" s="2" t="s">
        <v>21767</v>
      </c>
      <c r="Q163" s="2" t="s">
        <v>21768</v>
      </c>
      <c r="R163" s="2" t="s">
        <v>502</v>
      </c>
      <c r="S163" s="2" t="s">
        <v>1467</v>
      </c>
      <c r="T163" s="2" t="s">
        <v>205</v>
      </c>
      <c r="U163" s="2" t="s">
        <v>16774</v>
      </c>
      <c r="V163" s="2" t="s">
        <v>15858</v>
      </c>
      <c r="W163" s="2"/>
    </row>
    <row r="164">
      <c r="A164" s="2" t="n">
        <v>105</v>
      </c>
      <c r="B164" s="2" t="s">
        <v>21769</v>
      </c>
      <c r="C164" s="2" t="s">
        <v>16773</v>
      </c>
      <c r="D164" s="2" t="n">
        <v>272.162096985</v>
      </c>
      <c r="E164" s="2" t="n">
        <v>2.29199979528478</v>
      </c>
      <c r="F164" s="2" t="s">
        <v>21770</v>
      </c>
      <c r="G164" s="2" t="n">
        <v>82710</v>
      </c>
      <c r="H164" s="3" t="str">
        <f>HYPERLINK("http://funmeta.oebiotech.com/network/82710", "http://funmeta.oebiotech.com/network/82710")</f>
      </c>
      <c r="I164" s="2" t="s">
        <v>21771</v>
      </c>
      <c r="J164" s="2" t="s">
        <v>3427</v>
      </c>
      <c r="K164" s="2"/>
      <c r="L164" s="2"/>
      <c r="M164" s="2" t="s">
        <v>21772</v>
      </c>
      <c r="N164" s="2" t="s">
        <v>21773</v>
      </c>
      <c r="O164" s="2" t="s">
        <v>21774</v>
      </c>
      <c r="P164" s="2" t="s">
        <v>21775</v>
      </c>
      <c r="Q164" s="2" t="s">
        <v>21776</v>
      </c>
      <c r="R164" s="2" t="s">
        <v>64</v>
      </c>
      <c r="S164" s="2" t="s">
        <v>65</v>
      </c>
      <c r="T164" s="2" t="s">
        <v>2921</v>
      </c>
      <c r="U164" s="2" t="s">
        <v>16774</v>
      </c>
      <c r="V164" s="2" t="s">
        <v>15858</v>
      </c>
      <c r="W164" s="2"/>
    </row>
    <row r="165">
      <c r="A165" s="2" t="n">
        <v>105</v>
      </c>
      <c r="B165" s="2" t="s">
        <v>21777</v>
      </c>
      <c r="C165" s="2" t="s">
        <v>16773</v>
      </c>
      <c r="D165" s="2" t="n">
        <v>272.162096985</v>
      </c>
      <c r="E165" s="2" t="n">
        <v>2.29199979528478</v>
      </c>
      <c r="F165" s="2" t="s">
        <v>21778</v>
      </c>
      <c r="G165" s="2" t="n">
        <v>82835</v>
      </c>
      <c r="H165" s="3" t="str">
        <f>HYPERLINK("http://funmeta.oebiotech.com/network/82835", "http://funmeta.oebiotech.com/network/82835")</f>
      </c>
      <c r="I165" s="2" t="s">
        <v>21779</v>
      </c>
      <c r="J165" s="2"/>
      <c r="K165" s="2"/>
      <c r="L165" s="2"/>
      <c r="M165" s="2"/>
      <c r="N165" s="2" t="s">
        <v>21780</v>
      </c>
      <c r="O165" s="2" t="s">
        <v>21781</v>
      </c>
      <c r="P165" s="2" t="s">
        <v>21782</v>
      </c>
      <c r="Q165" s="2" t="s">
        <v>21783</v>
      </c>
      <c r="R165" s="2" t="s">
        <v>502</v>
      </c>
      <c r="S165" s="2" t="s">
        <v>503</v>
      </c>
      <c r="T165" s="2" t="s">
        <v>21784</v>
      </c>
      <c r="U165" s="2" t="s">
        <v>16774</v>
      </c>
      <c r="V165" s="2" t="s">
        <v>15858</v>
      </c>
      <c r="W165" s="2"/>
    </row>
    <row r="166">
      <c r="A166" s="2" t="n">
        <v>106</v>
      </c>
      <c r="B166" s="2" t="s">
        <v>11175</v>
      </c>
      <c r="C166" s="2" t="s">
        <v>16787</v>
      </c>
      <c r="D166" s="2" t="n">
        <v>273.080458196</v>
      </c>
      <c r="E166" s="2" t="n">
        <v>7.71007013431572</v>
      </c>
      <c r="F166" s="2" t="s">
        <v>16789</v>
      </c>
      <c r="G166" s="2" t="n">
        <v>205672</v>
      </c>
      <c r="H166" s="3" t="str">
        <f>HYPERLINK("http://funmeta.oebiotech.com/network/205672", "http://funmeta.oebiotech.com/network/205672")</f>
      </c>
      <c r="I166" s="2" t="s">
        <v>16791</v>
      </c>
      <c r="J166" s="2"/>
      <c r="K166" s="2"/>
      <c r="L166" s="2"/>
      <c r="M166" s="2"/>
      <c r="N166" s="2" t="s">
        <v>16792</v>
      </c>
      <c r="O166" s="2"/>
      <c r="P166" s="2" t="s">
        <v>16793</v>
      </c>
      <c r="Q166" s="2" t="s">
        <v>16794</v>
      </c>
      <c r="R166" s="2" t="s">
        <v>355</v>
      </c>
      <c r="S166" s="2" t="s">
        <v>2424</v>
      </c>
      <c r="T166" s="2" t="s">
        <v>11439</v>
      </c>
      <c r="U166" s="2" t="s">
        <v>16788</v>
      </c>
      <c r="V166" s="2" t="s">
        <v>15649</v>
      </c>
      <c r="W166" s="2"/>
    </row>
    <row r="167">
      <c r="A167" s="2" t="n">
        <v>107</v>
      </c>
      <c r="B167" s="2" t="s">
        <v>11176</v>
      </c>
      <c r="C167" s="2" t="s">
        <v>16795</v>
      </c>
      <c r="D167" s="2" t="n">
        <v>275.055602738</v>
      </c>
      <c r="E167" s="2" t="n">
        <v>0.40147312420728</v>
      </c>
      <c r="F167" s="2" t="s">
        <v>16797</v>
      </c>
      <c r="G167" s="2" t="n">
        <v>58355</v>
      </c>
      <c r="H167" s="3" t="str">
        <f>HYPERLINK("http://funmeta.oebiotech.com/network/58355", "http://funmeta.oebiotech.com/network/58355")</f>
      </c>
      <c r="I167" s="2" t="s">
        <v>16799</v>
      </c>
      <c r="J167" s="2"/>
      <c r="K167" s="2"/>
      <c r="L167" s="2"/>
      <c r="M167" s="2"/>
      <c r="N167" s="2"/>
      <c r="O167" s="2" t="s">
        <v>16800</v>
      </c>
      <c r="P167" s="2" t="s">
        <v>16801</v>
      </c>
      <c r="Q167" s="2" t="s">
        <v>16802</v>
      </c>
      <c r="R167" s="2" t="s">
        <v>49</v>
      </c>
      <c r="S167" s="2" t="s">
        <v>16803</v>
      </c>
      <c r="T167" s="2" t="s">
        <v>205</v>
      </c>
      <c r="U167" s="2" t="s">
        <v>16796</v>
      </c>
      <c r="V167" s="2" t="s">
        <v>15611</v>
      </c>
      <c r="W167" s="2"/>
    </row>
    <row r="168">
      <c r="A168" s="2" t="n">
        <v>108</v>
      </c>
      <c r="B168" s="2" t="s">
        <v>11202</v>
      </c>
      <c r="C168" s="2" t="s">
        <v>16804</v>
      </c>
      <c r="D168" s="2" t="n">
        <v>276.0552601</v>
      </c>
      <c r="E168" s="2" t="n">
        <v>0.979583121061844</v>
      </c>
      <c r="F168" s="2" t="s">
        <v>16806</v>
      </c>
      <c r="G168" s="2" t="n">
        <v>204966</v>
      </c>
      <c r="H168" s="3" t="str">
        <f>HYPERLINK("http://funmeta.oebiotech.com/network/204966", "http://funmeta.oebiotech.com/network/204966")</f>
      </c>
      <c r="I168" s="2" t="s">
        <v>16808</v>
      </c>
      <c r="J168" s="2" t="s">
        <v>16809</v>
      </c>
      <c r="K168" s="2"/>
      <c r="L168" s="2"/>
      <c r="M168" s="2"/>
      <c r="N168" s="2" t="s">
        <v>16810</v>
      </c>
      <c r="O168" s="2" t="s">
        <v>16811</v>
      </c>
      <c r="P168" s="2" t="s">
        <v>16812</v>
      </c>
      <c r="Q168" s="2" t="s">
        <v>16813</v>
      </c>
      <c r="R168" s="2" t="s">
        <v>36</v>
      </c>
      <c r="S168" s="2" t="s">
        <v>37</v>
      </c>
      <c r="T168" s="2" t="s">
        <v>12811</v>
      </c>
      <c r="U168" s="2" t="s">
        <v>16805</v>
      </c>
      <c r="V168" s="2" t="s">
        <v>15649</v>
      </c>
      <c r="W168" s="2"/>
    </row>
    <row r="169">
      <c r="A169" s="2" t="n">
        <v>109</v>
      </c>
      <c r="B169" s="2" t="s">
        <v>11234</v>
      </c>
      <c r="C169" s="2" t="s">
        <v>16814</v>
      </c>
      <c r="D169" s="2" t="n">
        <v>277.058514946</v>
      </c>
      <c r="E169" s="2" t="n">
        <v>1.20146394373979</v>
      </c>
      <c r="F169" s="2" t="s">
        <v>16816</v>
      </c>
      <c r="G169" s="2" t="n">
        <v>53204</v>
      </c>
      <c r="H169" s="3" t="str">
        <f>HYPERLINK("http://funmeta.oebiotech.com/network/53204", "http://funmeta.oebiotech.com/network/53204")</f>
      </c>
      <c r="I169" s="2" t="s">
        <v>16818</v>
      </c>
      <c r="J169" s="2" t="s">
        <v>16819</v>
      </c>
      <c r="K169" s="2"/>
      <c r="L169" s="2" t="s">
        <v>16820</v>
      </c>
      <c r="M169" s="2" t="s">
        <v>16821</v>
      </c>
      <c r="N169" s="2" t="s">
        <v>16822</v>
      </c>
      <c r="O169" s="2" t="s">
        <v>16823</v>
      </c>
      <c r="P169" s="2" t="s">
        <v>16824</v>
      </c>
      <c r="Q169" s="2" t="s">
        <v>16825</v>
      </c>
      <c r="R169" s="2" t="s">
        <v>502</v>
      </c>
      <c r="S169" s="2" t="s">
        <v>503</v>
      </c>
      <c r="T169" s="2" t="s">
        <v>205</v>
      </c>
      <c r="U169" s="2" t="s">
        <v>16815</v>
      </c>
      <c r="V169" s="2" t="s">
        <v>15919</v>
      </c>
      <c r="W169" s="2" t="s">
        <v>39</v>
      </c>
    </row>
    <row r="170">
      <c r="A170" s="2" t="n">
        <v>110</v>
      </c>
      <c r="B170" s="2" t="s">
        <v>11235</v>
      </c>
      <c r="C170" s="2" t="s">
        <v>16826</v>
      </c>
      <c r="D170" s="2" t="n">
        <v>277.110156586</v>
      </c>
      <c r="E170" s="2" t="n">
        <v>1.10183948542223</v>
      </c>
      <c r="F170" s="2" t="s">
        <v>21785</v>
      </c>
      <c r="G170" s="2" t="n">
        <v>209650</v>
      </c>
      <c r="H170" s="3" t="str">
        <f>HYPERLINK("http://funmeta.oebiotech.com/network/209650", "http://funmeta.oebiotech.com/network/209650")</f>
      </c>
      <c r="I170" s="2" t="s">
        <v>21786</v>
      </c>
      <c r="J170" s="2" t="s">
        <v>21787</v>
      </c>
      <c r="K170" s="2"/>
      <c r="L170" s="2"/>
      <c r="M170" s="2" t="s">
        <v>21788</v>
      </c>
      <c r="N170" s="2" t="s">
        <v>21789</v>
      </c>
      <c r="O170" s="2" t="s">
        <v>21790</v>
      </c>
      <c r="P170" s="2" t="s">
        <v>21791</v>
      </c>
      <c r="Q170" s="2" t="s">
        <v>21792</v>
      </c>
      <c r="R170" s="2" t="s">
        <v>355</v>
      </c>
      <c r="S170" s="2" t="s">
        <v>8320</v>
      </c>
      <c r="T170" s="2" t="s">
        <v>13845</v>
      </c>
      <c r="U170" s="2" t="s">
        <v>16827</v>
      </c>
      <c r="V170" s="2" t="s">
        <v>15919</v>
      </c>
      <c r="W170" s="2"/>
    </row>
    <row r="171">
      <c r="A171" s="2" t="n">
        <v>110</v>
      </c>
      <c r="B171" s="2" t="s">
        <v>11244</v>
      </c>
      <c r="C171" s="2" t="s">
        <v>16826</v>
      </c>
      <c r="D171" s="2" t="n">
        <v>277.110156588</v>
      </c>
      <c r="E171" s="2" t="n">
        <v>1.10183948542223</v>
      </c>
      <c r="F171" s="2" t="s">
        <v>21793</v>
      </c>
      <c r="G171" s="2" t="n">
        <v>208614</v>
      </c>
      <c r="H171" s="3" t="str">
        <f>HYPERLINK("http://funmeta.oebiotech.com/network/208614", "http://funmeta.oebiotech.com/network/208614")</f>
      </c>
      <c r="I171" s="2" t="s">
        <v>21794</v>
      </c>
      <c r="J171" s="2"/>
      <c r="K171" s="2"/>
      <c r="L171" s="2"/>
      <c r="M171" s="2"/>
      <c r="N171" s="2"/>
      <c r="O171" s="2"/>
      <c r="P171" s="2" t="s">
        <v>21795</v>
      </c>
      <c r="Q171" s="2" t="s">
        <v>21796</v>
      </c>
      <c r="R171" s="2" t="s">
        <v>355</v>
      </c>
      <c r="S171" s="2" t="s">
        <v>3333</v>
      </c>
      <c r="T171" s="2" t="s">
        <v>3334</v>
      </c>
      <c r="U171" s="2" t="s">
        <v>16827</v>
      </c>
      <c r="V171" s="2" t="s">
        <v>15919</v>
      </c>
      <c r="W171" s="2"/>
    </row>
    <row r="172">
      <c r="A172" s="2" t="n">
        <v>110</v>
      </c>
      <c r="B172" s="2" t="s">
        <v>21797</v>
      </c>
      <c r="C172" s="2" t="s">
        <v>16826</v>
      </c>
      <c r="D172" s="2" t="n">
        <v>277.110156588</v>
      </c>
      <c r="E172" s="2" t="n">
        <v>1.10183948542223</v>
      </c>
      <c r="F172" s="2" t="s">
        <v>21798</v>
      </c>
      <c r="G172" s="2" t="n">
        <v>211510</v>
      </c>
      <c r="H172" s="3" t="str">
        <f>HYPERLINK("http://funmeta.oebiotech.com/network/211510", "http://funmeta.oebiotech.com/network/211510")</f>
      </c>
      <c r="I172" s="2" t="s">
        <v>21799</v>
      </c>
      <c r="J172" s="2"/>
      <c r="K172" s="2"/>
      <c r="L172" s="2"/>
      <c r="M172" s="2"/>
      <c r="N172" s="2" t="s">
        <v>21800</v>
      </c>
      <c r="O172" s="2"/>
      <c r="P172" s="2" t="s">
        <v>21801</v>
      </c>
      <c r="Q172" s="2" t="s">
        <v>21802</v>
      </c>
      <c r="R172" s="2" t="s">
        <v>502</v>
      </c>
      <c r="S172" s="2" t="s">
        <v>20231</v>
      </c>
      <c r="T172" s="2" t="s">
        <v>205</v>
      </c>
      <c r="U172" s="2" t="s">
        <v>16827</v>
      </c>
      <c r="V172" s="2" t="s">
        <v>15919</v>
      </c>
      <c r="W172" s="2"/>
    </row>
    <row r="173">
      <c r="A173" s="2" t="n">
        <v>111</v>
      </c>
      <c r="B173" s="2" t="s">
        <v>11253</v>
      </c>
      <c r="C173" s="2" t="s">
        <v>16839</v>
      </c>
      <c r="D173" s="2" t="n">
        <v>279.05051736</v>
      </c>
      <c r="E173" s="2" t="n">
        <v>4.17120156463982</v>
      </c>
      <c r="F173" s="2" t="s">
        <v>21803</v>
      </c>
      <c r="G173" s="2" t="n">
        <v>54288</v>
      </c>
      <c r="H173" s="3" t="str">
        <f>HYPERLINK("http://funmeta.oebiotech.com/network/54288", "http://funmeta.oebiotech.com/network/54288")</f>
      </c>
      <c r="I173" s="2" t="s">
        <v>21804</v>
      </c>
      <c r="J173" s="2"/>
      <c r="K173" s="2"/>
      <c r="L173" s="2"/>
      <c r="M173" s="2" t="s">
        <v>21805</v>
      </c>
      <c r="N173" s="2" t="s">
        <v>21806</v>
      </c>
      <c r="O173" s="2" t="s">
        <v>21807</v>
      </c>
      <c r="P173" s="2" t="s">
        <v>21808</v>
      </c>
      <c r="Q173" s="2" t="s">
        <v>21809</v>
      </c>
      <c r="R173" s="2" t="s">
        <v>2509</v>
      </c>
      <c r="S173" s="2" t="s">
        <v>4528</v>
      </c>
      <c r="T173" s="2" t="s">
        <v>4529</v>
      </c>
      <c r="U173" s="2" t="s">
        <v>16840</v>
      </c>
      <c r="V173" s="2" t="s">
        <v>15611</v>
      </c>
      <c r="W173" s="2"/>
    </row>
    <row r="174">
      <c r="A174" s="2" t="n">
        <v>111</v>
      </c>
      <c r="B174" s="2" t="s">
        <v>21810</v>
      </c>
      <c r="C174" s="2" t="s">
        <v>16839</v>
      </c>
      <c r="D174" s="2" t="n">
        <v>279.05051736</v>
      </c>
      <c r="E174" s="2" t="n">
        <v>4.17120156463982</v>
      </c>
      <c r="F174" s="2" t="s">
        <v>21811</v>
      </c>
      <c r="G174" s="2" t="n">
        <v>58614</v>
      </c>
      <c r="H174" s="3" t="str">
        <f>HYPERLINK("http://funmeta.oebiotech.com/network/58614", "http://funmeta.oebiotech.com/network/58614")</f>
      </c>
      <c r="I174" s="2" t="s">
        <v>21812</v>
      </c>
      <c r="J174" s="2" t="s">
        <v>21813</v>
      </c>
      <c r="K174" s="2"/>
      <c r="L174" s="2"/>
      <c r="M174" s="2"/>
      <c r="N174" s="2" t="s">
        <v>21814</v>
      </c>
      <c r="O174" s="2" t="s">
        <v>21815</v>
      </c>
      <c r="P174" s="2" t="s">
        <v>21816</v>
      </c>
      <c r="Q174" s="2" t="s">
        <v>21817</v>
      </c>
      <c r="R174" s="2" t="s">
        <v>2509</v>
      </c>
      <c r="S174" s="2" t="s">
        <v>4528</v>
      </c>
      <c r="T174" s="2" t="s">
        <v>4529</v>
      </c>
      <c r="U174" s="2" t="s">
        <v>16840</v>
      </c>
      <c r="V174" s="2" t="s">
        <v>15611</v>
      </c>
      <c r="W174" s="2"/>
    </row>
    <row r="175">
      <c r="A175" s="2" t="n">
        <v>111</v>
      </c>
      <c r="B175" s="2" t="s">
        <v>21818</v>
      </c>
      <c r="C175" s="2" t="s">
        <v>16839</v>
      </c>
      <c r="D175" s="2" t="n">
        <v>279.05051736</v>
      </c>
      <c r="E175" s="2" t="n">
        <v>4.17120156463982</v>
      </c>
      <c r="F175" s="2" t="s">
        <v>21819</v>
      </c>
      <c r="G175" s="2" t="n">
        <v>57220</v>
      </c>
      <c r="H175" s="3" t="str">
        <f>HYPERLINK("http://funmeta.oebiotech.com/network/57220", "http://funmeta.oebiotech.com/network/57220")</f>
      </c>
      <c r="I175" s="2" t="s">
        <v>21820</v>
      </c>
      <c r="J175" s="2" t="s">
        <v>21821</v>
      </c>
      <c r="K175" s="2"/>
      <c r="L175" s="2"/>
      <c r="M175" s="2" t="s">
        <v>21822</v>
      </c>
      <c r="N175" s="2" t="s">
        <v>21823</v>
      </c>
      <c r="O175" s="2" t="s">
        <v>21824</v>
      </c>
      <c r="P175" s="2" t="s">
        <v>21825</v>
      </c>
      <c r="Q175" s="2" t="s">
        <v>21826</v>
      </c>
      <c r="R175" s="2" t="s">
        <v>2509</v>
      </c>
      <c r="S175" s="2" t="s">
        <v>4528</v>
      </c>
      <c r="T175" s="2" t="s">
        <v>4529</v>
      </c>
      <c r="U175" s="2" t="s">
        <v>16840</v>
      </c>
      <c r="V175" s="2" t="s">
        <v>15611</v>
      </c>
      <c r="W175" s="2"/>
    </row>
    <row r="176">
      <c r="A176" s="2" t="n">
        <v>112</v>
      </c>
      <c r="B176" s="2" t="s">
        <v>11254</v>
      </c>
      <c r="C176" s="2" t="s">
        <v>16852</v>
      </c>
      <c r="D176" s="2" t="n">
        <v>283.133459128</v>
      </c>
      <c r="E176" s="2" t="n">
        <v>1.65867497734126</v>
      </c>
      <c r="F176" s="2" t="s">
        <v>21827</v>
      </c>
      <c r="G176" s="2" t="n">
        <v>33978</v>
      </c>
      <c r="H176" s="3" t="str">
        <f>HYPERLINK("http://funmeta.oebiotech.com/network/33978", "http://funmeta.oebiotech.com/network/33978")</f>
      </c>
      <c r="I176" s="2" t="s">
        <v>21828</v>
      </c>
      <c r="J176" s="2" t="s">
        <v>21829</v>
      </c>
      <c r="K176" s="2" t="s">
        <v>21830</v>
      </c>
      <c r="L176" s="2"/>
      <c r="M176" s="2"/>
      <c r="N176" s="2" t="s">
        <v>21831</v>
      </c>
      <c r="O176" s="2" t="s">
        <v>21832</v>
      </c>
      <c r="P176" s="2" t="s">
        <v>21833</v>
      </c>
      <c r="Q176" s="2" t="s">
        <v>21834</v>
      </c>
      <c r="R176" s="2" t="s">
        <v>2509</v>
      </c>
      <c r="S176" s="2" t="s">
        <v>8835</v>
      </c>
      <c r="T176" s="2" t="s">
        <v>8836</v>
      </c>
      <c r="U176" s="2" t="s">
        <v>16853</v>
      </c>
      <c r="V176" s="2" t="s">
        <v>15611</v>
      </c>
      <c r="W176" s="2"/>
    </row>
    <row r="177">
      <c r="A177" s="2" t="n">
        <v>112</v>
      </c>
      <c r="B177" s="2" t="s">
        <v>21835</v>
      </c>
      <c r="C177" s="2" t="s">
        <v>16852</v>
      </c>
      <c r="D177" s="2" t="n">
        <v>283.133459128</v>
      </c>
      <c r="E177" s="2" t="n">
        <v>1.65867497734126</v>
      </c>
      <c r="F177" s="2" t="s">
        <v>21836</v>
      </c>
      <c r="G177" s="2" t="n">
        <v>33980</v>
      </c>
      <c r="H177" s="3" t="str">
        <f>HYPERLINK("http://funmeta.oebiotech.com/network/33980", "http://funmeta.oebiotech.com/network/33980")</f>
      </c>
      <c r="I177" s="2" t="s">
        <v>21837</v>
      </c>
      <c r="J177" s="2" t="s">
        <v>21838</v>
      </c>
      <c r="K177" s="2" t="s">
        <v>21839</v>
      </c>
      <c r="L177" s="2"/>
      <c r="M177" s="2"/>
      <c r="N177" s="2" t="s">
        <v>21840</v>
      </c>
      <c r="O177" s="2" t="s">
        <v>21841</v>
      </c>
      <c r="P177" s="2" t="s">
        <v>21842</v>
      </c>
      <c r="Q177" s="2" t="s">
        <v>21843</v>
      </c>
      <c r="R177" s="2" t="s">
        <v>2509</v>
      </c>
      <c r="S177" s="2" t="s">
        <v>8835</v>
      </c>
      <c r="T177" s="2" t="s">
        <v>8836</v>
      </c>
      <c r="U177" s="2" t="s">
        <v>16853</v>
      </c>
      <c r="V177" s="2" t="s">
        <v>15611</v>
      </c>
      <c r="W177" s="2"/>
    </row>
    <row r="178">
      <c r="A178" s="2" t="n">
        <v>112</v>
      </c>
      <c r="B178" s="2" t="s">
        <v>21844</v>
      </c>
      <c r="C178" s="2" t="s">
        <v>16852</v>
      </c>
      <c r="D178" s="2" t="n">
        <v>283.133459128</v>
      </c>
      <c r="E178" s="2" t="n">
        <v>1.65867497734126</v>
      </c>
      <c r="F178" s="2" t="s">
        <v>21845</v>
      </c>
      <c r="G178" s="2" t="n">
        <v>34084</v>
      </c>
      <c r="H178" s="3" t="str">
        <f>HYPERLINK("http://funmeta.oebiotech.com/network/34084", "http://funmeta.oebiotech.com/network/34084")</f>
      </c>
      <c r="I178" s="2" t="s">
        <v>21846</v>
      </c>
      <c r="J178" s="2" t="s">
        <v>21847</v>
      </c>
      <c r="K178" s="2" t="s">
        <v>21848</v>
      </c>
      <c r="L178" s="2"/>
      <c r="M178" s="2"/>
      <c r="N178" s="2" t="s">
        <v>21849</v>
      </c>
      <c r="O178" s="2" t="s">
        <v>21850</v>
      </c>
      <c r="P178" s="2" t="s">
        <v>21851</v>
      </c>
      <c r="Q178" s="2" t="s">
        <v>21852</v>
      </c>
      <c r="R178" s="2" t="s">
        <v>1490</v>
      </c>
      <c r="S178" s="2" t="s">
        <v>4971</v>
      </c>
      <c r="T178" s="2" t="s">
        <v>6636</v>
      </c>
      <c r="U178" s="2" t="s">
        <v>16853</v>
      </c>
      <c r="V178" s="2" t="s">
        <v>15611</v>
      </c>
      <c r="W178" s="2"/>
    </row>
    <row r="179">
      <c r="A179" s="2" t="n">
        <v>113</v>
      </c>
      <c r="B179" s="2" t="s">
        <v>11255</v>
      </c>
      <c r="C179" s="2" t="s">
        <v>16866</v>
      </c>
      <c r="D179" s="2" t="n">
        <v>284.135330047</v>
      </c>
      <c r="E179" s="2" t="n">
        <v>0.443466289248329</v>
      </c>
      <c r="F179" s="2" t="s">
        <v>21853</v>
      </c>
      <c r="G179" s="2" t="n">
        <v>53835</v>
      </c>
      <c r="H179" s="3" t="str">
        <f>HYPERLINK("http://funmeta.oebiotech.com/network/53835", "http://funmeta.oebiotech.com/network/53835")</f>
      </c>
      <c r="I179" s="2" t="s">
        <v>21854</v>
      </c>
      <c r="J179" s="2" t="s">
        <v>21855</v>
      </c>
      <c r="K179" s="2"/>
      <c r="L179" s="2"/>
      <c r="M179" s="2"/>
      <c r="N179" s="2" t="s">
        <v>21856</v>
      </c>
      <c r="O179" s="2" t="s">
        <v>21857</v>
      </c>
      <c r="P179" s="2" t="s">
        <v>21858</v>
      </c>
      <c r="Q179" s="2" t="s">
        <v>21859</v>
      </c>
      <c r="R179" s="2" t="s">
        <v>49</v>
      </c>
      <c r="S179" s="2" t="s">
        <v>165</v>
      </c>
      <c r="T179" s="2" t="s">
        <v>166</v>
      </c>
      <c r="U179" s="2" t="s">
        <v>16867</v>
      </c>
      <c r="V179" s="2" t="s">
        <v>15649</v>
      </c>
      <c r="W179" s="2"/>
    </row>
    <row r="180">
      <c r="A180" s="2" t="n">
        <v>113</v>
      </c>
      <c r="B180" s="2" t="s">
        <v>11262</v>
      </c>
      <c r="C180" s="2" t="s">
        <v>16866</v>
      </c>
      <c r="D180" s="2" t="n">
        <v>284.135330047</v>
      </c>
      <c r="E180" s="2" t="n">
        <v>0.443466289248329</v>
      </c>
      <c r="F180" s="2" t="s">
        <v>21860</v>
      </c>
      <c r="G180" s="2" t="n">
        <v>53907</v>
      </c>
      <c r="H180" s="3" t="str">
        <f>HYPERLINK("http://funmeta.oebiotech.com/network/53907", "http://funmeta.oebiotech.com/network/53907")</f>
      </c>
      <c r="I180" s="2" t="s">
        <v>21861</v>
      </c>
      <c r="J180" s="2" t="s">
        <v>21862</v>
      </c>
      <c r="K180" s="2"/>
      <c r="L180" s="2"/>
      <c r="M180" s="2"/>
      <c r="N180" s="2" t="s">
        <v>21863</v>
      </c>
      <c r="O180" s="2" t="s">
        <v>21864</v>
      </c>
      <c r="P180" s="2" t="s">
        <v>21865</v>
      </c>
      <c r="Q180" s="2" t="s">
        <v>21866</v>
      </c>
      <c r="R180" s="2" t="s">
        <v>49</v>
      </c>
      <c r="S180" s="2" t="s">
        <v>165</v>
      </c>
      <c r="T180" s="2" t="s">
        <v>166</v>
      </c>
      <c r="U180" s="2" t="s">
        <v>16867</v>
      </c>
      <c r="V180" s="2" t="s">
        <v>15649</v>
      </c>
      <c r="W180" s="2"/>
    </row>
    <row r="181">
      <c r="A181" s="2" t="n">
        <v>113</v>
      </c>
      <c r="B181" s="2" t="s">
        <v>21867</v>
      </c>
      <c r="C181" s="2" t="s">
        <v>16866</v>
      </c>
      <c r="D181" s="2" t="n">
        <v>284.135330057</v>
      </c>
      <c r="E181" s="2" t="n">
        <v>0.443466289248329</v>
      </c>
      <c r="F181" s="2" t="s">
        <v>21868</v>
      </c>
      <c r="G181" s="2" t="n">
        <v>53923</v>
      </c>
      <c r="H181" s="3" t="str">
        <f>HYPERLINK("http://funmeta.oebiotech.com/network/53923", "http://funmeta.oebiotech.com/network/53923")</f>
      </c>
      <c r="I181" s="2" t="s">
        <v>21869</v>
      </c>
      <c r="J181" s="2" t="s">
        <v>21870</v>
      </c>
      <c r="K181" s="2"/>
      <c r="L181" s="2"/>
      <c r="M181" s="2" t="s">
        <v>21871</v>
      </c>
      <c r="N181" s="2" t="s">
        <v>21872</v>
      </c>
      <c r="O181" s="2"/>
      <c r="P181" s="2" t="s">
        <v>21873</v>
      </c>
      <c r="Q181" s="2" t="s">
        <v>21874</v>
      </c>
      <c r="R181" s="2" t="s">
        <v>49</v>
      </c>
      <c r="S181" s="2" t="s">
        <v>165</v>
      </c>
      <c r="T181" s="2" t="s">
        <v>166</v>
      </c>
      <c r="U181" s="2" t="s">
        <v>16867</v>
      </c>
      <c r="V181" s="2" t="s">
        <v>15649</v>
      </c>
      <c r="W181" s="2"/>
    </row>
    <row r="182">
      <c r="A182" s="2" t="n">
        <v>114</v>
      </c>
      <c r="B182" s="2" t="s">
        <v>11270</v>
      </c>
      <c r="C182" s="2" t="s">
        <v>16877</v>
      </c>
      <c r="D182" s="2" t="n">
        <v>285.145835159</v>
      </c>
      <c r="E182" s="2" t="n">
        <v>3.54022283225687</v>
      </c>
      <c r="F182" s="2" t="s">
        <v>16879</v>
      </c>
      <c r="G182" s="2" t="n">
        <v>211842</v>
      </c>
      <c r="H182" s="3" t="str">
        <f>HYPERLINK("http://funmeta.oebiotech.com/network/211842", "http://funmeta.oebiotech.com/network/211842")</f>
      </c>
      <c r="I182" s="2" t="s">
        <v>16881</v>
      </c>
      <c r="J182" s="2"/>
      <c r="K182" s="2"/>
      <c r="L182" s="2"/>
      <c r="M182" s="2"/>
      <c r="N182" s="2"/>
      <c r="O182" s="2"/>
      <c r="P182" s="2" t="s">
        <v>16882</v>
      </c>
      <c r="Q182" s="2" t="s">
        <v>16883</v>
      </c>
      <c r="R182" s="2" t="s">
        <v>355</v>
      </c>
      <c r="S182" s="2" t="s">
        <v>3687</v>
      </c>
      <c r="T182" s="2" t="s">
        <v>10186</v>
      </c>
      <c r="U182" s="2" t="s">
        <v>16878</v>
      </c>
      <c r="V182" s="2" t="s">
        <v>15649</v>
      </c>
      <c r="W182" s="2"/>
    </row>
    <row r="183">
      <c r="A183" s="2" t="n">
        <v>115</v>
      </c>
      <c r="B183" s="2" t="s">
        <v>11271</v>
      </c>
      <c r="C183" s="2" t="s">
        <v>16884</v>
      </c>
      <c r="D183" s="2" t="n">
        <v>285.184906012</v>
      </c>
      <c r="E183" s="2" t="n">
        <v>2.9251409706498</v>
      </c>
      <c r="F183" s="2" t="s">
        <v>16886</v>
      </c>
      <c r="G183" s="2" t="n">
        <v>48098</v>
      </c>
      <c r="H183" s="3" t="str">
        <f>HYPERLINK("http://funmeta.oebiotech.com/network/48098", "http://funmeta.oebiotech.com/network/48098")</f>
      </c>
      <c r="I183" s="2" t="s">
        <v>16888</v>
      </c>
      <c r="J183" s="2" t="s">
        <v>16889</v>
      </c>
      <c r="K183" s="2"/>
      <c r="L183" s="2" t="s">
        <v>16890</v>
      </c>
      <c r="M183" s="2" t="s">
        <v>16891</v>
      </c>
      <c r="N183" s="2" t="s">
        <v>16892</v>
      </c>
      <c r="O183" s="2" t="s">
        <v>16893</v>
      </c>
      <c r="P183" s="2" t="s">
        <v>16894</v>
      </c>
      <c r="Q183" s="2" t="s">
        <v>16895</v>
      </c>
      <c r="R183" s="2" t="s">
        <v>1490</v>
      </c>
      <c r="S183" s="2" t="s">
        <v>3546</v>
      </c>
      <c r="T183" s="2" t="s">
        <v>5462</v>
      </c>
      <c r="U183" s="2" t="s">
        <v>16885</v>
      </c>
      <c r="V183" s="2" t="s">
        <v>15649</v>
      </c>
      <c r="W183" s="2" t="s">
        <v>39</v>
      </c>
    </row>
    <row r="184">
      <c r="A184" s="2" t="n">
        <v>116</v>
      </c>
      <c r="B184" s="2" t="s">
        <v>11272</v>
      </c>
      <c r="C184" s="2" t="s">
        <v>16896</v>
      </c>
      <c r="D184" s="2" t="n">
        <v>286.094608049</v>
      </c>
      <c r="E184" s="2" t="n">
        <v>2.65317542691796</v>
      </c>
      <c r="F184" s="2" t="s">
        <v>21875</v>
      </c>
      <c r="G184" s="2" t="n">
        <v>203627</v>
      </c>
      <c r="H184" s="3" t="str">
        <f>HYPERLINK("http://funmeta.oebiotech.com/network/203627", "http://funmeta.oebiotech.com/network/203627")</f>
      </c>
      <c r="I184" s="2" t="s">
        <v>21876</v>
      </c>
      <c r="J184" s="2"/>
      <c r="K184" s="2"/>
      <c r="L184" s="2"/>
      <c r="M184" s="2"/>
      <c r="N184" s="2"/>
      <c r="O184" s="2"/>
      <c r="P184" s="2" t="s">
        <v>21877</v>
      </c>
      <c r="Q184" s="2" t="s">
        <v>21878</v>
      </c>
      <c r="R184" s="2" t="s">
        <v>355</v>
      </c>
      <c r="S184" s="2" t="s">
        <v>466</v>
      </c>
      <c r="T184" s="2" t="s">
        <v>467</v>
      </c>
      <c r="U184" s="2" t="s">
        <v>16897</v>
      </c>
      <c r="V184" s="2" t="s">
        <v>15649</v>
      </c>
      <c r="W184" s="2"/>
    </row>
    <row r="185">
      <c r="A185" s="2" t="n">
        <v>116</v>
      </c>
      <c r="B185" s="2" t="s">
        <v>21879</v>
      </c>
      <c r="C185" s="2" t="s">
        <v>16896</v>
      </c>
      <c r="D185" s="2" t="n">
        <v>286.094608049</v>
      </c>
      <c r="E185" s="2" t="n">
        <v>2.65317542691796</v>
      </c>
      <c r="F185" s="2" t="s">
        <v>21880</v>
      </c>
      <c r="G185" s="2" t="n">
        <v>200572</v>
      </c>
      <c r="H185" s="3" t="str">
        <f>HYPERLINK("http://funmeta.oebiotech.com/network/200572", "http://funmeta.oebiotech.com/network/200572")</f>
      </c>
      <c r="I185" s="2" t="s">
        <v>21881</v>
      </c>
      <c r="J185" s="2"/>
      <c r="K185" s="2"/>
      <c r="L185" s="2"/>
      <c r="M185" s="2"/>
      <c r="N185" s="2" t="s">
        <v>21882</v>
      </c>
      <c r="O185" s="2"/>
      <c r="P185" s="2" t="s">
        <v>21883</v>
      </c>
      <c r="Q185" s="2" t="s">
        <v>21884</v>
      </c>
      <c r="R185" s="2" t="s">
        <v>2590</v>
      </c>
      <c r="S185" s="2" t="s">
        <v>3279</v>
      </c>
      <c r="T185" s="2" t="s">
        <v>205</v>
      </c>
      <c r="U185" s="2" t="s">
        <v>16897</v>
      </c>
      <c r="V185" s="2" t="s">
        <v>15649</v>
      </c>
      <c r="W185" s="2"/>
    </row>
    <row r="186">
      <c r="A186" s="2" t="n">
        <v>117</v>
      </c>
      <c r="B186" s="2" t="s">
        <v>11273</v>
      </c>
      <c r="C186" s="2" t="s">
        <v>16907</v>
      </c>
      <c r="D186" s="2" t="n">
        <v>287.161485228</v>
      </c>
      <c r="E186" s="2" t="n">
        <v>10.2956249165346</v>
      </c>
      <c r="F186" s="2" t="s">
        <v>16909</v>
      </c>
      <c r="G186" s="2" t="n">
        <v>53286</v>
      </c>
      <c r="H186" s="3" t="str">
        <f>HYPERLINK("http://funmeta.oebiotech.com/network/53286", "http://funmeta.oebiotech.com/network/53286")</f>
      </c>
      <c r="I186" s="2" t="s">
        <v>16911</v>
      </c>
      <c r="J186" s="2" t="s">
        <v>16912</v>
      </c>
      <c r="K186" s="2"/>
      <c r="L186" s="2" t="s">
        <v>16913</v>
      </c>
      <c r="M186" s="2" t="s">
        <v>16914</v>
      </c>
      <c r="N186" s="2" t="s">
        <v>16915</v>
      </c>
      <c r="O186" s="2" t="s">
        <v>16916</v>
      </c>
      <c r="P186" s="2" t="s">
        <v>16917</v>
      </c>
      <c r="Q186" s="2" t="s">
        <v>16918</v>
      </c>
      <c r="R186" s="2" t="s">
        <v>2590</v>
      </c>
      <c r="S186" s="2" t="s">
        <v>3200</v>
      </c>
      <c r="T186" s="2" t="s">
        <v>16919</v>
      </c>
      <c r="U186" s="2" t="s">
        <v>16908</v>
      </c>
      <c r="V186" s="2" t="s">
        <v>15649</v>
      </c>
      <c r="W186" s="2" t="s">
        <v>39</v>
      </c>
    </row>
    <row r="187">
      <c r="A187" s="2" t="n">
        <v>118</v>
      </c>
      <c r="B187" s="2" t="s">
        <v>11274</v>
      </c>
      <c r="C187" s="2" t="s">
        <v>16920</v>
      </c>
      <c r="D187" s="2" t="n">
        <v>289.13749913</v>
      </c>
      <c r="E187" s="2" t="n">
        <v>4.00571535864741</v>
      </c>
      <c r="F187" s="2" t="s">
        <v>16922</v>
      </c>
      <c r="G187" s="2" t="n">
        <v>209056</v>
      </c>
      <c r="H187" s="3" t="str">
        <f>HYPERLINK("http://funmeta.oebiotech.com/network/209056", "http://funmeta.oebiotech.com/network/209056")</f>
      </c>
      <c r="I187" s="2" t="s">
        <v>16924</v>
      </c>
      <c r="J187" s="2"/>
      <c r="K187" s="2"/>
      <c r="L187" s="2"/>
      <c r="M187" s="2"/>
      <c r="N187" s="2" t="s">
        <v>16925</v>
      </c>
      <c r="O187" s="2"/>
      <c r="P187" s="2" t="s">
        <v>16926</v>
      </c>
      <c r="Q187" s="2" t="s">
        <v>16927</v>
      </c>
      <c r="R187" s="2" t="s">
        <v>502</v>
      </c>
      <c r="S187" s="2" t="s">
        <v>2413</v>
      </c>
      <c r="T187" s="2" t="s">
        <v>16928</v>
      </c>
      <c r="U187" s="2" t="s">
        <v>16921</v>
      </c>
      <c r="V187" s="2" t="s">
        <v>15611</v>
      </c>
      <c r="W187" s="2"/>
    </row>
    <row r="188">
      <c r="A188" s="2" t="n">
        <v>119</v>
      </c>
      <c r="B188" s="2" t="s">
        <v>11275</v>
      </c>
      <c r="C188" s="2" t="s">
        <v>16929</v>
      </c>
      <c r="D188" s="2" t="n">
        <v>290.132748102</v>
      </c>
      <c r="E188" s="2" t="n">
        <v>1.92124128177903</v>
      </c>
      <c r="F188" s="2" t="s">
        <v>16931</v>
      </c>
      <c r="G188" s="2" t="n">
        <v>206671</v>
      </c>
      <c r="H188" s="3" t="str">
        <f>HYPERLINK("http://funmeta.oebiotech.com/network/206671", "http://funmeta.oebiotech.com/network/206671")</f>
      </c>
      <c r="I188" s="2" t="s">
        <v>16933</v>
      </c>
      <c r="J188" s="2" t="s">
        <v>16934</v>
      </c>
      <c r="K188" s="2"/>
      <c r="L188" s="2"/>
      <c r="M188" s="2"/>
      <c r="N188" s="2" t="s">
        <v>16935</v>
      </c>
      <c r="O188" s="2"/>
      <c r="P188" s="2" t="s">
        <v>16936</v>
      </c>
      <c r="Q188" s="2" t="s">
        <v>16937</v>
      </c>
      <c r="R188" s="2" t="s">
        <v>355</v>
      </c>
      <c r="S188" s="2" t="s">
        <v>1396</v>
      </c>
      <c r="T188" s="2" t="s">
        <v>205</v>
      </c>
      <c r="U188" s="2" t="s">
        <v>16930</v>
      </c>
      <c r="V188" s="2" t="s">
        <v>15611</v>
      </c>
      <c r="W188" s="2"/>
    </row>
    <row r="189">
      <c r="A189" s="2" t="n">
        <v>120</v>
      </c>
      <c r="B189" s="2" t="s">
        <v>11276</v>
      </c>
      <c r="C189" s="2" t="s">
        <v>16938</v>
      </c>
      <c r="D189" s="2" t="n">
        <v>291.13795582</v>
      </c>
      <c r="E189" s="2" t="n">
        <v>0.752891742187995</v>
      </c>
      <c r="F189" s="2" t="s">
        <v>21885</v>
      </c>
      <c r="G189" s="2" t="n">
        <v>82409</v>
      </c>
      <c r="H189" s="3" t="str">
        <f>HYPERLINK("http://funmeta.oebiotech.com/network/82409", "http://funmeta.oebiotech.com/network/82409")</f>
      </c>
      <c r="I189" s="2" t="s">
        <v>21886</v>
      </c>
      <c r="J189" s="2" t="s">
        <v>21887</v>
      </c>
      <c r="K189" s="2"/>
      <c r="L189" s="2" t="s">
        <v>21888</v>
      </c>
      <c r="M189" s="2" t="s">
        <v>21889</v>
      </c>
      <c r="N189" s="2" t="s">
        <v>21890</v>
      </c>
      <c r="O189" s="2" t="s">
        <v>21891</v>
      </c>
      <c r="P189" s="2" t="s">
        <v>21892</v>
      </c>
      <c r="Q189" s="2" t="s">
        <v>21893</v>
      </c>
      <c r="R189" s="2" t="s">
        <v>502</v>
      </c>
      <c r="S189" s="2" t="s">
        <v>13149</v>
      </c>
      <c r="T189" s="2" t="s">
        <v>21894</v>
      </c>
      <c r="U189" s="2" t="s">
        <v>16939</v>
      </c>
      <c r="V189" s="2" t="s">
        <v>15649</v>
      </c>
      <c r="W189" s="2" t="s">
        <v>39</v>
      </c>
    </row>
    <row r="190">
      <c r="A190" s="2" t="n">
        <v>120</v>
      </c>
      <c r="B190" s="2" t="s">
        <v>21895</v>
      </c>
      <c r="C190" s="2" t="s">
        <v>16938</v>
      </c>
      <c r="D190" s="2" t="n">
        <v>291.13795582</v>
      </c>
      <c r="E190" s="2" t="n">
        <v>0.752891742187995</v>
      </c>
      <c r="F190" s="2" t="s">
        <v>21896</v>
      </c>
      <c r="G190" s="2" t="n">
        <v>82411</v>
      </c>
      <c r="H190" s="3" t="str">
        <f>HYPERLINK("http://funmeta.oebiotech.com/network/82411", "http://funmeta.oebiotech.com/network/82411")</f>
      </c>
      <c r="I190" s="2" t="s">
        <v>21897</v>
      </c>
      <c r="J190" s="2" t="s">
        <v>14624</v>
      </c>
      <c r="K190" s="2"/>
      <c r="L190" s="2" t="s">
        <v>21898</v>
      </c>
      <c r="M190" s="2" t="s">
        <v>19547</v>
      </c>
      <c r="N190" s="2" t="s">
        <v>21899</v>
      </c>
      <c r="O190" s="2" t="s">
        <v>21900</v>
      </c>
      <c r="P190" s="2" t="s">
        <v>21901</v>
      </c>
      <c r="Q190" s="2" t="s">
        <v>21902</v>
      </c>
      <c r="R190" s="2" t="s">
        <v>502</v>
      </c>
      <c r="S190" s="2" t="s">
        <v>13149</v>
      </c>
      <c r="T190" s="2" t="s">
        <v>205</v>
      </c>
      <c r="U190" s="2" t="s">
        <v>16939</v>
      </c>
      <c r="V190" s="2" t="s">
        <v>15649</v>
      </c>
      <c r="W190" s="2" t="s">
        <v>39</v>
      </c>
    </row>
    <row r="191">
      <c r="A191" s="2" t="n">
        <v>121</v>
      </c>
      <c r="B191" s="2" t="s">
        <v>11277</v>
      </c>
      <c r="C191" s="2" t="s">
        <v>16952</v>
      </c>
      <c r="D191" s="2" t="n">
        <v>295.073102378</v>
      </c>
      <c r="E191" s="2" t="n">
        <v>1.05103201007004</v>
      </c>
      <c r="F191" s="2" t="s">
        <v>16954</v>
      </c>
      <c r="G191" s="2" t="n">
        <v>54473</v>
      </c>
      <c r="H191" s="3" t="str">
        <f>HYPERLINK("http://funmeta.oebiotech.com/network/54473", "http://funmeta.oebiotech.com/network/54473")</f>
      </c>
      <c r="I191" s="2" t="s">
        <v>16956</v>
      </c>
      <c r="J191" s="2" t="s">
        <v>16957</v>
      </c>
      <c r="K191" s="2"/>
      <c r="L191" s="2" t="s">
        <v>16958</v>
      </c>
      <c r="M191" s="2" t="s">
        <v>16959</v>
      </c>
      <c r="N191" s="2" t="s">
        <v>16960</v>
      </c>
      <c r="O191" s="2" t="s">
        <v>16961</v>
      </c>
      <c r="P191" s="2" t="s">
        <v>16962</v>
      </c>
      <c r="Q191" s="2" t="s">
        <v>16963</v>
      </c>
      <c r="R191" s="2" t="s">
        <v>2509</v>
      </c>
      <c r="S191" s="2" t="s">
        <v>8835</v>
      </c>
      <c r="T191" s="2" t="s">
        <v>16964</v>
      </c>
      <c r="U191" s="2" t="s">
        <v>16953</v>
      </c>
      <c r="V191" s="2" t="s">
        <v>15919</v>
      </c>
      <c r="W191" s="2" t="s">
        <v>39</v>
      </c>
    </row>
    <row r="192">
      <c r="A192" s="2" t="n">
        <v>122</v>
      </c>
      <c r="B192" s="2" t="s">
        <v>11297</v>
      </c>
      <c r="C192" s="2" t="s">
        <v>16965</v>
      </c>
      <c r="D192" s="2" t="n">
        <v>295.226770826</v>
      </c>
      <c r="E192" s="2" t="n">
        <v>3.88961223170258</v>
      </c>
      <c r="F192" s="2" t="s">
        <v>21903</v>
      </c>
      <c r="G192" s="2" t="n">
        <v>2618</v>
      </c>
      <c r="H192" s="3" t="str">
        <f>HYPERLINK("http://funmeta.oebiotech.com/network/2618", "http://funmeta.oebiotech.com/network/2618")</f>
      </c>
      <c r="I192" s="2" t="s">
        <v>21904</v>
      </c>
      <c r="J192" s="2" t="s">
        <v>21905</v>
      </c>
      <c r="K192" s="2" t="s">
        <v>21906</v>
      </c>
      <c r="L192" s="2" t="s">
        <v>12043</v>
      </c>
      <c r="M192" s="2" t="s">
        <v>21907</v>
      </c>
      <c r="N192" s="2" t="s">
        <v>21908</v>
      </c>
      <c r="O192" s="2"/>
      <c r="P192" s="2" t="s">
        <v>21909</v>
      </c>
      <c r="Q192" s="2" t="s">
        <v>21910</v>
      </c>
      <c r="R192" s="2" t="s">
        <v>1490</v>
      </c>
      <c r="S192" s="2" t="s">
        <v>1491</v>
      </c>
      <c r="T192" s="2" t="s">
        <v>1492</v>
      </c>
      <c r="U192" s="2" t="s">
        <v>16966</v>
      </c>
      <c r="V192" s="2" t="s">
        <v>15649</v>
      </c>
      <c r="W192" s="2" t="s">
        <v>39</v>
      </c>
    </row>
    <row r="193">
      <c r="A193" s="2" t="n">
        <v>122</v>
      </c>
      <c r="B193" s="2" t="s">
        <v>11306</v>
      </c>
      <c r="C193" s="2" t="s">
        <v>16965</v>
      </c>
      <c r="D193" s="2" t="n">
        <v>295.226770826</v>
      </c>
      <c r="E193" s="2" t="n">
        <v>3.88961223170258</v>
      </c>
      <c r="F193" s="2" t="s">
        <v>21911</v>
      </c>
      <c r="G193" s="2" t="n">
        <v>2976</v>
      </c>
      <c r="H193" s="3" t="str">
        <f>HYPERLINK("http://funmeta.oebiotech.com/network/2976", "http://funmeta.oebiotech.com/network/2976")</f>
      </c>
      <c r="I193" s="2" t="s">
        <v>21912</v>
      </c>
      <c r="J193" s="2" t="s">
        <v>21913</v>
      </c>
      <c r="K193" s="2" t="s">
        <v>21914</v>
      </c>
      <c r="L193" s="2" t="s">
        <v>21915</v>
      </c>
      <c r="M193" s="2" t="s">
        <v>21916</v>
      </c>
      <c r="N193" s="2" t="s">
        <v>21917</v>
      </c>
      <c r="O193" s="2" t="s">
        <v>21918</v>
      </c>
      <c r="P193" s="2" t="s">
        <v>21919</v>
      </c>
      <c r="Q193" s="2" t="s">
        <v>21920</v>
      </c>
      <c r="R193" s="2" t="s">
        <v>1490</v>
      </c>
      <c r="S193" s="2" t="s">
        <v>1491</v>
      </c>
      <c r="T193" s="2" t="s">
        <v>3437</v>
      </c>
      <c r="U193" s="2" t="s">
        <v>16966</v>
      </c>
      <c r="V193" s="2" t="s">
        <v>15649</v>
      </c>
      <c r="W193" s="2" t="s">
        <v>39</v>
      </c>
    </row>
    <row r="194">
      <c r="A194" s="2" t="n">
        <v>122</v>
      </c>
      <c r="B194" s="2" t="s">
        <v>21921</v>
      </c>
      <c r="C194" s="2" t="s">
        <v>16965</v>
      </c>
      <c r="D194" s="2" t="n">
        <v>295.226770826</v>
      </c>
      <c r="E194" s="2" t="n">
        <v>3.88961223170258</v>
      </c>
      <c r="F194" s="2" t="s">
        <v>21922</v>
      </c>
      <c r="G194" s="2" t="n">
        <v>3228</v>
      </c>
      <c r="H194" s="3" t="str">
        <f>HYPERLINK("http://funmeta.oebiotech.com/network/3228", "http://funmeta.oebiotech.com/network/3228")</f>
      </c>
      <c r="I194" s="2" t="s">
        <v>21923</v>
      </c>
      <c r="J194" s="2" t="s">
        <v>21924</v>
      </c>
      <c r="K194" s="2" t="s">
        <v>21925</v>
      </c>
      <c r="L194" s="2" t="s">
        <v>21926</v>
      </c>
      <c r="M194" s="2" t="s">
        <v>21927</v>
      </c>
      <c r="N194" s="2" t="s">
        <v>21928</v>
      </c>
      <c r="O194" s="2" t="s">
        <v>21929</v>
      </c>
      <c r="P194" s="2" t="s">
        <v>21930</v>
      </c>
      <c r="Q194" s="2" t="s">
        <v>21931</v>
      </c>
      <c r="R194" s="2" t="s">
        <v>1490</v>
      </c>
      <c r="S194" s="2" t="s">
        <v>1491</v>
      </c>
      <c r="T194" s="2" t="s">
        <v>3437</v>
      </c>
      <c r="U194" s="2" t="s">
        <v>16966</v>
      </c>
      <c r="V194" s="2" t="s">
        <v>15649</v>
      </c>
      <c r="W194" s="2" t="s">
        <v>39</v>
      </c>
    </row>
    <row r="195">
      <c r="A195" s="2" t="n">
        <v>123</v>
      </c>
      <c r="B195" s="2" t="s">
        <v>11315</v>
      </c>
      <c r="C195" s="2" t="s">
        <v>16979</v>
      </c>
      <c r="D195" s="2" t="n">
        <v>296.071567419</v>
      </c>
      <c r="E195" s="2" t="n">
        <v>1.63069861313361</v>
      </c>
      <c r="F195" s="2" t="s">
        <v>16981</v>
      </c>
      <c r="G195" s="2" t="n">
        <v>53038</v>
      </c>
      <c r="H195" s="3" t="str">
        <f>HYPERLINK("http://funmeta.oebiotech.com/network/53038", "http://funmeta.oebiotech.com/network/53038")</f>
      </c>
      <c r="I195" s="2" t="s">
        <v>16983</v>
      </c>
      <c r="J195" s="2" t="s">
        <v>16984</v>
      </c>
      <c r="K195" s="2"/>
      <c r="L195" s="2"/>
      <c r="M195" s="2" t="s">
        <v>16985</v>
      </c>
      <c r="N195" s="2" t="s">
        <v>16986</v>
      </c>
      <c r="O195" s="2" t="s">
        <v>16987</v>
      </c>
      <c r="P195" s="2" t="s">
        <v>16988</v>
      </c>
      <c r="Q195" s="2" t="s">
        <v>16989</v>
      </c>
      <c r="R195" s="2" t="s">
        <v>502</v>
      </c>
      <c r="S195" s="2" t="s">
        <v>503</v>
      </c>
      <c r="T195" s="2" t="s">
        <v>5166</v>
      </c>
      <c r="U195" s="2" t="s">
        <v>16980</v>
      </c>
      <c r="V195" s="2" t="s">
        <v>15858</v>
      </c>
      <c r="W195" s="2"/>
    </row>
    <row r="196">
      <c r="A196" s="2" t="n">
        <v>124</v>
      </c>
      <c r="B196" s="2" t="s">
        <v>11316</v>
      </c>
      <c r="C196" s="2" t="s">
        <v>16990</v>
      </c>
      <c r="D196" s="2" t="n">
        <v>297.148520506</v>
      </c>
      <c r="E196" s="2" t="n">
        <v>1.10966509663563</v>
      </c>
      <c r="F196" s="2" t="s">
        <v>21932</v>
      </c>
      <c r="G196" s="2" t="n">
        <v>55385</v>
      </c>
      <c r="H196" s="3" t="str">
        <f>HYPERLINK("http://funmeta.oebiotech.com/network/55385", "http://funmeta.oebiotech.com/network/55385")</f>
      </c>
      <c r="I196" s="2" t="s">
        <v>21933</v>
      </c>
      <c r="J196" s="2" t="s">
        <v>21934</v>
      </c>
      <c r="K196" s="2"/>
      <c r="L196" s="2"/>
      <c r="M196" s="2" t="s">
        <v>21935</v>
      </c>
      <c r="N196" s="2" t="s">
        <v>21936</v>
      </c>
      <c r="O196" s="2"/>
      <c r="P196" s="2" t="s">
        <v>21937</v>
      </c>
      <c r="Q196" s="2" t="s">
        <v>21938</v>
      </c>
      <c r="R196" s="2" t="s">
        <v>2509</v>
      </c>
      <c r="S196" s="2" t="s">
        <v>4367</v>
      </c>
      <c r="T196" s="2" t="s">
        <v>205</v>
      </c>
      <c r="U196" s="2" t="s">
        <v>16991</v>
      </c>
      <c r="V196" s="2" t="s">
        <v>15649</v>
      </c>
      <c r="W196" s="2"/>
    </row>
    <row r="197">
      <c r="A197" s="2" t="n">
        <v>124</v>
      </c>
      <c r="B197" s="2" t="s">
        <v>21939</v>
      </c>
      <c r="C197" s="2" t="s">
        <v>16990</v>
      </c>
      <c r="D197" s="2" t="n">
        <v>297.148520506</v>
      </c>
      <c r="E197" s="2" t="n">
        <v>1.10966509663563</v>
      </c>
      <c r="F197" s="2" t="s">
        <v>21940</v>
      </c>
      <c r="G197" s="2" t="n">
        <v>58097</v>
      </c>
      <c r="H197" s="3" t="str">
        <f>HYPERLINK("http://funmeta.oebiotech.com/network/58097", "http://funmeta.oebiotech.com/network/58097")</f>
      </c>
      <c r="I197" s="2" t="s">
        <v>21941</v>
      </c>
      <c r="J197" s="2" t="s">
        <v>21942</v>
      </c>
      <c r="K197" s="2"/>
      <c r="L197" s="2"/>
      <c r="M197" s="2" t="s">
        <v>21943</v>
      </c>
      <c r="N197" s="2" t="s">
        <v>21944</v>
      </c>
      <c r="O197" s="2" t="s">
        <v>21945</v>
      </c>
      <c r="P197" s="2" t="s">
        <v>21946</v>
      </c>
      <c r="Q197" s="2" t="s">
        <v>21947</v>
      </c>
      <c r="R197" s="2" t="s">
        <v>2509</v>
      </c>
      <c r="S197" s="2" t="s">
        <v>6596</v>
      </c>
      <c r="T197" s="2" t="s">
        <v>205</v>
      </c>
      <c r="U197" s="2" t="s">
        <v>16991</v>
      </c>
      <c r="V197" s="2" t="s">
        <v>15649</v>
      </c>
      <c r="W197" s="2"/>
    </row>
    <row r="198">
      <c r="A198" s="2" t="n">
        <v>124</v>
      </c>
      <c r="B198" s="2" t="s">
        <v>21948</v>
      </c>
      <c r="C198" s="2" t="s">
        <v>16990</v>
      </c>
      <c r="D198" s="2" t="n">
        <v>297.148520506</v>
      </c>
      <c r="E198" s="2" t="n">
        <v>1.10966509663563</v>
      </c>
      <c r="F198" s="2" t="s">
        <v>21949</v>
      </c>
      <c r="G198" s="2" t="n">
        <v>59110</v>
      </c>
      <c r="H198" s="3" t="str">
        <f>HYPERLINK("http://funmeta.oebiotech.com/network/59110", "http://funmeta.oebiotech.com/network/59110")</f>
      </c>
      <c r="I198" s="2" t="s">
        <v>21950</v>
      </c>
      <c r="J198" s="2" t="s">
        <v>21951</v>
      </c>
      <c r="K198" s="2"/>
      <c r="L198" s="2"/>
      <c r="M198" s="2"/>
      <c r="N198" s="2" t="s">
        <v>21952</v>
      </c>
      <c r="O198" s="2" t="s">
        <v>21953</v>
      </c>
      <c r="P198" s="2" t="s">
        <v>21954</v>
      </c>
      <c r="Q198" s="2" t="s">
        <v>21955</v>
      </c>
      <c r="R198" s="2" t="s">
        <v>1490</v>
      </c>
      <c r="S198" s="2" t="s">
        <v>4971</v>
      </c>
      <c r="T198" s="2" t="s">
        <v>6983</v>
      </c>
      <c r="U198" s="2" t="s">
        <v>16991</v>
      </c>
      <c r="V198" s="2" t="s">
        <v>15649</v>
      </c>
      <c r="W198" s="2"/>
    </row>
    <row r="199">
      <c r="A199" s="2" t="n">
        <v>125</v>
      </c>
      <c r="B199" s="2" t="s">
        <v>11317</v>
      </c>
      <c r="C199" s="2" t="s">
        <v>17003</v>
      </c>
      <c r="D199" s="2" t="n">
        <v>298.152594931</v>
      </c>
      <c r="E199" s="2" t="n">
        <v>2.76866280382466</v>
      </c>
      <c r="F199" s="2" t="s">
        <v>17005</v>
      </c>
      <c r="G199" s="2" t="n">
        <v>53231</v>
      </c>
      <c r="H199" s="3" t="str">
        <f>HYPERLINK("http://funmeta.oebiotech.com/network/53231", "http://funmeta.oebiotech.com/network/53231")</f>
      </c>
      <c r="I199" s="2" t="s">
        <v>17007</v>
      </c>
      <c r="J199" s="2" t="s">
        <v>17008</v>
      </c>
      <c r="K199" s="2"/>
      <c r="L199" s="2" t="s">
        <v>17009</v>
      </c>
      <c r="M199" s="2" t="s">
        <v>17010</v>
      </c>
      <c r="N199" s="2" t="s">
        <v>17011</v>
      </c>
      <c r="O199" s="2" t="s">
        <v>17012</v>
      </c>
      <c r="P199" s="2" t="s">
        <v>17013</v>
      </c>
      <c r="Q199" s="2" t="s">
        <v>17014</v>
      </c>
      <c r="R199" s="2" t="s">
        <v>355</v>
      </c>
      <c r="S199" s="2" t="s">
        <v>2424</v>
      </c>
      <c r="T199" s="2" t="s">
        <v>4246</v>
      </c>
      <c r="U199" s="2" t="s">
        <v>17004</v>
      </c>
      <c r="V199" s="2" t="s">
        <v>15858</v>
      </c>
      <c r="W199" s="2" t="s">
        <v>39</v>
      </c>
    </row>
    <row r="200">
      <c r="A200" s="2" t="n">
        <v>126</v>
      </c>
      <c r="B200" s="2" t="s">
        <v>11318</v>
      </c>
      <c r="C200" s="2" t="s">
        <v>17015</v>
      </c>
      <c r="D200" s="2" t="n">
        <v>299.171930244</v>
      </c>
      <c r="E200" s="2" t="n">
        <v>1.27530597728354</v>
      </c>
      <c r="F200" s="2" t="s">
        <v>21956</v>
      </c>
      <c r="G200" s="2" t="n">
        <v>81721</v>
      </c>
      <c r="H200" s="3" t="str">
        <f>HYPERLINK("http://funmeta.oebiotech.com/network/81721", "http://funmeta.oebiotech.com/network/81721")</f>
      </c>
      <c r="I200" s="2" t="s">
        <v>21957</v>
      </c>
      <c r="J200" s="2" t="s">
        <v>21958</v>
      </c>
      <c r="K200" s="2"/>
      <c r="L200" s="2"/>
      <c r="M200" s="2"/>
      <c r="N200" s="2" t="s">
        <v>21959</v>
      </c>
      <c r="O200" s="2"/>
      <c r="P200" s="2" t="s">
        <v>21960</v>
      </c>
      <c r="Q200" s="2" t="s">
        <v>21961</v>
      </c>
      <c r="R200" s="2" t="s">
        <v>49</v>
      </c>
      <c r="S200" s="2" t="s">
        <v>165</v>
      </c>
      <c r="T200" s="2" t="s">
        <v>166</v>
      </c>
      <c r="U200" s="2" t="s">
        <v>17016</v>
      </c>
      <c r="V200" s="2" t="s">
        <v>15624</v>
      </c>
      <c r="W200" s="2"/>
    </row>
    <row r="201">
      <c r="A201" s="2" t="n">
        <v>126</v>
      </c>
      <c r="B201" s="2" t="s">
        <v>21962</v>
      </c>
      <c r="C201" s="2" t="s">
        <v>17015</v>
      </c>
      <c r="D201" s="2" t="n">
        <v>299.171930244</v>
      </c>
      <c r="E201" s="2" t="n">
        <v>1.27530597728354</v>
      </c>
      <c r="F201" s="2" t="s">
        <v>21963</v>
      </c>
      <c r="G201" s="2" t="n">
        <v>82369</v>
      </c>
      <c r="H201" s="3" t="str">
        <f>HYPERLINK("http://funmeta.oebiotech.com/network/82369", "http://funmeta.oebiotech.com/network/82369")</f>
      </c>
      <c r="I201" s="2" t="s">
        <v>21964</v>
      </c>
      <c r="J201" s="2"/>
      <c r="K201" s="2"/>
      <c r="L201" s="2"/>
      <c r="M201" s="2"/>
      <c r="N201" s="2" t="s">
        <v>21965</v>
      </c>
      <c r="O201" s="2"/>
      <c r="P201" s="2" t="s">
        <v>21966</v>
      </c>
      <c r="Q201" s="2" t="s">
        <v>21967</v>
      </c>
      <c r="R201" s="2" t="s">
        <v>49</v>
      </c>
      <c r="S201" s="2" t="s">
        <v>165</v>
      </c>
      <c r="T201" s="2" t="s">
        <v>166</v>
      </c>
      <c r="U201" s="2" t="s">
        <v>17016</v>
      </c>
      <c r="V201" s="2" t="s">
        <v>15624</v>
      </c>
      <c r="W201" s="2"/>
    </row>
    <row r="202">
      <c r="A202" s="2" t="n">
        <v>127</v>
      </c>
      <c r="B202" s="2" t="s">
        <v>11319</v>
      </c>
      <c r="C202" s="2" t="s">
        <v>17024</v>
      </c>
      <c r="D202" s="2" t="n">
        <v>302.305355952</v>
      </c>
      <c r="E202" s="2" t="n">
        <v>3.44353080493274</v>
      </c>
      <c r="F202" s="2" t="s">
        <v>17026</v>
      </c>
      <c r="G202" s="2" t="n">
        <v>257219</v>
      </c>
      <c r="H202" s="3" t="str">
        <f>HYPERLINK("http://funmeta.oebiotech.com/network/257219", "http://funmeta.oebiotech.com/network/257219")</f>
      </c>
      <c r="I202" s="2" t="s">
        <v>17028</v>
      </c>
      <c r="J202" s="2"/>
      <c r="K202" s="2"/>
      <c r="L202" s="2"/>
      <c r="M202" s="2"/>
      <c r="N202" s="2" t="s">
        <v>17029</v>
      </c>
      <c r="O202" s="2"/>
      <c r="P202" s="2" t="s">
        <v>17030</v>
      </c>
      <c r="Q202" s="2" t="s">
        <v>17031</v>
      </c>
      <c r="R202" s="2" t="s">
        <v>36</v>
      </c>
      <c r="S202" s="2" t="s">
        <v>37</v>
      </c>
      <c r="T202" s="2" t="s">
        <v>679</v>
      </c>
      <c r="U202" s="2" t="s">
        <v>17025</v>
      </c>
      <c r="V202" s="2" t="s">
        <v>15624</v>
      </c>
      <c r="W202" s="2"/>
    </row>
    <row r="203">
      <c r="A203" s="2" t="n">
        <v>128</v>
      </c>
      <c r="B203" s="2" t="s">
        <v>11342</v>
      </c>
      <c r="C203" s="2" t="s">
        <v>17032</v>
      </c>
      <c r="D203" s="2" t="n">
        <v>303.214686824</v>
      </c>
      <c r="E203" s="2" t="n">
        <v>8.27217249069272</v>
      </c>
      <c r="F203" s="2" t="s">
        <v>17034</v>
      </c>
      <c r="G203" s="2" t="n">
        <v>207462</v>
      </c>
      <c r="H203" s="3" t="str">
        <f>HYPERLINK("http://funmeta.oebiotech.com/network/207462", "http://funmeta.oebiotech.com/network/207462")</f>
      </c>
      <c r="I203" s="2" t="s">
        <v>17036</v>
      </c>
      <c r="J203" s="2"/>
      <c r="K203" s="2"/>
      <c r="L203" s="2"/>
      <c r="M203" s="2"/>
      <c r="N203" s="2" t="s">
        <v>17037</v>
      </c>
      <c r="O203" s="2"/>
      <c r="P203" s="2" t="s">
        <v>17038</v>
      </c>
      <c r="Q203" s="2" t="s">
        <v>17039</v>
      </c>
      <c r="R203" s="2" t="s">
        <v>1490</v>
      </c>
      <c r="S203" s="2" t="s">
        <v>3546</v>
      </c>
      <c r="T203" s="2" t="s">
        <v>8741</v>
      </c>
      <c r="U203" s="2" t="s">
        <v>17033</v>
      </c>
      <c r="V203" s="2" t="s">
        <v>15611</v>
      </c>
      <c r="W203" s="2"/>
    </row>
    <row r="204">
      <c r="A204" s="2" t="n">
        <v>129</v>
      </c>
      <c r="B204" s="2" t="s">
        <v>11343</v>
      </c>
      <c r="C204" s="2" t="s">
        <v>17040</v>
      </c>
      <c r="D204" s="2" t="n">
        <v>305.22235415</v>
      </c>
      <c r="E204" s="2" t="n">
        <v>2.80046205797923</v>
      </c>
      <c r="F204" s="2" t="s">
        <v>21968</v>
      </c>
      <c r="G204" s="2" t="n">
        <v>201963</v>
      </c>
      <c r="H204" s="3" t="str">
        <f>HYPERLINK("http://funmeta.oebiotech.com/network/201963", "http://funmeta.oebiotech.com/network/201963")</f>
      </c>
      <c r="I204" s="2" t="s">
        <v>21969</v>
      </c>
      <c r="J204" s="2" t="s">
        <v>21970</v>
      </c>
      <c r="K204" s="2"/>
      <c r="L204" s="2"/>
      <c r="M204" s="2"/>
      <c r="N204" s="2" t="s">
        <v>21971</v>
      </c>
      <c r="O204" s="2" t="s">
        <v>21972</v>
      </c>
      <c r="P204" s="2" t="s">
        <v>21973</v>
      </c>
      <c r="Q204" s="2" t="s">
        <v>21974</v>
      </c>
      <c r="R204" s="2" t="s">
        <v>49</v>
      </c>
      <c r="S204" s="2" t="s">
        <v>165</v>
      </c>
      <c r="T204" s="2" t="s">
        <v>166</v>
      </c>
      <c r="U204" s="2" t="s">
        <v>17041</v>
      </c>
      <c r="V204" s="2" t="s">
        <v>15649</v>
      </c>
      <c r="W204" s="2"/>
    </row>
    <row r="205">
      <c r="A205" s="2" t="n">
        <v>129</v>
      </c>
      <c r="B205" s="2" t="s">
        <v>11349</v>
      </c>
      <c r="C205" s="2" t="s">
        <v>17040</v>
      </c>
      <c r="D205" s="2" t="n">
        <v>305.22235415</v>
      </c>
      <c r="E205" s="2" t="n">
        <v>2.80046205797923</v>
      </c>
      <c r="F205" s="2" t="s">
        <v>21975</v>
      </c>
      <c r="G205" s="2" t="n">
        <v>212985</v>
      </c>
      <c r="H205" s="3" t="str">
        <f>HYPERLINK("http://funmeta.oebiotech.com/network/212985", "http://funmeta.oebiotech.com/network/212985")</f>
      </c>
      <c r="I205" s="2" t="s">
        <v>21976</v>
      </c>
      <c r="J205" s="2"/>
      <c r="K205" s="2"/>
      <c r="L205" s="2"/>
      <c r="M205" s="2"/>
      <c r="N205" s="2" t="s">
        <v>21977</v>
      </c>
      <c r="O205" s="2"/>
      <c r="P205" s="2" t="s">
        <v>21978</v>
      </c>
      <c r="Q205" s="2" t="s">
        <v>21979</v>
      </c>
      <c r="R205" s="2" t="s">
        <v>49</v>
      </c>
      <c r="S205" s="2" t="s">
        <v>165</v>
      </c>
      <c r="T205" s="2" t="s">
        <v>166</v>
      </c>
      <c r="U205" s="2" t="s">
        <v>17041</v>
      </c>
      <c r="V205" s="2" t="s">
        <v>15649</v>
      </c>
      <c r="W205" s="2"/>
    </row>
    <row r="206">
      <c r="A206" s="2" t="n">
        <v>130</v>
      </c>
      <c r="B206" s="2" t="s">
        <v>11355</v>
      </c>
      <c r="C206" s="2" t="s">
        <v>17050</v>
      </c>
      <c r="D206" s="2" t="n">
        <v>307.044843296</v>
      </c>
      <c r="E206" s="2" t="n">
        <v>0.47388430083887</v>
      </c>
      <c r="F206" s="2" t="s">
        <v>17052</v>
      </c>
      <c r="G206" s="2" t="n">
        <v>81741</v>
      </c>
      <c r="H206" s="3" t="str">
        <f>HYPERLINK("http://funmeta.oebiotech.com/network/81741", "http://funmeta.oebiotech.com/network/81741")</f>
      </c>
      <c r="I206" s="2" t="s">
        <v>17054</v>
      </c>
      <c r="J206" s="2"/>
      <c r="K206" s="2"/>
      <c r="L206" s="2" t="s">
        <v>17055</v>
      </c>
      <c r="M206" s="2" t="s">
        <v>17056</v>
      </c>
      <c r="N206" s="2" t="s">
        <v>17057</v>
      </c>
      <c r="O206" s="2"/>
      <c r="P206" s="2" t="s">
        <v>17058</v>
      </c>
      <c r="Q206" s="2" t="s">
        <v>17059</v>
      </c>
      <c r="R206" s="2" t="s">
        <v>2509</v>
      </c>
      <c r="S206" s="2" t="s">
        <v>5392</v>
      </c>
      <c r="T206" s="2" t="s">
        <v>205</v>
      </c>
      <c r="U206" s="2" t="s">
        <v>17051</v>
      </c>
      <c r="V206" s="2" t="s">
        <v>15649</v>
      </c>
      <c r="W206" s="2" t="s">
        <v>39</v>
      </c>
    </row>
    <row r="207">
      <c r="A207" s="2" t="n">
        <v>131</v>
      </c>
      <c r="B207" s="2" t="s">
        <v>11356</v>
      </c>
      <c r="C207" s="2" t="s">
        <v>17060</v>
      </c>
      <c r="D207" s="2" t="n">
        <v>308.065666002</v>
      </c>
      <c r="E207" s="2" t="n">
        <v>0.274041869023526</v>
      </c>
      <c r="F207" s="2" t="s">
        <v>17062</v>
      </c>
      <c r="G207" s="2" t="n">
        <v>201782</v>
      </c>
      <c r="H207" s="3" t="str">
        <f>HYPERLINK("http://funmeta.oebiotech.com/network/201782", "http://funmeta.oebiotech.com/network/201782")</f>
      </c>
      <c r="I207" s="2" t="s">
        <v>17064</v>
      </c>
      <c r="J207" s="2" t="s">
        <v>17065</v>
      </c>
      <c r="K207" s="2"/>
      <c r="L207" s="2"/>
      <c r="M207" s="2"/>
      <c r="N207" s="2" t="s">
        <v>17066</v>
      </c>
      <c r="O207" s="2" t="s">
        <v>17067</v>
      </c>
      <c r="P207" s="2" t="s">
        <v>17068</v>
      </c>
      <c r="Q207" s="2" t="s">
        <v>17069</v>
      </c>
      <c r="R207" s="2" t="s">
        <v>355</v>
      </c>
      <c r="S207" s="2" t="s">
        <v>1477</v>
      </c>
      <c r="T207" s="2" t="s">
        <v>205</v>
      </c>
      <c r="U207" s="2" t="s">
        <v>17061</v>
      </c>
      <c r="V207" s="2" t="s">
        <v>15919</v>
      </c>
      <c r="W207" s="2"/>
    </row>
    <row r="208">
      <c r="A208" s="2" t="n">
        <v>132</v>
      </c>
      <c r="B208" s="2" t="s">
        <v>11378</v>
      </c>
      <c r="C208" s="2" t="s">
        <v>17070</v>
      </c>
      <c r="D208" s="2" t="n">
        <v>313.274309704</v>
      </c>
      <c r="E208" s="2" t="n">
        <v>3.15496848944659</v>
      </c>
      <c r="F208" s="2" t="s">
        <v>21980</v>
      </c>
      <c r="G208" s="2" t="n">
        <v>93668</v>
      </c>
      <c r="H208" s="3" t="str">
        <f>HYPERLINK("http://funmeta.oebiotech.com/network/93668", "http://funmeta.oebiotech.com/network/93668")</f>
      </c>
      <c r="I208" s="2" t="s">
        <v>21981</v>
      </c>
      <c r="J208" s="2"/>
      <c r="K208" s="2"/>
      <c r="L208" s="2"/>
      <c r="M208" s="2"/>
      <c r="N208" s="2" t="s">
        <v>21982</v>
      </c>
      <c r="O208" s="2"/>
      <c r="P208" s="2" t="s">
        <v>21983</v>
      </c>
      <c r="Q208" s="2" t="s">
        <v>21984</v>
      </c>
      <c r="R208" s="2" t="s">
        <v>1490</v>
      </c>
      <c r="S208" s="2" t="s">
        <v>6728</v>
      </c>
      <c r="T208" s="2" t="s">
        <v>21985</v>
      </c>
      <c r="U208" s="2" t="s">
        <v>17071</v>
      </c>
      <c r="V208" s="2" t="s">
        <v>15611</v>
      </c>
      <c r="W208" s="2"/>
    </row>
    <row r="209">
      <c r="A209" s="2" t="n">
        <v>132</v>
      </c>
      <c r="B209" s="2" t="s">
        <v>21986</v>
      </c>
      <c r="C209" s="2" t="s">
        <v>17070</v>
      </c>
      <c r="D209" s="2" t="n">
        <v>313.274309704</v>
      </c>
      <c r="E209" s="2" t="n">
        <v>3.15496848944659</v>
      </c>
      <c r="F209" s="2" t="s">
        <v>21987</v>
      </c>
      <c r="G209" s="2" t="n">
        <v>10431</v>
      </c>
      <c r="H209" s="3" t="str">
        <f>HYPERLINK("http://funmeta.oebiotech.com/network/10431", "http://funmeta.oebiotech.com/network/10431")</f>
      </c>
      <c r="I209" s="2" t="s">
        <v>21988</v>
      </c>
      <c r="J209" s="2" t="s">
        <v>21989</v>
      </c>
      <c r="K209" s="2" t="s">
        <v>21990</v>
      </c>
      <c r="L209" s="2"/>
      <c r="M209" s="2" t="s">
        <v>21991</v>
      </c>
      <c r="N209" s="2" t="s">
        <v>21992</v>
      </c>
      <c r="O209" s="2" t="s">
        <v>21993</v>
      </c>
      <c r="P209" s="2" t="s">
        <v>21994</v>
      </c>
      <c r="Q209" s="2" t="s">
        <v>21995</v>
      </c>
      <c r="R209" s="2" t="s">
        <v>1490</v>
      </c>
      <c r="S209" s="2" t="s">
        <v>6728</v>
      </c>
      <c r="T209" s="2" t="s">
        <v>21985</v>
      </c>
      <c r="U209" s="2" t="s">
        <v>17071</v>
      </c>
      <c r="V209" s="2" t="s">
        <v>15611</v>
      </c>
      <c r="W209" s="2"/>
    </row>
    <row r="210">
      <c r="A210" s="2" t="n">
        <v>132</v>
      </c>
      <c r="B210" s="2" t="s">
        <v>21996</v>
      </c>
      <c r="C210" s="2" t="s">
        <v>17070</v>
      </c>
      <c r="D210" s="2" t="n">
        <v>313.274309704</v>
      </c>
      <c r="E210" s="2" t="n">
        <v>3.15496848944659</v>
      </c>
      <c r="F210" s="2" t="s">
        <v>21997</v>
      </c>
      <c r="G210" s="2" t="n">
        <v>10442</v>
      </c>
      <c r="H210" s="3" t="str">
        <f>HYPERLINK("http://funmeta.oebiotech.com/network/10442", "http://funmeta.oebiotech.com/network/10442")</f>
      </c>
      <c r="I210" s="2" t="s">
        <v>21998</v>
      </c>
      <c r="J210" s="2" t="s">
        <v>21999</v>
      </c>
      <c r="K210" s="2" t="s">
        <v>22000</v>
      </c>
      <c r="L210" s="2"/>
      <c r="M210" s="2" t="s">
        <v>22001</v>
      </c>
      <c r="N210" s="2" t="s">
        <v>22002</v>
      </c>
      <c r="O210" s="2"/>
      <c r="P210" s="2" t="s">
        <v>22003</v>
      </c>
      <c r="Q210" s="2" t="s">
        <v>22004</v>
      </c>
      <c r="R210" s="2" t="s">
        <v>1490</v>
      </c>
      <c r="S210" s="2" t="s">
        <v>6728</v>
      </c>
      <c r="T210" s="2" t="s">
        <v>21985</v>
      </c>
      <c r="U210" s="2" t="s">
        <v>17071</v>
      </c>
      <c r="V210" s="2" t="s">
        <v>15611</v>
      </c>
      <c r="W210" s="2"/>
    </row>
    <row r="211">
      <c r="A211" s="2" t="n">
        <v>133</v>
      </c>
      <c r="B211" s="2" t="s">
        <v>11379</v>
      </c>
      <c r="C211" s="2" t="s">
        <v>17084</v>
      </c>
      <c r="D211" s="2" t="n">
        <v>315.1122256</v>
      </c>
      <c r="E211" s="2" t="n">
        <v>0.563671709925779</v>
      </c>
      <c r="F211" s="2" t="s">
        <v>17086</v>
      </c>
      <c r="G211" s="2" t="n">
        <v>213451</v>
      </c>
      <c r="H211" s="3" t="str">
        <f>HYPERLINK("http://funmeta.oebiotech.com/network/213451", "http://funmeta.oebiotech.com/network/213451")</f>
      </c>
      <c r="I211" s="2" t="s">
        <v>17088</v>
      </c>
      <c r="J211" s="2"/>
      <c r="K211" s="2"/>
      <c r="L211" s="2"/>
      <c r="M211" s="2"/>
      <c r="N211" s="2" t="s">
        <v>17089</v>
      </c>
      <c r="O211" s="2"/>
      <c r="P211" s="2" t="s">
        <v>17090</v>
      </c>
      <c r="Q211" s="2" t="s">
        <v>17091</v>
      </c>
      <c r="R211" s="2" t="s">
        <v>502</v>
      </c>
      <c r="S211" s="2" t="s">
        <v>503</v>
      </c>
      <c r="T211" s="2" t="s">
        <v>17092</v>
      </c>
      <c r="U211" s="2" t="s">
        <v>17085</v>
      </c>
      <c r="V211" s="2" t="s">
        <v>15858</v>
      </c>
      <c r="W211" s="2"/>
    </row>
    <row r="212">
      <c r="A212" s="2" t="n">
        <v>134</v>
      </c>
      <c r="B212" s="2" t="s">
        <v>11380</v>
      </c>
      <c r="C212" s="2" t="s">
        <v>17093</v>
      </c>
      <c r="D212" s="2" t="n">
        <v>317.11780906</v>
      </c>
      <c r="E212" s="2" t="n">
        <v>3.03140439082492</v>
      </c>
      <c r="F212" s="2" t="s">
        <v>17095</v>
      </c>
      <c r="G212" s="2" t="n">
        <v>210687</v>
      </c>
      <c r="H212" s="3" t="str">
        <f>HYPERLINK("http://funmeta.oebiotech.com/network/210687", "http://funmeta.oebiotech.com/network/210687")</f>
      </c>
      <c r="I212" s="2" t="s">
        <v>17097</v>
      </c>
      <c r="J212" s="2"/>
      <c r="K212" s="2"/>
      <c r="L212" s="2"/>
      <c r="M212" s="2"/>
      <c r="N212" s="2"/>
      <c r="O212" s="2"/>
      <c r="P212" s="2" t="s">
        <v>17098</v>
      </c>
      <c r="Q212" s="2" t="s">
        <v>17099</v>
      </c>
      <c r="R212" s="2" t="s">
        <v>2509</v>
      </c>
      <c r="S212" s="2" t="s">
        <v>2840</v>
      </c>
      <c r="T212" s="2" t="s">
        <v>8768</v>
      </c>
      <c r="U212" s="2" t="s">
        <v>17094</v>
      </c>
      <c r="V212" s="2" t="s">
        <v>15611</v>
      </c>
      <c r="W212" s="2"/>
    </row>
    <row r="213">
      <c r="A213" s="2" t="n">
        <v>135</v>
      </c>
      <c r="B213" s="2" t="s">
        <v>11381</v>
      </c>
      <c r="C213" s="2" t="s">
        <v>17100</v>
      </c>
      <c r="D213" s="2" t="n">
        <v>319.115206372</v>
      </c>
      <c r="E213" s="2" t="n">
        <v>1.35198848538437</v>
      </c>
      <c r="F213" s="2" t="s">
        <v>17102</v>
      </c>
      <c r="G213" s="2" t="n">
        <v>59946</v>
      </c>
      <c r="H213" s="3" t="str">
        <f>HYPERLINK("http://funmeta.oebiotech.com/network/59946", "http://funmeta.oebiotech.com/network/59946")</f>
      </c>
      <c r="I213" s="2" t="s">
        <v>17104</v>
      </c>
      <c r="J213" s="2"/>
      <c r="K213" s="2"/>
      <c r="L213" s="2" t="s">
        <v>17105</v>
      </c>
      <c r="M213" s="2"/>
      <c r="N213" s="2" t="s">
        <v>17106</v>
      </c>
      <c r="O213" s="2" t="s">
        <v>17107</v>
      </c>
      <c r="P213" s="2" t="s">
        <v>17108</v>
      </c>
      <c r="Q213" s="2" t="s">
        <v>17109</v>
      </c>
      <c r="R213" s="2" t="s">
        <v>1490</v>
      </c>
      <c r="S213" s="2" t="s">
        <v>4971</v>
      </c>
      <c r="T213" s="2" t="s">
        <v>5966</v>
      </c>
      <c r="U213" s="2" t="s">
        <v>17101</v>
      </c>
      <c r="V213" s="2" t="s">
        <v>15858</v>
      </c>
      <c r="W213" s="2" t="s">
        <v>39</v>
      </c>
    </row>
    <row r="214">
      <c r="A214" s="2" t="n">
        <v>136</v>
      </c>
      <c r="B214" s="2" t="s">
        <v>11382</v>
      </c>
      <c r="C214" s="2" t="s">
        <v>17110</v>
      </c>
      <c r="D214" s="2" t="n">
        <v>321.129241626</v>
      </c>
      <c r="E214" s="2" t="n">
        <v>5.2665357478791</v>
      </c>
      <c r="F214" s="2" t="s">
        <v>22005</v>
      </c>
      <c r="G214" s="2" t="n">
        <v>57772</v>
      </c>
      <c r="H214" s="3" t="str">
        <f>HYPERLINK("http://funmeta.oebiotech.com/network/57772", "http://funmeta.oebiotech.com/network/57772")</f>
      </c>
      <c r="I214" s="2" t="s">
        <v>22006</v>
      </c>
      <c r="J214" s="2" t="s">
        <v>22007</v>
      </c>
      <c r="K214" s="2"/>
      <c r="L214" s="2"/>
      <c r="M214" s="2" t="s">
        <v>22008</v>
      </c>
      <c r="N214" s="2" t="s">
        <v>22009</v>
      </c>
      <c r="O214" s="2" t="s">
        <v>22010</v>
      </c>
      <c r="P214" s="2" t="s">
        <v>22011</v>
      </c>
      <c r="Q214" s="2" t="s">
        <v>22012</v>
      </c>
      <c r="R214" s="2" t="s">
        <v>49</v>
      </c>
      <c r="S214" s="2" t="s">
        <v>165</v>
      </c>
      <c r="T214" s="2" t="s">
        <v>166</v>
      </c>
      <c r="U214" s="2" t="s">
        <v>17111</v>
      </c>
      <c r="V214" s="2" t="s">
        <v>15649</v>
      </c>
      <c r="W214" s="2"/>
    </row>
    <row r="215">
      <c r="A215" s="2" t="n">
        <v>136</v>
      </c>
      <c r="B215" s="2" t="s">
        <v>22013</v>
      </c>
      <c r="C215" s="2" t="s">
        <v>17110</v>
      </c>
      <c r="D215" s="2" t="n">
        <v>321.129241626</v>
      </c>
      <c r="E215" s="2" t="n">
        <v>5.2665357478791</v>
      </c>
      <c r="F215" s="2" t="s">
        <v>22014</v>
      </c>
      <c r="G215" s="2" t="n">
        <v>59167</v>
      </c>
      <c r="H215" s="3" t="str">
        <f>HYPERLINK("http://funmeta.oebiotech.com/network/59167", "http://funmeta.oebiotech.com/network/59167")</f>
      </c>
      <c r="I215" s="2" t="s">
        <v>22015</v>
      </c>
      <c r="J215" s="2" t="s">
        <v>22016</v>
      </c>
      <c r="K215" s="2"/>
      <c r="L215" s="2"/>
      <c r="M215" s="2" t="s">
        <v>22017</v>
      </c>
      <c r="N215" s="2" t="s">
        <v>22018</v>
      </c>
      <c r="O215" s="2" t="s">
        <v>22019</v>
      </c>
      <c r="P215" s="2" t="s">
        <v>22020</v>
      </c>
      <c r="Q215" s="2" t="s">
        <v>22021</v>
      </c>
      <c r="R215" s="2" t="s">
        <v>355</v>
      </c>
      <c r="S215" s="2" t="s">
        <v>3687</v>
      </c>
      <c r="T215" s="2" t="s">
        <v>10179</v>
      </c>
      <c r="U215" s="2" t="s">
        <v>17111</v>
      </c>
      <c r="V215" s="2" t="s">
        <v>15649</v>
      </c>
      <c r="W215" s="2"/>
    </row>
    <row r="216">
      <c r="A216" s="2" t="n">
        <v>137</v>
      </c>
      <c r="B216" s="2" t="s">
        <v>11383</v>
      </c>
      <c r="C216" s="2" t="s">
        <v>17123</v>
      </c>
      <c r="D216" s="2" t="n">
        <v>325.107049622</v>
      </c>
      <c r="E216" s="2" t="n">
        <v>3.7129043504009</v>
      </c>
      <c r="F216" s="2" t="s">
        <v>22022</v>
      </c>
      <c r="G216" s="2" t="n">
        <v>52493</v>
      </c>
      <c r="H216" s="3" t="str">
        <f>HYPERLINK("http://funmeta.oebiotech.com/network/52493", "http://funmeta.oebiotech.com/network/52493")</f>
      </c>
      <c r="I216" s="2" t="s">
        <v>22023</v>
      </c>
      <c r="J216" s="2"/>
      <c r="K216" s="2"/>
      <c r="L216" s="2"/>
      <c r="M216" s="2"/>
      <c r="N216" s="2" t="s">
        <v>22024</v>
      </c>
      <c r="O216" s="2"/>
      <c r="P216" s="2" t="s">
        <v>22025</v>
      </c>
      <c r="Q216" s="2" t="s">
        <v>22026</v>
      </c>
      <c r="R216" s="2" t="s">
        <v>2509</v>
      </c>
      <c r="S216" s="2" t="s">
        <v>22027</v>
      </c>
      <c r="T216" s="2" t="s">
        <v>22028</v>
      </c>
      <c r="U216" s="2" t="s">
        <v>17124</v>
      </c>
      <c r="V216" s="2" t="s">
        <v>15649</v>
      </c>
      <c r="W216" s="2"/>
    </row>
    <row r="217">
      <c r="A217" s="2" t="n">
        <v>137</v>
      </c>
      <c r="B217" s="2" t="s">
        <v>22029</v>
      </c>
      <c r="C217" s="2" t="s">
        <v>17123</v>
      </c>
      <c r="D217" s="2" t="n">
        <v>325.107049622</v>
      </c>
      <c r="E217" s="2" t="n">
        <v>3.7129043504009</v>
      </c>
      <c r="F217" s="2" t="s">
        <v>22030</v>
      </c>
      <c r="G217" s="2" t="n">
        <v>52494</v>
      </c>
      <c r="H217" s="3" t="str">
        <f>HYPERLINK("http://funmeta.oebiotech.com/network/52494", "http://funmeta.oebiotech.com/network/52494")</f>
      </c>
      <c r="I217" s="2" t="s">
        <v>22031</v>
      </c>
      <c r="J217" s="2"/>
      <c r="K217" s="2"/>
      <c r="L217" s="2"/>
      <c r="M217" s="2"/>
      <c r="N217" s="2" t="s">
        <v>22032</v>
      </c>
      <c r="O217" s="2"/>
      <c r="P217" s="2" t="s">
        <v>22033</v>
      </c>
      <c r="Q217" s="2" t="s">
        <v>22034</v>
      </c>
      <c r="R217" s="2" t="s">
        <v>2509</v>
      </c>
      <c r="S217" s="2" t="s">
        <v>22027</v>
      </c>
      <c r="T217" s="2" t="s">
        <v>22028</v>
      </c>
      <c r="U217" s="2" t="s">
        <v>17124</v>
      </c>
      <c r="V217" s="2" t="s">
        <v>15649</v>
      </c>
      <c r="W217" s="2"/>
    </row>
    <row r="218">
      <c r="A218" s="2" t="n">
        <v>137</v>
      </c>
      <c r="B218" s="2" t="s">
        <v>22035</v>
      </c>
      <c r="C218" s="2" t="s">
        <v>17123</v>
      </c>
      <c r="D218" s="2" t="n">
        <v>325.107049622</v>
      </c>
      <c r="E218" s="2" t="n">
        <v>3.7129043504009</v>
      </c>
      <c r="F218" s="2" t="s">
        <v>22036</v>
      </c>
      <c r="G218" s="2" t="n">
        <v>52495</v>
      </c>
      <c r="H218" s="3" t="str">
        <f>HYPERLINK("http://funmeta.oebiotech.com/network/52495", "http://funmeta.oebiotech.com/network/52495")</f>
      </c>
      <c r="I218" s="2" t="s">
        <v>22037</v>
      </c>
      <c r="J218" s="2"/>
      <c r="K218" s="2"/>
      <c r="L218" s="2"/>
      <c r="M218" s="2"/>
      <c r="N218" s="2" t="s">
        <v>22038</v>
      </c>
      <c r="O218" s="2"/>
      <c r="P218" s="2" t="s">
        <v>22039</v>
      </c>
      <c r="Q218" s="2" t="s">
        <v>22040</v>
      </c>
      <c r="R218" s="2" t="s">
        <v>2509</v>
      </c>
      <c r="S218" s="2" t="s">
        <v>22027</v>
      </c>
      <c r="T218" s="2" t="s">
        <v>22028</v>
      </c>
      <c r="U218" s="2" t="s">
        <v>17124</v>
      </c>
      <c r="V218" s="2" t="s">
        <v>15649</v>
      </c>
      <c r="W218" s="2"/>
    </row>
    <row r="219">
      <c r="A219" s="2" t="n">
        <v>138</v>
      </c>
      <c r="B219" s="2" t="s">
        <v>11384</v>
      </c>
      <c r="C219" s="2" t="s">
        <v>17133</v>
      </c>
      <c r="D219" s="2" t="n">
        <v>325.179820634</v>
      </c>
      <c r="E219" s="2" t="n">
        <v>3.16630142267133</v>
      </c>
      <c r="F219" s="2" t="s">
        <v>17135</v>
      </c>
      <c r="G219" s="2" t="n">
        <v>82269</v>
      </c>
      <c r="H219" s="3" t="str">
        <f>HYPERLINK("http://funmeta.oebiotech.com/network/82269", "http://funmeta.oebiotech.com/network/82269")</f>
      </c>
      <c r="I219" s="2" t="s">
        <v>17137</v>
      </c>
      <c r="J219" s="2"/>
      <c r="K219" s="2"/>
      <c r="L219" s="2" t="s">
        <v>17138</v>
      </c>
      <c r="M219" s="2"/>
      <c r="N219" s="2" t="s">
        <v>17139</v>
      </c>
      <c r="O219" s="2"/>
      <c r="P219" s="2" t="s">
        <v>17140</v>
      </c>
      <c r="Q219" s="2" t="s">
        <v>17141</v>
      </c>
      <c r="R219" s="2" t="s">
        <v>1490</v>
      </c>
      <c r="S219" s="2" t="s">
        <v>4971</v>
      </c>
      <c r="T219" s="2" t="s">
        <v>5979</v>
      </c>
      <c r="U219" s="2" t="s">
        <v>17134</v>
      </c>
      <c r="V219" s="2" t="s">
        <v>15649</v>
      </c>
      <c r="W219" s="2" t="s">
        <v>39</v>
      </c>
    </row>
    <row r="220">
      <c r="A220" s="2" t="n">
        <v>139</v>
      </c>
      <c r="B220" s="2" t="s">
        <v>11385</v>
      </c>
      <c r="C220" s="2" t="s">
        <v>17142</v>
      </c>
      <c r="D220" s="2" t="n">
        <v>326.111124039</v>
      </c>
      <c r="E220" s="2" t="n">
        <v>0.969537567556508</v>
      </c>
      <c r="F220" s="2" t="s">
        <v>22041</v>
      </c>
      <c r="G220" s="2" t="n">
        <v>199131</v>
      </c>
      <c r="H220" s="3" t="str">
        <f>HYPERLINK("http://funmeta.oebiotech.com/network/199131", "http://funmeta.oebiotech.com/network/199131")</f>
      </c>
      <c r="I220" s="2" t="s">
        <v>22042</v>
      </c>
      <c r="J220" s="2"/>
      <c r="K220" s="2"/>
      <c r="L220" s="2"/>
      <c r="M220" s="2"/>
      <c r="N220" s="2" t="s">
        <v>22043</v>
      </c>
      <c r="O220" s="2"/>
      <c r="P220" s="2" t="s">
        <v>22044</v>
      </c>
      <c r="Q220" s="2" t="s">
        <v>22045</v>
      </c>
      <c r="R220" s="2" t="s">
        <v>355</v>
      </c>
      <c r="S220" s="2" t="s">
        <v>3687</v>
      </c>
      <c r="T220" s="2" t="s">
        <v>3688</v>
      </c>
      <c r="U220" s="2" t="s">
        <v>17143</v>
      </c>
      <c r="V220" s="2" t="s">
        <v>15858</v>
      </c>
      <c r="W220" s="2"/>
    </row>
    <row r="221">
      <c r="A221" s="2" t="n">
        <v>139</v>
      </c>
      <c r="B221" s="2" t="s">
        <v>22046</v>
      </c>
      <c r="C221" s="2" t="s">
        <v>17142</v>
      </c>
      <c r="D221" s="2" t="n">
        <v>326.111124047</v>
      </c>
      <c r="E221" s="2" t="n">
        <v>0.969537567556508</v>
      </c>
      <c r="F221" s="2" t="s">
        <v>22047</v>
      </c>
      <c r="G221" s="2" t="n">
        <v>52225</v>
      </c>
      <c r="H221" s="3" t="str">
        <f>HYPERLINK("http://funmeta.oebiotech.com/network/52225", "http://funmeta.oebiotech.com/network/52225")</f>
      </c>
      <c r="I221" s="2" t="s">
        <v>22048</v>
      </c>
      <c r="J221" s="2"/>
      <c r="K221" s="2"/>
      <c r="L221" s="2"/>
      <c r="M221" s="2" t="s">
        <v>22049</v>
      </c>
      <c r="N221" s="2" t="s">
        <v>22050</v>
      </c>
      <c r="O221" s="2" t="s">
        <v>22051</v>
      </c>
      <c r="P221" s="2" t="s">
        <v>22052</v>
      </c>
      <c r="Q221" s="2" t="s">
        <v>22053</v>
      </c>
      <c r="R221" s="2" t="s">
        <v>49</v>
      </c>
      <c r="S221" s="2" t="s">
        <v>165</v>
      </c>
      <c r="T221" s="2" t="s">
        <v>166</v>
      </c>
      <c r="U221" s="2" t="s">
        <v>17143</v>
      </c>
      <c r="V221" s="2" t="s">
        <v>15858</v>
      </c>
      <c r="W221" s="2"/>
    </row>
    <row r="222">
      <c r="A222" s="2" t="n">
        <v>140</v>
      </c>
      <c r="B222" s="2" t="s">
        <v>11386</v>
      </c>
      <c r="C222" s="2" t="s">
        <v>17154</v>
      </c>
      <c r="D222" s="2" t="n">
        <v>327.179144029</v>
      </c>
      <c r="E222" s="2" t="n">
        <v>1.93887827600068</v>
      </c>
      <c r="F222" s="2" t="s">
        <v>17156</v>
      </c>
      <c r="G222" s="2" t="n">
        <v>202665</v>
      </c>
      <c r="H222" s="3" t="str">
        <f>HYPERLINK("http://funmeta.oebiotech.com/network/202665", "http://funmeta.oebiotech.com/network/202665")</f>
      </c>
      <c r="I222" s="2" t="s">
        <v>17158</v>
      </c>
      <c r="J222" s="2" t="s">
        <v>17159</v>
      </c>
      <c r="K222" s="2"/>
      <c r="L222" s="2" t="s">
        <v>17160</v>
      </c>
      <c r="M222" s="2" t="s">
        <v>17161</v>
      </c>
      <c r="N222" s="2" t="s">
        <v>5138</v>
      </c>
      <c r="O222" s="2" t="s">
        <v>17162</v>
      </c>
      <c r="P222" s="2" t="s">
        <v>17163</v>
      </c>
      <c r="Q222" s="2" t="s">
        <v>17164</v>
      </c>
      <c r="R222" s="2" t="s">
        <v>355</v>
      </c>
      <c r="S222" s="2" t="s">
        <v>466</v>
      </c>
      <c r="T222" s="2" t="s">
        <v>467</v>
      </c>
      <c r="U222" s="2" t="s">
        <v>17155</v>
      </c>
      <c r="V222" s="2" t="s">
        <v>15858</v>
      </c>
      <c r="W222" s="2" t="s">
        <v>39</v>
      </c>
    </row>
    <row r="223">
      <c r="A223" s="2" t="n">
        <v>141</v>
      </c>
      <c r="B223" s="2" t="s">
        <v>11408</v>
      </c>
      <c r="C223" s="2" t="s">
        <v>17165</v>
      </c>
      <c r="D223" s="2" t="n">
        <v>328.203567873</v>
      </c>
      <c r="E223" s="2" t="n">
        <v>0.0687096268777119</v>
      </c>
      <c r="F223" s="2" t="s">
        <v>22054</v>
      </c>
      <c r="G223" s="2" t="n">
        <v>207791</v>
      </c>
      <c r="H223" s="3" t="str">
        <f>HYPERLINK("http://funmeta.oebiotech.com/network/207791", "http://funmeta.oebiotech.com/network/207791")</f>
      </c>
      <c r="I223" s="2" t="s">
        <v>22055</v>
      </c>
      <c r="J223" s="2"/>
      <c r="K223" s="2"/>
      <c r="L223" s="2"/>
      <c r="M223" s="2"/>
      <c r="N223" s="2" t="s">
        <v>22056</v>
      </c>
      <c r="O223" s="2"/>
      <c r="P223" s="2" t="s">
        <v>22057</v>
      </c>
      <c r="Q223" s="2" t="s">
        <v>22058</v>
      </c>
      <c r="R223" s="2" t="s">
        <v>502</v>
      </c>
      <c r="S223" s="2" t="s">
        <v>18169</v>
      </c>
      <c r="T223" s="2" t="s">
        <v>205</v>
      </c>
      <c r="U223" s="2" t="s">
        <v>17166</v>
      </c>
      <c r="V223" s="2" t="s">
        <v>15858</v>
      </c>
      <c r="W223" s="2"/>
    </row>
    <row r="224">
      <c r="A224" s="2" t="n">
        <v>141</v>
      </c>
      <c r="B224" s="2" t="s">
        <v>22059</v>
      </c>
      <c r="C224" s="2" t="s">
        <v>17165</v>
      </c>
      <c r="D224" s="2" t="n">
        <v>328.203567873</v>
      </c>
      <c r="E224" s="2" t="n">
        <v>0.0687096268777119</v>
      </c>
      <c r="F224" s="2" t="s">
        <v>22060</v>
      </c>
      <c r="G224" s="2" t="n">
        <v>209658</v>
      </c>
      <c r="H224" s="3" t="str">
        <f>HYPERLINK("http://funmeta.oebiotech.com/network/209658", "http://funmeta.oebiotech.com/network/209658")</f>
      </c>
      <c r="I224" s="2" t="s">
        <v>22061</v>
      </c>
      <c r="J224" s="2"/>
      <c r="K224" s="2"/>
      <c r="L224" s="2"/>
      <c r="M224" s="2"/>
      <c r="N224" s="2" t="s">
        <v>22062</v>
      </c>
      <c r="O224" s="2"/>
      <c r="P224" s="2" t="s">
        <v>22063</v>
      </c>
      <c r="Q224" s="2" t="s">
        <v>22064</v>
      </c>
      <c r="R224" s="2" t="s">
        <v>355</v>
      </c>
      <c r="S224" s="2" t="s">
        <v>3869</v>
      </c>
      <c r="T224" s="2" t="s">
        <v>3870</v>
      </c>
      <c r="U224" s="2" t="s">
        <v>17166</v>
      </c>
      <c r="V224" s="2" t="s">
        <v>15858</v>
      </c>
      <c r="W224" s="2"/>
    </row>
    <row r="225">
      <c r="A225" s="2" t="n">
        <v>142</v>
      </c>
      <c r="B225" s="2" t="s">
        <v>11409</v>
      </c>
      <c r="C225" s="2" t="s">
        <v>17175</v>
      </c>
      <c r="D225" s="2" t="n">
        <v>329.168211027</v>
      </c>
      <c r="E225" s="2" t="n">
        <v>12.7785997129522</v>
      </c>
      <c r="F225" s="2" t="s">
        <v>17177</v>
      </c>
      <c r="G225" s="2" t="n">
        <v>196996</v>
      </c>
      <c r="H225" s="3" t="str">
        <f>HYPERLINK("http://funmeta.oebiotech.com/network/196996", "http://funmeta.oebiotech.com/network/196996")</f>
      </c>
      <c r="I225" s="2" t="s">
        <v>17179</v>
      </c>
      <c r="J225" s="2"/>
      <c r="K225" s="2"/>
      <c r="L225" s="2"/>
      <c r="M225" s="2"/>
      <c r="N225" s="2"/>
      <c r="O225" s="2" t="s">
        <v>17180</v>
      </c>
      <c r="P225" s="2" t="s">
        <v>17181</v>
      </c>
      <c r="Q225" s="2" t="s">
        <v>17182</v>
      </c>
      <c r="R225" s="2" t="s">
        <v>355</v>
      </c>
      <c r="S225" s="2" t="s">
        <v>13040</v>
      </c>
      <c r="T225" s="2" t="s">
        <v>17183</v>
      </c>
      <c r="U225" s="2" t="s">
        <v>17176</v>
      </c>
      <c r="V225" s="2" t="s">
        <v>15624</v>
      </c>
      <c r="W225" s="2"/>
    </row>
    <row r="226">
      <c r="A226" s="2" t="n">
        <v>143</v>
      </c>
      <c r="B226" s="2" t="s">
        <v>11440</v>
      </c>
      <c r="C226" s="2" t="s">
        <v>17184</v>
      </c>
      <c r="D226" s="2" t="n">
        <v>329.20630589</v>
      </c>
      <c r="E226" s="2" t="n">
        <v>1.53628506148698</v>
      </c>
      <c r="F226" s="2" t="s">
        <v>22065</v>
      </c>
      <c r="G226" s="2" t="n">
        <v>6363</v>
      </c>
      <c r="H226" s="3" t="str">
        <f>HYPERLINK("http://funmeta.oebiotech.com/network/6363", "http://funmeta.oebiotech.com/network/6363")</f>
      </c>
      <c r="I226" s="2" t="s">
        <v>22066</v>
      </c>
      <c r="J226" s="2" t="s">
        <v>22067</v>
      </c>
      <c r="K226" s="2" t="s">
        <v>22068</v>
      </c>
      <c r="L226" s="2"/>
      <c r="M226" s="2"/>
      <c r="N226" s="2" t="s">
        <v>22069</v>
      </c>
      <c r="O226" s="2" t="s">
        <v>22070</v>
      </c>
      <c r="P226" s="2" t="s">
        <v>22071</v>
      </c>
      <c r="Q226" s="2" t="s">
        <v>22072</v>
      </c>
      <c r="R226" s="2" t="s">
        <v>1490</v>
      </c>
      <c r="S226" s="2" t="s">
        <v>1491</v>
      </c>
      <c r="T226" s="2" t="s">
        <v>6924</v>
      </c>
      <c r="U226" s="2" t="s">
        <v>17185</v>
      </c>
      <c r="V226" s="2" t="s">
        <v>15691</v>
      </c>
      <c r="W226" s="2"/>
    </row>
    <row r="227">
      <c r="A227" s="2" t="n">
        <v>143</v>
      </c>
      <c r="B227" s="2" t="s">
        <v>22073</v>
      </c>
      <c r="C227" s="2" t="s">
        <v>17184</v>
      </c>
      <c r="D227" s="2" t="n">
        <v>329.20630589</v>
      </c>
      <c r="E227" s="2" t="n">
        <v>1.53628506148698</v>
      </c>
      <c r="F227" s="2" t="s">
        <v>22074</v>
      </c>
      <c r="G227" s="2" t="n">
        <v>6393</v>
      </c>
      <c r="H227" s="3" t="str">
        <f>HYPERLINK("http://funmeta.oebiotech.com/network/6393", "http://funmeta.oebiotech.com/network/6393")</f>
      </c>
      <c r="I227" s="2" t="s">
        <v>22075</v>
      </c>
      <c r="J227" s="2" t="s">
        <v>22076</v>
      </c>
      <c r="K227" s="2" t="s">
        <v>22077</v>
      </c>
      <c r="L227" s="2"/>
      <c r="M227" s="2"/>
      <c r="N227" s="2" t="s">
        <v>22078</v>
      </c>
      <c r="O227" s="2" t="s">
        <v>22079</v>
      </c>
      <c r="P227" s="2" t="s">
        <v>22080</v>
      </c>
      <c r="Q227" s="2" t="s">
        <v>22081</v>
      </c>
      <c r="R227" s="2" t="s">
        <v>1490</v>
      </c>
      <c r="S227" s="2" t="s">
        <v>1491</v>
      </c>
      <c r="T227" s="2" t="s">
        <v>6924</v>
      </c>
      <c r="U227" s="2" t="s">
        <v>17185</v>
      </c>
      <c r="V227" s="2" t="s">
        <v>15691</v>
      </c>
      <c r="W227" s="2"/>
    </row>
    <row r="228">
      <c r="A228" s="2" t="n">
        <v>143</v>
      </c>
      <c r="B228" s="2" t="s">
        <v>22082</v>
      </c>
      <c r="C228" s="2" t="s">
        <v>17184</v>
      </c>
      <c r="D228" s="2" t="n">
        <v>329.20630589</v>
      </c>
      <c r="E228" s="2" t="n">
        <v>1.53628506148698</v>
      </c>
      <c r="F228" s="2" t="s">
        <v>22083</v>
      </c>
      <c r="G228" s="2" t="n">
        <v>200751</v>
      </c>
      <c r="H228" s="3" t="str">
        <f>HYPERLINK("http://funmeta.oebiotech.com/network/200751", "http://funmeta.oebiotech.com/network/200751")</f>
      </c>
      <c r="I228" s="2" t="s">
        <v>22084</v>
      </c>
      <c r="J228" s="2"/>
      <c r="K228" s="2"/>
      <c r="L228" s="2"/>
      <c r="M228" s="2"/>
      <c r="N228" s="2" t="s">
        <v>22085</v>
      </c>
      <c r="O228" s="2"/>
      <c r="P228" s="2" t="s">
        <v>22086</v>
      </c>
      <c r="Q228" s="2" t="s">
        <v>22087</v>
      </c>
      <c r="R228" s="2" t="s">
        <v>1490</v>
      </c>
      <c r="S228" s="2" t="s">
        <v>1491</v>
      </c>
      <c r="T228" s="2" t="s">
        <v>12091</v>
      </c>
      <c r="U228" s="2" t="s">
        <v>17185</v>
      </c>
      <c r="V228" s="2" t="s">
        <v>15691</v>
      </c>
      <c r="W228" s="2"/>
    </row>
    <row r="229">
      <c r="A229" s="2" t="n">
        <v>144</v>
      </c>
      <c r="B229" s="2" t="s">
        <v>11441</v>
      </c>
      <c r="C229" s="2" t="s">
        <v>17196</v>
      </c>
      <c r="D229" s="2" t="n">
        <v>331.100444918</v>
      </c>
      <c r="E229" s="2" t="n">
        <v>6.10127981575982</v>
      </c>
      <c r="F229" s="2" t="s">
        <v>17198</v>
      </c>
      <c r="G229" s="2" t="n">
        <v>206455</v>
      </c>
      <c r="H229" s="3" t="str">
        <f>HYPERLINK("http://funmeta.oebiotech.com/network/206455", "http://funmeta.oebiotech.com/network/206455")</f>
      </c>
      <c r="I229" s="2" t="s">
        <v>17200</v>
      </c>
      <c r="J229" s="2"/>
      <c r="K229" s="2"/>
      <c r="L229" s="2"/>
      <c r="M229" s="2"/>
      <c r="N229" s="2" t="s">
        <v>17201</v>
      </c>
      <c r="O229" s="2"/>
      <c r="P229" s="2" t="s">
        <v>17202</v>
      </c>
      <c r="Q229" s="2" t="s">
        <v>17203</v>
      </c>
      <c r="R229" s="2" t="s">
        <v>1490</v>
      </c>
      <c r="S229" s="2" t="s">
        <v>3546</v>
      </c>
      <c r="T229" s="2" t="s">
        <v>17204</v>
      </c>
      <c r="U229" s="2" t="s">
        <v>17197</v>
      </c>
      <c r="V229" s="2" t="s">
        <v>15611</v>
      </c>
      <c r="W229" s="2"/>
    </row>
    <row r="230">
      <c r="A230" s="2" t="n">
        <v>145</v>
      </c>
      <c r="B230" s="2" t="s">
        <v>11442</v>
      </c>
      <c r="C230" s="2" t="s">
        <v>17205</v>
      </c>
      <c r="D230" s="2" t="n">
        <v>333.175553431</v>
      </c>
      <c r="E230" s="2" t="n">
        <v>1.54587630976219</v>
      </c>
      <c r="F230" s="2" t="s">
        <v>17207</v>
      </c>
      <c r="G230" s="2" t="n">
        <v>207718</v>
      </c>
      <c r="H230" s="3" t="str">
        <f>HYPERLINK("http://funmeta.oebiotech.com/network/207718", "http://funmeta.oebiotech.com/network/207718")</f>
      </c>
      <c r="I230" s="2" t="s">
        <v>17209</v>
      </c>
      <c r="J230" s="2" t="s">
        <v>17210</v>
      </c>
      <c r="K230" s="2"/>
      <c r="L230" s="2"/>
      <c r="M230" s="2"/>
      <c r="N230" s="2" t="s">
        <v>17211</v>
      </c>
      <c r="O230" s="2" t="s">
        <v>17212</v>
      </c>
      <c r="P230" s="2" t="s">
        <v>17213</v>
      </c>
      <c r="Q230" s="2" t="s">
        <v>17214</v>
      </c>
      <c r="R230" s="2" t="s">
        <v>49</v>
      </c>
      <c r="S230" s="2" t="s">
        <v>782</v>
      </c>
      <c r="T230" s="2" t="s">
        <v>17215</v>
      </c>
      <c r="U230" s="2" t="s">
        <v>17206</v>
      </c>
      <c r="V230" s="2" t="s">
        <v>15919</v>
      </c>
      <c r="W230" s="2"/>
    </row>
    <row r="231">
      <c r="A231" s="2" t="n">
        <v>146</v>
      </c>
      <c r="B231" s="2" t="s">
        <v>11467</v>
      </c>
      <c r="C231" s="2" t="s">
        <v>17216</v>
      </c>
      <c r="D231" s="2" t="n">
        <v>336.054217559</v>
      </c>
      <c r="E231" s="2" t="n">
        <v>3.75659138537511</v>
      </c>
      <c r="F231" s="2" t="s">
        <v>17218</v>
      </c>
      <c r="G231" s="2" t="n">
        <v>212563</v>
      </c>
      <c r="H231" s="3" t="str">
        <f>HYPERLINK("http://funmeta.oebiotech.com/network/212563", "http://funmeta.oebiotech.com/network/212563")</f>
      </c>
      <c r="I231" s="2" t="s">
        <v>17220</v>
      </c>
      <c r="J231" s="2" t="s">
        <v>17221</v>
      </c>
      <c r="K231" s="2"/>
      <c r="L231" s="2" t="s">
        <v>17222</v>
      </c>
      <c r="M231" s="2" t="s">
        <v>17223</v>
      </c>
      <c r="N231" s="2" t="s">
        <v>17224</v>
      </c>
      <c r="O231" s="2" t="s">
        <v>17225</v>
      </c>
      <c r="P231" s="2" t="s">
        <v>17226</v>
      </c>
      <c r="Q231" s="2" t="s">
        <v>17227</v>
      </c>
      <c r="R231" s="2" t="s">
        <v>355</v>
      </c>
      <c r="S231" s="2" t="s">
        <v>356</v>
      </c>
      <c r="T231" s="2" t="s">
        <v>17228</v>
      </c>
      <c r="U231" s="2" t="s">
        <v>17217</v>
      </c>
      <c r="V231" s="2" t="s">
        <v>15858</v>
      </c>
      <c r="W231" s="2" t="s">
        <v>39</v>
      </c>
    </row>
    <row r="232">
      <c r="A232" s="2" t="n">
        <v>147</v>
      </c>
      <c r="B232" s="2" t="s">
        <v>11468</v>
      </c>
      <c r="C232" s="2" t="s">
        <v>17229</v>
      </c>
      <c r="D232" s="2" t="n">
        <v>336.948755526</v>
      </c>
      <c r="E232" s="2" t="n">
        <v>3.41317412465668</v>
      </c>
      <c r="F232" s="2" t="s">
        <v>22088</v>
      </c>
      <c r="G232" s="2" t="n">
        <v>46882</v>
      </c>
      <c r="H232" s="3" t="str">
        <f>HYPERLINK("http://funmeta.oebiotech.com/network/46882", "http://funmeta.oebiotech.com/network/46882")</f>
      </c>
      <c r="I232" s="2" t="s">
        <v>22089</v>
      </c>
      <c r="J232" s="2" t="s">
        <v>22090</v>
      </c>
      <c r="K232" s="2"/>
      <c r="L232" s="2" t="s">
        <v>22091</v>
      </c>
      <c r="M232" s="2" t="s">
        <v>22092</v>
      </c>
      <c r="N232" s="2" t="s">
        <v>22093</v>
      </c>
      <c r="O232" s="2" t="s">
        <v>22094</v>
      </c>
      <c r="P232" s="2" t="s">
        <v>22095</v>
      </c>
      <c r="Q232" s="2" t="s">
        <v>22096</v>
      </c>
      <c r="R232" s="2" t="s">
        <v>64</v>
      </c>
      <c r="S232" s="2" t="s">
        <v>65</v>
      </c>
      <c r="T232" s="2" t="s">
        <v>66</v>
      </c>
      <c r="U232" s="2" t="s">
        <v>17230</v>
      </c>
      <c r="V232" s="2" t="s">
        <v>15722</v>
      </c>
      <c r="W232" s="2" t="s">
        <v>39</v>
      </c>
    </row>
    <row r="233">
      <c r="A233" s="2" t="n">
        <v>147</v>
      </c>
      <c r="B233" s="2" t="s">
        <v>22097</v>
      </c>
      <c r="C233" s="2" t="s">
        <v>17229</v>
      </c>
      <c r="D233" s="2" t="n">
        <v>336.948755526</v>
      </c>
      <c r="E233" s="2" t="n">
        <v>3.41317412465668</v>
      </c>
      <c r="F233" s="2" t="s">
        <v>22098</v>
      </c>
      <c r="G233" s="2" t="n">
        <v>47139</v>
      </c>
      <c r="H233" s="3" t="str">
        <f>HYPERLINK("http://funmeta.oebiotech.com/network/47139", "http://funmeta.oebiotech.com/network/47139")</f>
      </c>
      <c r="I233" s="2" t="s">
        <v>22099</v>
      </c>
      <c r="J233" s="2" t="s">
        <v>22100</v>
      </c>
      <c r="K233" s="2"/>
      <c r="L233" s="2" t="s">
        <v>22101</v>
      </c>
      <c r="M233" s="2" t="s">
        <v>22102</v>
      </c>
      <c r="N233" s="2" t="s">
        <v>22103</v>
      </c>
      <c r="O233" s="2" t="s">
        <v>22104</v>
      </c>
      <c r="P233" s="2" t="s">
        <v>22105</v>
      </c>
      <c r="Q233" s="2" t="s">
        <v>22106</v>
      </c>
      <c r="R233" s="2" t="s">
        <v>64</v>
      </c>
      <c r="S233" s="2" t="s">
        <v>65</v>
      </c>
      <c r="T233" s="2" t="s">
        <v>66</v>
      </c>
      <c r="U233" s="2" t="s">
        <v>17230</v>
      </c>
      <c r="V233" s="2" t="s">
        <v>15722</v>
      </c>
      <c r="W233" s="2" t="s">
        <v>39</v>
      </c>
    </row>
    <row r="234">
      <c r="A234" s="2" t="n">
        <v>147</v>
      </c>
      <c r="B234" s="2" t="s">
        <v>22107</v>
      </c>
      <c r="C234" s="2" t="s">
        <v>17229</v>
      </c>
      <c r="D234" s="2" t="n">
        <v>336.948755997</v>
      </c>
      <c r="E234" s="2" t="n">
        <v>3.41317412465668</v>
      </c>
      <c r="F234" s="2" t="s">
        <v>22108</v>
      </c>
      <c r="G234" s="2" t="n">
        <v>46934</v>
      </c>
      <c r="H234" s="3" t="str">
        <f>HYPERLINK("http://funmeta.oebiotech.com/network/46934", "http://funmeta.oebiotech.com/network/46934")</f>
      </c>
      <c r="I234" s="2" t="s">
        <v>22109</v>
      </c>
      <c r="J234" s="2" t="s">
        <v>22110</v>
      </c>
      <c r="K234" s="2"/>
      <c r="L234" s="2" t="s">
        <v>22111</v>
      </c>
      <c r="M234" s="2" t="s">
        <v>22112</v>
      </c>
      <c r="N234" s="2"/>
      <c r="O234" s="2" t="s">
        <v>22113</v>
      </c>
      <c r="P234" s="2" t="s">
        <v>22114</v>
      </c>
      <c r="Q234" s="2" t="s">
        <v>22115</v>
      </c>
      <c r="R234" s="2" t="s">
        <v>64</v>
      </c>
      <c r="S234" s="2" t="s">
        <v>65</v>
      </c>
      <c r="T234" s="2" t="s">
        <v>2921</v>
      </c>
      <c r="U234" s="2" t="s">
        <v>17230</v>
      </c>
      <c r="V234" s="2" t="s">
        <v>15722</v>
      </c>
      <c r="W234" s="2" t="s">
        <v>39</v>
      </c>
    </row>
    <row r="235">
      <c r="A235" s="2" t="n">
        <v>148</v>
      </c>
      <c r="B235" s="2" t="s">
        <v>11469</v>
      </c>
      <c r="C235" s="2" t="s">
        <v>17242</v>
      </c>
      <c r="D235" s="2" t="n">
        <v>337.110420918</v>
      </c>
      <c r="E235" s="2" t="n">
        <v>3.95959453709402</v>
      </c>
      <c r="F235" s="2" t="s">
        <v>17244</v>
      </c>
      <c r="G235" s="2" t="n">
        <v>206770</v>
      </c>
      <c r="H235" s="3" t="str">
        <f>HYPERLINK("http://funmeta.oebiotech.com/network/206770", "http://funmeta.oebiotech.com/network/206770")</f>
      </c>
      <c r="I235" s="2" t="s">
        <v>17246</v>
      </c>
      <c r="J235" s="2" t="s">
        <v>17247</v>
      </c>
      <c r="K235" s="2"/>
      <c r="L235" s="2" t="s">
        <v>17248</v>
      </c>
      <c r="M235" s="2" t="s">
        <v>17249</v>
      </c>
      <c r="N235" s="2" t="s">
        <v>17250</v>
      </c>
      <c r="O235" s="2" t="s">
        <v>17251</v>
      </c>
      <c r="P235" s="2" t="s">
        <v>17252</v>
      </c>
      <c r="Q235" s="2" t="s">
        <v>17253</v>
      </c>
      <c r="R235" s="2" t="s">
        <v>502</v>
      </c>
      <c r="S235" s="2" t="s">
        <v>503</v>
      </c>
      <c r="T235" s="2" t="s">
        <v>5710</v>
      </c>
      <c r="U235" s="2" t="s">
        <v>17243</v>
      </c>
      <c r="V235" s="2" t="s">
        <v>15649</v>
      </c>
      <c r="W235" s="2" t="s">
        <v>39</v>
      </c>
    </row>
    <row r="236">
      <c r="A236" s="2" t="n">
        <v>149</v>
      </c>
      <c r="B236" s="2" t="s">
        <v>11490</v>
      </c>
      <c r="C236" s="2" t="s">
        <v>17254</v>
      </c>
      <c r="D236" s="2" t="n">
        <v>337.273721018</v>
      </c>
      <c r="E236" s="2" t="n">
        <v>3.23778768996385</v>
      </c>
      <c r="F236" s="2" t="s">
        <v>22116</v>
      </c>
      <c r="G236" s="2" t="n">
        <v>2626</v>
      </c>
      <c r="H236" s="3" t="str">
        <f>HYPERLINK("http://funmeta.oebiotech.com/network/2626", "http://funmeta.oebiotech.com/network/2626")</f>
      </c>
      <c r="I236" s="2" t="s">
        <v>22117</v>
      </c>
      <c r="J236" s="2" t="s">
        <v>22118</v>
      </c>
      <c r="K236" s="2" t="s">
        <v>22119</v>
      </c>
      <c r="L236" s="2"/>
      <c r="M236" s="2"/>
      <c r="N236" s="2" t="s">
        <v>22120</v>
      </c>
      <c r="O236" s="2" t="s">
        <v>22121</v>
      </c>
      <c r="P236" s="2" t="s">
        <v>22122</v>
      </c>
      <c r="Q236" s="2" t="s">
        <v>22123</v>
      </c>
      <c r="R236" s="2" t="s">
        <v>1490</v>
      </c>
      <c r="S236" s="2" t="s">
        <v>1491</v>
      </c>
      <c r="T236" s="2" t="s">
        <v>1492</v>
      </c>
      <c r="U236" s="2" t="s">
        <v>17255</v>
      </c>
      <c r="V236" s="2" t="s">
        <v>15649</v>
      </c>
      <c r="W236" s="2"/>
    </row>
    <row r="237">
      <c r="A237" s="2" t="n">
        <v>149</v>
      </c>
      <c r="B237" s="2" t="s">
        <v>22124</v>
      </c>
      <c r="C237" s="2" t="s">
        <v>17254</v>
      </c>
      <c r="D237" s="2" t="n">
        <v>337.273721019</v>
      </c>
      <c r="E237" s="2" t="n">
        <v>3.23778768996385</v>
      </c>
      <c r="F237" s="2" t="s">
        <v>22125</v>
      </c>
      <c r="G237" s="2" t="n">
        <v>2634</v>
      </c>
      <c r="H237" s="3" t="str">
        <f>HYPERLINK("http://funmeta.oebiotech.com/network/2634", "http://funmeta.oebiotech.com/network/2634")</f>
      </c>
      <c r="I237" s="2" t="s">
        <v>22126</v>
      </c>
      <c r="J237" s="2"/>
      <c r="K237" s="2" t="s">
        <v>22127</v>
      </c>
      <c r="L237" s="2"/>
      <c r="M237" s="2"/>
      <c r="N237" s="2" t="s">
        <v>22128</v>
      </c>
      <c r="O237" s="2" t="s">
        <v>22129</v>
      </c>
      <c r="P237" s="2" t="s">
        <v>22130</v>
      </c>
      <c r="Q237" s="2" t="s">
        <v>22131</v>
      </c>
      <c r="R237" s="2" t="s">
        <v>1490</v>
      </c>
      <c r="S237" s="2" t="s">
        <v>1491</v>
      </c>
      <c r="T237" s="2" t="s">
        <v>1492</v>
      </c>
      <c r="U237" s="2" t="s">
        <v>17255</v>
      </c>
      <c r="V237" s="2" t="s">
        <v>15649</v>
      </c>
      <c r="W237" s="2"/>
    </row>
    <row r="238">
      <c r="A238" s="2" t="n">
        <v>149</v>
      </c>
      <c r="B238" s="2" t="s">
        <v>22132</v>
      </c>
      <c r="C238" s="2" t="s">
        <v>17254</v>
      </c>
      <c r="D238" s="2" t="n">
        <v>337.273721019</v>
      </c>
      <c r="E238" s="2" t="n">
        <v>3.23778768996385</v>
      </c>
      <c r="F238" s="2" t="s">
        <v>22133</v>
      </c>
      <c r="G238" s="2" t="n">
        <v>2642</v>
      </c>
      <c r="H238" s="3" t="str">
        <f>HYPERLINK("http://funmeta.oebiotech.com/network/2642", "http://funmeta.oebiotech.com/network/2642")</f>
      </c>
      <c r="I238" s="2" t="s">
        <v>22134</v>
      </c>
      <c r="J238" s="2"/>
      <c r="K238" s="2" t="s">
        <v>22135</v>
      </c>
      <c r="L238" s="2"/>
      <c r="M238" s="2"/>
      <c r="N238" s="2" t="s">
        <v>22136</v>
      </c>
      <c r="O238" s="2" t="s">
        <v>22137</v>
      </c>
      <c r="P238" s="2" t="s">
        <v>22138</v>
      </c>
      <c r="Q238" s="2" t="s">
        <v>22139</v>
      </c>
      <c r="R238" s="2" t="s">
        <v>1490</v>
      </c>
      <c r="S238" s="2" t="s">
        <v>1491</v>
      </c>
      <c r="T238" s="2" t="s">
        <v>1492</v>
      </c>
      <c r="U238" s="2" t="s">
        <v>17255</v>
      </c>
      <c r="V238" s="2" t="s">
        <v>15649</v>
      </c>
      <c r="W238" s="2"/>
    </row>
    <row r="239">
      <c r="A239" s="2" t="n">
        <v>150</v>
      </c>
      <c r="B239" s="2" t="s">
        <v>11491</v>
      </c>
      <c r="C239" s="2" t="s">
        <v>17265</v>
      </c>
      <c r="D239" s="2" t="n">
        <v>338.342329689</v>
      </c>
      <c r="E239" s="2" t="n">
        <v>4.8033797353367</v>
      </c>
      <c r="F239" s="2" t="s">
        <v>17267</v>
      </c>
      <c r="G239" s="2" t="n">
        <v>9047</v>
      </c>
      <c r="H239" s="3" t="str">
        <f>HYPERLINK("http://funmeta.oebiotech.com/network/9047", "http://funmeta.oebiotech.com/network/9047")</f>
      </c>
      <c r="I239" s="2" t="s">
        <v>17269</v>
      </c>
      <c r="J239" s="2" t="s">
        <v>17270</v>
      </c>
      <c r="K239" s="2" t="s">
        <v>17271</v>
      </c>
      <c r="L239" s="2"/>
      <c r="M239" s="2" t="s">
        <v>17272</v>
      </c>
      <c r="N239" s="2" t="s">
        <v>17273</v>
      </c>
      <c r="O239" s="2" t="s">
        <v>17274</v>
      </c>
      <c r="P239" s="2" t="s">
        <v>17275</v>
      </c>
      <c r="Q239" s="2" t="s">
        <v>17276</v>
      </c>
      <c r="R239" s="2" t="s">
        <v>36</v>
      </c>
      <c r="S239" s="2" t="s">
        <v>37</v>
      </c>
      <c r="T239" s="2" t="s">
        <v>679</v>
      </c>
      <c r="U239" s="2" t="s">
        <v>17266</v>
      </c>
      <c r="V239" s="2" t="s">
        <v>15611</v>
      </c>
      <c r="W239" s="2"/>
    </row>
    <row r="240">
      <c r="A240" s="2" t="n">
        <v>151</v>
      </c>
      <c r="B240" s="2" t="s">
        <v>11492</v>
      </c>
      <c r="C240" s="2" t="s">
        <v>17277</v>
      </c>
      <c r="D240" s="2" t="n">
        <v>343.222748074</v>
      </c>
      <c r="E240" s="2" t="n">
        <v>0.855062377845943</v>
      </c>
      <c r="F240" s="2" t="s">
        <v>17279</v>
      </c>
      <c r="G240" s="2" t="n">
        <v>203323</v>
      </c>
      <c r="H240" s="3" t="str">
        <f>HYPERLINK("http://funmeta.oebiotech.com/network/203323", "http://funmeta.oebiotech.com/network/203323")</f>
      </c>
      <c r="I240" s="2" t="s">
        <v>17281</v>
      </c>
      <c r="J240" s="2"/>
      <c r="K240" s="2"/>
      <c r="L240" s="2"/>
      <c r="M240" s="2"/>
      <c r="N240" s="2" t="s">
        <v>17282</v>
      </c>
      <c r="O240" s="2"/>
      <c r="P240" s="2" t="s">
        <v>17283</v>
      </c>
      <c r="Q240" s="2" t="s">
        <v>17284</v>
      </c>
      <c r="R240" s="2" t="s">
        <v>49</v>
      </c>
      <c r="S240" s="2" t="s">
        <v>165</v>
      </c>
      <c r="T240" s="2" t="s">
        <v>166</v>
      </c>
      <c r="U240" s="2" t="s">
        <v>17278</v>
      </c>
      <c r="V240" s="2" t="s">
        <v>15649</v>
      </c>
      <c r="W240" s="2"/>
    </row>
    <row r="241">
      <c r="A241" s="2" t="n">
        <v>152</v>
      </c>
      <c r="B241" s="2" t="s">
        <v>11509</v>
      </c>
      <c r="C241" s="2" t="s">
        <v>17285</v>
      </c>
      <c r="D241" s="2" t="n">
        <v>347.133658302</v>
      </c>
      <c r="E241" s="2" t="n">
        <v>3.34599629800665</v>
      </c>
      <c r="F241" s="2" t="s">
        <v>17287</v>
      </c>
      <c r="G241" s="2" t="n">
        <v>60263</v>
      </c>
      <c r="H241" s="3" t="str">
        <f>HYPERLINK("http://funmeta.oebiotech.com/network/60263", "http://funmeta.oebiotech.com/network/60263")</f>
      </c>
      <c r="I241" s="2" t="s">
        <v>17289</v>
      </c>
      <c r="J241" s="2"/>
      <c r="K241" s="2"/>
      <c r="L241" s="2" t="s">
        <v>17290</v>
      </c>
      <c r="M241" s="2"/>
      <c r="N241" s="2" t="s">
        <v>17291</v>
      </c>
      <c r="O241" s="2" t="s">
        <v>17292</v>
      </c>
      <c r="P241" s="2" t="s">
        <v>17293</v>
      </c>
      <c r="Q241" s="2" t="s">
        <v>17294</v>
      </c>
      <c r="R241" s="2" t="s">
        <v>1490</v>
      </c>
      <c r="S241" s="2" t="s">
        <v>4971</v>
      </c>
      <c r="T241" s="2" t="s">
        <v>5010</v>
      </c>
      <c r="U241" s="2" t="s">
        <v>17286</v>
      </c>
      <c r="V241" s="2" t="s">
        <v>15649</v>
      </c>
      <c r="W241" s="2" t="s">
        <v>39</v>
      </c>
    </row>
    <row r="242">
      <c r="A242" s="2" t="n">
        <v>153</v>
      </c>
      <c r="B242" s="2" t="s">
        <v>11542</v>
      </c>
      <c r="C242" s="2" t="s">
        <v>17295</v>
      </c>
      <c r="D242" s="2" t="n">
        <v>347.187226029</v>
      </c>
      <c r="E242" s="2" t="n">
        <v>12.2360635376474</v>
      </c>
      <c r="F242" s="2" t="s">
        <v>17297</v>
      </c>
      <c r="G242" s="2" t="n">
        <v>212384</v>
      </c>
      <c r="H242" s="3" t="str">
        <f>HYPERLINK("http://funmeta.oebiotech.com/network/212384", "http://funmeta.oebiotech.com/network/212384")</f>
      </c>
      <c r="I242" s="2" t="s">
        <v>17299</v>
      </c>
      <c r="J242" s="2" t="s">
        <v>17300</v>
      </c>
      <c r="K242" s="2"/>
      <c r="L242" s="2"/>
      <c r="M242" s="2"/>
      <c r="N242" s="2" t="s">
        <v>17301</v>
      </c>
      <c r="O242" s="2" t="s">
        <v>17302</v>
      </c>
      <c r="P242" s="2" t="s">
        <v>17303</v>
      </c>
      <c r="Q242" s="2" t="s">
        <v>17304</v>
      </c>
      <c r="R242" s="2" t="s">
        <v>355</v>
      </c>
      <c r="S242" s="2" t="s">
        <v>17305</v>
      </c>
      <c r="T242" s="2" t="s">
        <v>205</v>
      </c>
      <c r="U242" s="2" t="s">
        <v>17296</v>
      </c>
      <c r="V242" s="2" t="s">
        <v>15611</v>
      </c>
      <c r="W242" s="2"/>
    </row>
    <row r="243">
      <c r="A243" s="2" t="n">
        <v>154</v>
      </c>
      <c r="B243" s="2" t="s">
        <v>11543</v>
      </c>
      <c r="C243" s="2" t="s">
        <v>17306</v>
      </c>
      <c r="D243" s="2" t="n">
        <v>349.180409317</v>
      </c>
      <c r="E243" s="2" t="n">
        <v>2.39396792224937</v>
      </c>
      <c r="F243" s="2" t="s">
        <v>17308</v>
      </c>
      <c r="G243" s="2" t="n">
        <v>257412</v>
      </c>
      <c r="H243" s="3" t="str">
        <f>HYPERLINK("http://funmeta.oebiotech.com/network/257412", "http://funmeta.oebiotech.com/network/257412")</f>
      </c>
      <c r="I243" s="2" t="s">
        <v>17310</v>
      </c>
      <c r="J243" s="2"/>
      <c r="K243" s="2"/>
      <c r="L243" s="2"/>
      <c r="M243" s="2"/>
      <c r="N243" s="2" t="s">
        <v>17311</v>
      </c>
      <c r="O243" s="2"/>
      <c r="P243" s="2" t="s">
        <v>17312</v>
      </c>
      <c r="Q243" s="2" t="s">
        <v>17313</v>
      </c>
      <c r="R243" s="2" t="s">
        <v>502</v>
      </c>
      <c r="S243" s="2" t="s">
        <v>503</v>
      </c>
      <c r="T243" s="2" t="s">
        <v>5917</v>
      </c>
      <c r="U243" s="2" t="s">
        <v>17307</v>
      </c>
      <c r="V243" s="2" t="s">
        <v>15611</v>
      </c>
      <c r="W243" s="2"/>
    </row>
    <row r="244">
      <c r="A244" s="2" t="n">
        <v>155</v>
      </c>
      <c r="B244" s="2" t="s">
        <v>11544</v>
      </c>
      <c r="C244" s="2" t="s">
        <v>17314</v>
      </c>
      <c r="D244" s="2" t="n">
        <v>350.075328433</v>
      </c>
      <c r="E244" s="2" t="n">
        <v>2.91575694076603</v>
      </c>
      <c r="F244" s="2" t="s">
        <v>17316</v>
      </c>
      <c r="G244" s="2" t="n">
        <v>201419</v>
      </c>
      <c r="H244" s="3" t="str">
        <f>HYPERLINK("http://funmeta.oebiotech.com/network/201419", "http://funmeta.oebiotech.com/network/201419")</f>
      </c>
      <c r="I244" s="2" t="s">
        <v>17318</v>
      </c>
      <c r="J244" s="2"/>
      <c r="K244" s="2"/>
      <c r="L244" s="2"/>
      <c r="M244" s="2"/>
      <c r="N244" s="2" t="s">
        <v>17319</v>
      </c>
      <c r="O244" s="2"/>
      <c r="P244" s="2" t="s">
        <v>17320</v>
      </c>
      <c r="Q244" s="2" t="s">
        <v>17321</v>
      </c>
      <c r="R244" s="2" t="s">
        <v>355</v>
      </c>
      <c r="S244" s="2" t="s">
        <v>1580</v>
      </c>
      <c r="T244" s="2" t="s">
        <v>17322</v>
      </c>
      <c r="U244" s="2" t="s">
        <v>17315</v>
      </c>
      <c r="V244" s="2" t="s">
        <v>15919</v>
      </c>
      <c r="W244" s="2"/>
    </row>
    <row r="245">
      <c r="A245" s="2" t="n">
        <v>156</v>
      </c>
      <c r="B245" s="2" t="s">
        <v>11545</v>
      </c>
      <c r="C245" s="2" t="s">
        <v>17323</v>
      </c>
      <c r="D245" s="2" t="n">
        <v>351.191447945</v>
      </c>
      <c r="E245" s="2" t="n">
        <v>0.274402258508317</v>
      </c>
      <c r="F245" s="2" t="s">
        <v>17325</v>
      </c>
      <c r="G245" s="2" t="n">
        <v>206101</v>
      </c>
      <c r="H245" s="3" t="str">
        <f>HYPERLINK("http://funmeta.oebiotech.com/network/206101", "http://funmeta.oebiotech.com/network/206101")</f>
      </c>
      <c r="I245" s="2" t="s">
        <v>17327</v>
      </c>
      <c r="J245" s="2" t="s">
        <v>17328</v>
      </c>
      <c r="K245" s="2"/>
      <c r="L245" s="2"/>
      <c r="M245" s="2"/>
      <c r="N245" s="2" t="s">
        <v>17329</v>
      </c>
      <c r="O245" s="2"/>
      <c r="P245" s="2" t="s">
        <v>17330</v>
      </c>
      <c r="Q245" s="2" t="s">
        <v>17331</v>
      </c>
      <c r="R245" s="2" t="s">
        <v>49</v>
      </c>
      <c r="S245" s="2" t="s">
        <v>165</v>
      </c>
      <c r="T245" s="2" t="s">
        <v>166</v>
      </c>
      <c r="U245" s="2" t="s">
        <v>17324</v>
      </c>
      <c r="V245" s="2" t="s">
        <v>15649</v>
      </c>
      <c r="W245" s="2"/>
    </row>
    <row r="246">
      <c r="A246" s="2" t="n">
        <v>157</v>
      </c>
      <c r="B246" s="2" t="s">
        <v>11546</v>
      </c>
      <c r="C246" s="2" t="s">
        <v>17332</v>
      </c>
      <c r="D246" s="2" t="n">
        <v>352.0404828</v>
      </c>
      <c r="E246" s="2" t="n">
        <v>1.90831013518542</v>
      </c>
      <c r="F246" s="2" t="s">
        <v>17334</v>
      </c>
      <c r="G246" s="2" t="n">
        <v>211390</v>
      </c>
      <c r="H246" s="3" t="str">
        <f>HYPERLINK("http://funmeta.oebiotech.com/network/211390", "http://funmeta.oebiotech.com/network/211390")</f>
      </c>
      <c r="I246" s="2" t="s">
        <v>17336</v>
      </c>
      <c r="J246" s="2"/>
      <c r="K246" s="2"/>
      <c r="L246" s="2"/>
      <c r="M246" s="2"/>
      <c r="N246" s="2" t="s">
        <v>17337</v>
      </c>
      <c r="O246" s="2"/>
      <c r="P246" s="2" t="s">
        <v>17338</v>
      </c>
      <c r="Q246" s="2" t="s">
        <v>17339</v>
      </c>
      <c r="R246" s="2" t="s">
        <v>49</v>
      </c>
      <c r="S246" s="2" t="s">
        <v>165</v>
      </c>
      <c r="T246" s="2" t="s">
        <v>166</v>
      </c>
      <c r="U246" s="2" t="s">
        <v>17333</v>
      </c>
      <c r="V246" s="2" t="s">
        <v>15649</v>
      </c>
      <c r="W246" s="2"/>
    </row>
    <row r="247">
      <c r="A247" s="2" t="n">
        <v>158</v>
      </c>
      <c r="B247" s="2" t="s">
        <v>11547</v>
      </c>
      <c r="C247" s="2" t="s">
        <v>17340</v>
      </c>
      <c r="D247" s="2" t="n">
        <v>353.076160665</v>
      </c>
      <c r="E247" s="2" t="n">
        <v>3.06233551679429</v>
      </c>
      <c r="F247" s="2" t="s">
        <v>17342</v>
      </c>
      <c r="G247" s="2" t="n">
        <v>211100</v>
      </c>
      <c r="H247" s="3" t="str">
        <f>HYPERLINK("http://funmeta.oebiotech.com/network/211100", "http://funmeta.oebiotech.com/network/211100")</f>
      </c>
      <c r="I247" s="2" t="s">
        <v>17344</v>
      </c>
      <c r="J247" s="2"/>
      <c r="K247" s="2"/>
      <c r="L247" s="2"/>
      <c r="M247" s="2"/>
      <c r="N247" s="2" t="s">
        <v>17345</v>
      </c>
      <c r="O247" s="2"/>
      <c r="P247" s="2" t="s">
        <v>17346</v>
      </c>
      <c r="Q247" s="2" t="s">
        <v>17347</v>
      </c>
      <c r="R247" s="2" t="s">
        <v>49</v>
      </c>
      <c r="S247" s="2" t="s">
        <v>165</v>
      </c>
      <c r="T247" s="2" t="s">
        <v>166</v>
      </c>
      <c r="U247" s="2" t="s">
        <v>17341</v>
      </c>
      <c r="V247" s="2" t="s">
        <v>15649</v>
      </c>
      <c r="W247" s="2"/>
    </row>
    <row r="248">
      <c r="A248" s="2" t="n">
        <v>159</v>
      </c>
      <c r="B248" s="2" t="s">
        <v>11548</v>
      </c>
      <c r="C248" s="2" t="s">
        <v>17348</v>
      </c>
      <c r="D248" s="2" t="n">
        <v>354.106095115</v>
      </c>
      <c r="E248" s="2" t="n">
        <v>5.95342934037126</v>
      </c>
      <c r="F248" s="2" t="s">
        <v>17350</v>
      </c>
      <c r="G248" s="2" t="n">
        <v>82838</v>
      </c>
      <c r="H248" s="3" t="str">
        <f>HYPERLINK("http://funmeta.oebiotech.com/network/82838", "http://funmeta.oebiotech.com/network/82838")</f>
      </c>
      <c r="I248" s="2" t="s">
        <v>17352</v>
      </c>
      <c r="J248" s="2"/>
      <c r="K248" s="2"/>
      <c r="L248" s="2"/>
      <c r="M248" s="2"/>
      <c r="N248" s="2" t="s">
        <v>17353</v>
      </c>
      <c r="O248" s="2"/>
      <c r="P248" s="2" t="s">
        <v>17354</v>
      </c>
      <c r="Q248" s="2" t="s">
        <v>17355</v>
      </c>
      <c r="R248" s="2" t="s">
        <v>64</v>
      </c>
      <c r="S248" s="2" t="s">
        <v>65</v>
      </c>
      <c r="T248" s="2" t="s">
        <v>91</v>
      </c>
      <c r="U248" s="2" t="s">
        <v>17349</v>
      </c>
      <c r="V248" s="2" t="s">
        <v>15624</v>
      </c>
      <c r="W248" s="2"/>
    </row>
    <row r="249">
      <c r="A249" s="2" t="n">
        <v>160</v>
      </c>
      <c r="B249" s="2" t="s">
        <v>11549</v>
      </c>
      <c r="C249" s="2" t="s">
        <v>17356</v>
      </c>
      <c r="D249" s="2" t="n">
        <v>362.088316623</v>
      </c>
      <c r="E249" s="2" t="n">
        <v>2.15575037291032</v>
      </c>
      <c r="F249" s="2" t="s">
        <v>17358</v>
      </c>
      <c r="G249" s="2" t="n">
        <v>57734</v>
      </c>
      <c r="H249" s="3" t="str">
        <f>HYPERLINK("http://funmeta.oebiotech.com/network/57734", "http://funmeta.oebiotech.com/network/57734")</f>
      </c>
      <c r="I249" s="2" t="s">
        <v>17360</v>
      </c>
      <c r="J249" s="2"/>
      <c r="K249" s="2"/>
      <c r="L249" s="2"/>
      <c r="M249" s="2"/>
      <c r="N249" s="2" t="s">
        <v>17361</v>
      </c>
      <c r="O249" s="2" t="s">
        <v>17362</v>
      </c>
      <c r="P249" s="2" t="s">
        <v>17363</v>
      </c>
      <c r="Q249" s="2" t="s">
        <v>17364</v>
      </c>
      <c r="R249" s="2" t="s">
        <v>2509</v>
      </c>
      <c r="S249" s="2" t="s">
        <v>4495</v>
      </c>
      <c r="T249" s="2" t="s">
        <v>205</v>
      </c>
      <c r="U249" s="2" t="s">
        <v>17357</v>
      </c>
      <c r="V249" s="2" t="s">
        <v>15611</v>
      </c>
      <c r="W249" s="2"/>
    </row>
    <row r="250">
      <c r="A250" s="2" t="n">
        <v>161</v>
      </c>
      <c r="B250" s="2" t="s">
        <v>11579</v>
      </c>
      <c r="C250" s="2" t="s">
        <v>17365</v>
      </c>
      <c r="D250" s="2" t="n">
        <v>363.191447945</v>
      </c>
      <c r="E250" s="2" t="n">
        <v>2.46706880629859</v>
      </c>
      <c r="F250" s="2" t="s">
        <v>17367</v>
      </c>
      <c r="G250" s="2" t="n">
        <v>210890</v>
      </c>
      <c r="H250" s="3" t="str">
        <f>HYPERLINK("http://funmeta.oebiotech.com/network/210890", "http://funmeta.oebiotech.com/network/210890")</f>
      </c>
      <c r="I250" s="2" t="s">
        <v>17369</v>
      </c>
      <c r="J250" s="2" t="s">
        <v>17370</v>
      </c>
      <c r="K250" s="2"/>
      <c r="L250" s="2"/>
      <c r="M250" s="2"/>
      <c r="N250" s="2" t="s">
        <v>17371</v>
      </c>
      <c r="O250" s="2"/>
      <c r="P250" s="2" t="s">
        <v>17372</v>
      </c>
      <c r="Q250" s="2" t="s">
        <v>17373</v>
      </c>
      <c r="R250" s="2" t="s">
        <v>49</v>
      </c>
      <c r="S250" s="2" t="s">
        <v>165</v>
      </c>
      <c r="T250" s="2" t="s">
        <v>166</v>
      </c>
      <c r="U250" s="2" t="s">
        <v>17366</v>
      </c>
      <c r="V250" s="2" t="s">
        <v>15649</v>
      </c>
      <c r="W250" s="2"/>
    </row>
    <row r="251">
      <c r="A251" s="2" t="n">
        <v>162</v>
      </c>
      <c r="B251" s="2" t="s">
        <v>11580</v>
      </c>
      <c r="C251" s="2" t="s">
        <v>17374</v>
      </c>
      <c r="D251" s="2" t="n">
        <v>364.966416456</v>
      </c>
      <c r="E251" s="2" t="n">
        <v>2.63339071380395</v>
      </c>
      <c r="F251" s="2" t="s">
        <v>17376</v>
      </c>
      <c r="G251" s="2" t="n">
        <v>212309</v>
      </c>
      <c r="H251" s="3" t="str">
        <f>HYPERLINK("http://funmeta.oebiotech.com/network/212309", "http://funmeta.oebiotech.com/network/212309")</f>
      </c>
      <c r="I251" s="2" t="s">
        <v>17378</v>
      </c>
      <c r="J251" s="2" t="s">
        <v>17379</v>
      </c>
      <c r="K251" s="2"/>
      <c r="L251" s="2" t="s">
        <v>17380</v>
      </c>
      <c r="M251" s="2"/>
      <c r="N251" s="2" t="s">
        <v>17381</v>
      </c>
      <c r="O251" s="2" t="s">
        <v>17382</v>
      </c>
      <c r="P251" s="2" t="s">
        <v>17383</v>
      </c>
      <c r="Q251" s="2" t="s">
        <v>17384</v>
      </c>
      <c r="R251" s="2" t="s">
        <v>502</v>
      </c>
      <c r="S251" s="2" t="s">
        <v>503</v>
      </c>
      <c r="T251" s="2" t="s">
        <v>5166</v>
      </c>
      <c r="U251" s="2" t="s">
        <v>17375</v>
      </c>
      <c r="V251" s="2" t="s">
        <v>15649</v>
      </c>
      <c r="W251" s="2" t="s">
        <v>39</v>
      </c>
    </row>
    <row r="252">
      <c r="A252" s="2" t="n">
        <v>163</v>
      </c>
      <c r="B252" s="2" t="s">
        <v>11581</v>
      </c>
      <c r="C252" s="2" t="s">
        <v>17385</v>
      </c>
      <c r="D252" s="2" t="n">
        <v>365.154748699</v>
      </c>
      <c r="E252" s="2" t="n">
        <v>0.109173284651462</v>
      </c>
      <c r="F252" s="2" t="s">
        <v>17387</v>
      </c>
      <c r="G252" s="2" t="n">
        <v>212715</v>
      </c>
      <c r="H252" s="3" t="str">
        <f>HYPERLINK("http://funmeta.oebiotech.com/network/212715", "http://funmeta.oebiotech.com/network/212715")</f>
      </c>
      <c r="I252" s="2" t="s">
        <v>17389</v>
      </c>
      <c r="J252" s="2"/>
      <c r="K252" s="2"/>
      <c r="L252" s="2"/>
      <c r="M252" s="2"/>
      <c r="N252" s="2"/>
      <c r="O252" s="2"/>
      <c r="P252" s="2" t="s">
        <v>17390</v>
      </c>
      <c r="Q252" s="2" t="s">
        <v>17391</v>
      </c>
      <c r="R252" s="2" t="s">
        <v>502</v>
      </c>
      <c r="S252" s="2" t="s">
        <v>503</v>
      </c>
      <c r="T252" s="2" t="s">
        <v>3450</v>
      </c>
      <c r="U252" s="2" t="s">
        <v>17386</v>
      </c>
      <c r="V252" s="2" t="s">
        <v>15649</v>
      </c>
      <c r="W252" s="2"/>
    </row>
    <row r="253">
      <c r="A253" s="2" t="n">
        <v>164</v>
      </c>
      <c r="B253" s="2" t="s">
        <v>11599</v>
      </c>
      <c r="C253" s="2" t="s">
        <v>17392</v>
      </c>
      <c r="D253" s="2" t="n">
        <v>366.064199001</v>
      </c>
      <c r="E253" s="2" t="n">
        <v>0.575898149957306</v>
      </c>
      <c r="F253" s="2" t="s">
        <v>17394</v>
      </c>
      <c r="G253" s="2" t="n">
        <v>202196</v>
      </c>
      <c r="H253" s="3" t="str">
        <f>HYPERLINK("http://funmeta.oebiotech.com/network/202196", "http://funmeta.oebiotech.com/network/202196")</f>
      </c>
      <c r="I253" s="2" t="s">
        <v>17396</v>
      </c>
      <c r="J253" s="2"/>
      <c r="K253" s="2"/>
      <c r="L253" s="2"/>
      <c r="M253" s="2" t="s">
        <v>17397</v>
      </c>
      <c r="N253" s="2" t="s">
        <v>17398</v>
      </c>
      <c r="O253" s="2"/>
      <c r="P253" s="2" t="s">
        <v>17399</v>
      </c>
      <c r="Q253" s="2" t="s">
        <v>17400</v>
      </c>
      <c r="R253" s="2" t="s">
        <v>502</v>
      </c>
      <c r="S253" s="2" t="s">
        <v>503</v>
      </c>
      <c r="T253" s="2" t="s">
        <v>2174</v>
      </c>
      <c r="U253" s="2" t="s">
        <v>17393</v>
      </c>
      <c r="V253" s="2" t="s">
        <v>15649</v>
      </c>
      <c r="W253" s="2"/>
    </row>
    <row r="254">
      <c r="A254" s="2" t="n">
        <v>165</v>
      </c>
      <c r="B254" s="2" t="s">
        <v>11619</v>
      </c>
      <c r="C254" s="2" t="s">
        <v>17401</v>
      </c>
      <c r="D254" s="2" t="n">
        <v>366.958535326</v>
      </c>
      <c r="E254" s="2" t="n">
        <v>0.662043133614658</v>
      </c>
      <c r="F254" s="2" t="s">
        <v>17403</v>
      </c>
      <c r="G254" s="2" t="n">
        <v>212106</v>
      </c>
      <c r="H254" s="3" t="str">
        <f>HYPERLINK("http://funmeta.oebiotech.com/network/212106", "http://funmeta.oebiotech.com/network/212106")</f>
      </c>
      <c r="I254" s="2" t="s">
        <v>17405</v>
      </c>
      <c r="J254" s="2"/>
      <c r="K254" s="2"/>
      <c r="L254" s="2"/>
      <c r="M254" s="2"/>
      <c r="N254" s="2"/>
      <c r="O254" s="2"/>
      <c r="P254" s="2" t="s">
        <v>17406</v>
      </c>
      <c r="Q254" s="2" t="s">
        <v>17407</v>
      </c>
      <c r="R254" s="2" t="s">
        <v>502</v>
      </c>
      <c r="S254" s="2" t="s">
        <v>503</v>
      </c>
      <c r="T254" s="2" t="s">
        <v>6053</v>
      </c>
      <c r="U254" s="2" t="s">
        <v>17402</v>
      </c>
      <c r="V254" s="2" t="s">
        <v>15722</v>
      </c>
      <c r="W254" s="2"/>
    </row>
    <row r="255">
      <c r="A255" s="2" t="n">
        <v>166</v>
      </c>
      <c r="B255" s="2" t="s">
        <v>11620</v>
      </c>
      <c r="C255" s="2" t="s">
        <v>17408</v>
      </c>
      <c r="D255" s="2" t="n">
        <v>369.1364316</v>
      </c>
      <c r="E255" s="2" t="n">
        <v>0.818629520935721</v>
      </c>
      <c r="F255" s="2" t="s">
        <v>17410</v>
      </c>
      <c r="G255" s="2" t="n">
        <v>203736</v>
      </c>
      <c r="H255" s="3" t="str">
        <f>HYPERLINK("http://funmeta.oebiotech.com/network/203736", "http://funmeta.oebiotech.com/network/203736")</f>
      </c>
      <c r="I255" s="2" t="s">
        <v>17412</v>
      </c>
      <c r="J255" s="2"/>
      <c r="K255" s="2"/>
      <c r="L255" s="2"/>
      <c r="M255" s="2"/>
      <c r="N255" s="2" t="s">
        <v>17413</v>
      </c>
      <c r="O255" s="2"/>
      <c r="P255" s="2" t="s">
        <v>17414</v>
      </c>
      <c r="Q255" s="2" t="s">
        <v>17415</v>
      </c>
      <c r="R255" s="2" t="s">
        <v>502</v>
      </c>
      <c r="S255" s="2" t="s">
        <v>503</v>
      </c>
      <c r="T255" s="2" t="s">
        <v>2174</v>
      </c>
      <c r="U255" s="2" t="s">
        <v>17409</v>
      </c>
      <c r="V255" s="2" t="s">
        <v>15649</v>
      </c>
      <c r="W255" s="2"/>
    </row>
    <row r="256">
      <c r="A256" s="2" t="n">
        <v>167</v>
      </c>
      <c r="B256" s="2" t="s">
        <v>11621</v>
      </c>
      <c r="C256" s="2" t="s">
        <v>17416</v>
      </c>
      <c r="D256" s="2" t="n">
        <v>369.24242089</v>
      </c>
      <c r="E256" s="2" t="n">
        <v>6.2821450108362</v>
      </c>
      <c r="F256" s="2" t="s">
        <v>17418</v>
      </c>
      <c r="G256" s="2" t="n">
        <v>208559</v>
      </c>
      <c r="H256" s="3" t="str">
        <f>HYPERLINK("http://funmeta.oebiotech.com/network/208559", "http://funmeta.oebiotech.com/network/208559")</f>
      </c>
      <c r="I256" s="2" t="s">
        <v>17420</v>
      </c>
      <c r="J256" s="2"/>
      <c r="K256" s="2"/>
      <c r="L256" s="2"/>
      <c r="M256" s="2"/>
      <c r="N256" s="2" t="s">
        <v>17421</v>
      </c>
      <c r="O256" s="2"/>
      <c r="P256" s="2" t="s">
        <v>17422</v>
      </c>
      <c r="Q256" s="2" t="s">
        <v>17423</v>
      </c>
      <c r="R256" s="2" t="s">
        <v>502</v>
      </c>
      <c r="S256" s="2" t="s">
        <v>2413</v>
      </c>
      <c r="T256" s="2" t="s">
        <v>3372</v>
      </c>
      <c r="U256" s="2" t="s">
        <v>17417</v>
      </c>
      <c r="V256" s="2" t="s">
        <v>15649</v>
      </c>
      <c r="W256" s="2"/>
    </row>
    <row r="257">
      <c r="A257" s="2" t="n">
        <v>168</v>
      </c>
      <c r="B257" s="2" t="s">
        <v>11640</v>
      </c>
      <c r="C257" s="2" t="s">
        <v>17424</v>
      </c>
      <c r="D257" s="2" t="n">
        <v>370.057200379</v>
      </c>
      <c r="E257" s="2" t="n">
        <v>4.19650956052303</v>
      </c>
      <c r="F257" s="2" t="s">
        <v>17426</v>
      </c>
      <c r="G257" s="2" t="n">
        <v>209453</v>
      </c>
      <c r="H257" s="3" t="str">
        <f>HYPERLINK("http://funmeta.oebiotech.com/network/209453", "http://funmeta.oebiotech.com/network/209453")</f>
      </c>
      <c r="I257" s="2" t="s">
        <v>17428</v>
      </c>
      <c r="J257" s="2"/>
      <c r="K257" s="2"/>
      <c r="L257" s="2"/>
      <c r="M257" s="2"/>
      <c r="N257" s="2" t="s">
        <v>17429</v>
      </c>
      <c r="O257" s="2"/>
      <c r="P257" s="2" t="s">
        <v>17430</v>
      </c>
      <c r="Q257" s="2" t="s">
        <v>17431</v>
      </c>
      <c r="R257" s="2" t="s">
        <v>502</v>
      </c>
      <c r="S257" s="2" t="s">
        <v>503</v>
      </c>
      <c r="T257" s="2" t="s">
        <v>5917</v>
      </c>
      <c r="U257" s="2" t="s">
        <v>17425</v>
      </c>
      <c r="V257" s="2" t="s">
        <v>15611</v>
      </c>
      <c r="W257" s="2"/>
    </row>
    <row r="258">
      <c r="A258" s="2" t="n">
        <v>169</v>
      </c>
      <c r="B258" s="2" t="s">
        <v>11641</v>
      </c>
      <c r="C258" s="2" t="s">
        <v>17432</v>
      </c>
      <c r="D258" s="2" t="n">
        <v>379.07566748</v>
      </c>
      <c r="E258" s="2" t="n">
        <v>2.06833759843311</v>
      </c>
      <c r="F258" s="2" t="s">
        <v>17434</v>
      </c>
      <c r="G258" s="2" t="n">
        <v>204237</v>
      </c>
      <c r="H258" s="3" t="str">
        <f>HYPERLINK("http://funmeta.oebiotech.com/network/204237", "http://funmeta.oebiotech.com/network/204237")</f>
      </c>
      <c r="I258" s="2" t="s">
        <v>17436</v>
      </c>
      <c r="J258" s="2"/>
      <c r="K258" s="2"/>
      <c r="L258" s="2"/>
      <c r="M258" s="2"/>
      <c r="N258" s="2" t="s">
        <v>17437</v>
      </c>
      <c r="O258" s="2"/>
      <c r="P258" s="2" t="s">
        <v>17438</v>
      </c>
      <c r="Q258" s="2" t="s">
        <v>17439</v>
      </c>
      <c r="R258" s="2" t="s">
        <v>49</v>
      </c>
      <c r="S258" s="2" t="s">
        <v>165</v>
      </c>
      <c r="T258" s="2" t="s">
        <v>166</v>
      </c>
      <c r="U258" s="2" t="s">
        <v>17433</v>
      </c>
      <c r="V258" s="2" t="s">
        <v>15858</v>
      </c>
      <c r="W258" s="2"/>
    </row>
    <row r="259">
      <c r="A259" s="2" t="n">
        <v>170</v>
      </c>
      <c r="B259" s="2" t="s">
        <v>11671</v>
      </c>
      <c r="C259" s="2" t="s">
        <v>17440</v>
      </c>
      <c r="D259" s="2" t="n">
        <v>381.079369546</v>
      </c>
      <c r="E259" s="2" t="n">
        <v>4.23109019268883</v>
      </c>
      <c r="F259" s="2" t="s">
        <v>17442</v>
      </c>
      <c r="G259" s="2" t="n">
        <v>46847</v>
      </c>
      <c r="H259" s="3" t="str">
        <f>HYPERLINK("http://funmeta.oebiotech.com/network/46847", "http://funmeta.oebiotech.com/network/46847")</f>
      </c>
      <c r="I259" s="2" t="s">
        <v>17444</v>
      </c>
      <c r="J259" s="2" t="s">
        <v>17445</v>
      </c>
      <c r="K259" s="2"/>
      <c r="L259" s="2" t="s">
        <v>17446</v>
      </c>
      <c r="M259" s="2" t="s">
        <v>17447</v>
      </c>
      <c r="N259" s="2" t="s">
        <v>17448</v>
      </c>
      <c r="O259" s="2" t="s">
        <v>17449</v>
      </c>
      <c r="P259" s="2" t="s">
        <v>17450</v>
      </c>
      <c r="Q259" s="2" t="s">
        <v>17451</v>
      </c>
      <c r="R259" s="2" t="s">
        <v>64</v>
      </c>
      <c r="S259" s="2" t="s">
        <v>65</v>
      </c>
      <c r="T259" s="2" t="s">
        <v>66</v>
      </c>
      <c r="U259" s="2" t="s">
        <v>17441</v>
      </c>
      <c r="V259" s="2" t="s">
        <v>15919</v>
      </c>
      <c r="W259" s="2" t="s">
        <v>39</v>
      </c>
    </row>
    <row r="260">
      <c r="A260" s="2" t="n">
        <v>171</v>
      </c>
      <c r="B260" s="2" t="s">
        <v>11672</v>
      </c>
      <c r="C260" s="2" t="s">
        <v>17452</v>
      </c>
      <c r="D260" s="2" t="n">
        <v>385.213798206</v>
      </c>
      <c r="E260" s="2" t="n">
        <v>2.54608371571164</v>
      </c>
      <c r="F260" s="2" t="s">
        <v>17454</v>
      </c>
      <c r="G260" s="2" t="n">
        <v>213326</v>
      </c>
      <c r="H260" s="3" t="str">
        <f>HYPERLINK("http://funmeta.oebiotech.com/network/213326", "http://funmeta.oebiotech.com/network/213326")</f>
      </c>
      <c r="I260" s="2" t="s">
        <v>17456</v>
      </c>
      <c r="J260" s="2"/>
      <c r="K260" s="2"/>
      <c r="L260" s="2"/>
      <c r="M260" s="2"/>
      <c r="N260" s="2"/>
      <c r="O260" s="2"/>
      <c r="P260" s="2" t="s">
        <v>17457</v>
      </c>
      <c r="Q260" s="2" t="s">
        <v>17458</v>
      </c>
      <c r="R260" s="2" t="s">
        <v>1490</v>
      </c>
      <c r="S260" s="2" t="s">
        <v>3546</v>
      </c>
      <c r="T260" s="2" t="s">
        <v>8741</v>
      </c>
      <c r="U260" s="2" t="s">
        <v>17453</v>
      </c>
      <c r="V260" s="2" t="s">
        <v>15858</v>
      </c>
      <c r="W260" s="2"/>
    </row>
    <row r="261">
      <c r="A261" s="2" t="n">
        <v>172</v>
      </c>
      <c r="B261" s="2" t="s">
        <v>11673</v>
      </c>
      <c r="C261" s="2" t="s">
        <v>17459</v>
      </c>
      <c r="D261" s="2" t="n">
        <v>389.134326992</v>
      </c>
      <c r="E261" s="2" t="n">
        <v>2.42304311303665</v>
      </c>
      <c r="F261" s="2" t="s">
        <v>22140</v>
      </c>
      <c r="G261" s="2" t="n">
        <v>203632</v>
      </c>
      <c r="H261" s="3" t="str">
        <f>HYPERLINK("http://funmeta.oebiotech.com/network/203632", "http://funmeta.oebiotech.com/network/203632")</f>
      </c>
      <c r="I261" s="2" t="s">
        <v>22141</v>
      </c>
      <c r="J261" s="2" t="s">
        <v>22142</v>
      </c>
      <c r="K261" s="2"/>
      <c r="L261" s="2"/>
      <c r="M261" s="2"/>
      <c r="N261" s="2" t="s">
        <v>22143</v>
      </c>
      <c r="O261" s="2"/>
      <c r="P261" s="2" t="s">
        <v>22144</v>
      </c>
      <c r="Q261" s="2" t="s">
        <v>22145</v>
      </c>
      <c r="R261" s="2" t="s">
        <v>355</v>
      </c>
      <c r="S261" s="2" t="s">
        <v>1316</v>
      </c>
      <c r="T261" s="2" t="s">
        <v>4897</v>
      </c>
      <c r="U261" s="2" t="s">
        <v>17460</v>
      </c>
      <c r="V261" s="2" t="s">
        <v>15649</v>
      </c>
      <c r="W261" s="2"/>
    </row>
    <row r="262">
      <c r="A262" s="2" t="n">
        <v>172</v>
      </c>
      <c r="B262" s="2" t="s">
        <v>22146</v>
      </c>
      <c r="C262" s="2" t="s">
        <v>17459</v>
      </c>
      <c r="D262" s="2" t="n">
        <v>389.134326992</v>
      </c>
      <c r="E262" s="2" t="n">
        <v>2.42304311303665</v>
      </c>
      <c r="F262" s="2" t="s">
        <v>22147</v>
      </c>
      <c r="G262" s="2" t="n">
        <v>213390</v>
      </c>
      <c r="H262" s="3" t="str">
        <f>HYPERLINK("http://funmeta.oebiotech.com/network/213390", "http://funmeta.oebiotech.com/network/213390")</f>
      </c>
      <c r="I262" s="2" t="s">
        <v>22148</v>
      </c>
      <c r="J262" s="2"/>
      <c r="K262" s="2"/>
      <c r="L262" s="2"/>
      <c r="M262" s="2"/>
      <c r="N262" s="2" t="s">
        <v>22149</v>
      </c>
      <c r="O262" s="2"/>
      <c r="P262" s="2" t="s">
        <v>22150</v>
      </c>
      <c r="Q262" s="2" t="s">
        <v>22151</v>
      </c>
      <c r="R262" s="2" t="s">
        <v>355</v>
      </c>
      <c r="S262" s="2" t="s">
        <v>1316</v>
      </c>
      <c r="T262" s="2" t="s">
        <v>4897</v>
      </c>
      <c r="U262" s="2" t="s">
        <v>17460</v>
      </c>
      <c r="V262" s="2" t="s">
        <v>15649</v>
      </c>
      <c r="W262" s="2"/>
    </row>
    <row r="263">
      <c r="A263" s="2" t="n">
        <v>173</v>
      </c>
      <c r="B263" s="2" t="s">
        <v>11674</v>
      </c>
      <c r="C263" s="2" t="s">
        <v>17469</v>
      </c>
      <c r="D263" s="2" t="n">
        <v>389.175323942</v>
      </c>
      <c r="E263" s="2" t="n">
        <v>3.94491964368217</v>
      </c>
      <c r="F263" s="2" t="s">
        <v>17471</v>
      </c>
      <c r="G263" s="2" t="n">
        <v>30013</v>
      </c>
      <c r="H263" s="3" t="str">
        <f>HYPERLINK("http://funmeta.oebiotech.com/network/30013", "http://funmeta.oebiotech.com/network/30013")</f>
      </c>
      <c r="I263" s="2" t="s">
        <v>17473</v>
      </c>
      <c r="J263" s="2" t="s">
        <v>17474</v>
      </c>
      <c r="K263" s="2" t="s">
        <v>17475</v>
      </c>
      <c r="L263" s="2" t="s">
        <v>17476</v>
      </c>
      <c r="M263" s="2"/>
      <c r="N263" s="2" t="s">
        <v>17477</v>
      </c>
      <c r="O263" s="2" t="s">
        <v>17478</v>
      </c>
      <c r="P263" s="2" t="s">
        <v>17479</v>
      </c>
      <c r="Q263" s="2" t="s">
        <v>17480</v>
      </c>
      <c r="R263" s="2" t="s">
        <v>2509</v>
      </c>
      <c r="S263" s="2" t="s">
        <v>17481</v>
      </c>
      <c r="T263" s="2" t="s">
        <v>17482</v>
      </c>
      <c r="U263" s="2" t="s">
        <v>17470</v>
      </c>
      <c r="V263" s="2" t="s">
        <v>15611</v>
      </c>
      <c r="W263" s="2" t="s">
        <v>39</v>
      </c>
    </row>
    <row r="264">
      <c r="A264" s="2" t="n">
        <v>174</v>
      </c>
      <c r="B264" s="2" t="s">
        <v>11675</v>
      </c>
      <c r="C264" s="2" t="s">
        <v>17483</v>
      </c>
      <c r="D264" s="2" t="n">
        <v>392.28012336</v>
      </c>
      <c r="E264" s="2" t="n">
        <v>11.8832597960724</v>
      </c>
      <c r="F264" s="2" t="s">
        <v>22152</v>
      </c>
      <c r="G264" s="2" t="n">
        <v>198367</v>
      </c>
      <c r="H264" s="3" t="str">
        <f>HYPERLINK("http://funmeta.oebiotech.com/network/198367", "http://funmeta.oebiotech.com/network/198367")</f>
      </c>
      <c r="I264" s="2" t="s">
        <v>22153</v>
      </c>
      <c r="J264" s="2"/>
      <c r="K264" s="2"/>
      <c r="L264" s="2"/>
      <c r="M264" s="2"/>
      <c r="N264" s="2"/>
      <c r="O264" s="2"/>
      <c r="P264" s="2" t="s">
        <v>22154</v>
      </c>
      <c r="Q264" s="2" t="s">
        <v>22155</v>
      </c>
      <c r="R264" s="2" t="s">
        <v>1490</v>
      </c>
      <c r="S264" s="2" t="s">
        <v>1491</v>
      </c>
      <c r="T264" s="2" t="s">
        <v>3884</v>
      </c>
      <c r="U264" s="2" t="s">
        <v>17484</v>
      </c>
      <c r="V264" s="2" t="s">
        <v>15611</v>
      </c>
      <c r="W264" s="2"/>
    </row>
    <row r="265">
      <c r="A265" s="2" t="n">
        <v>174</v>
      </c>
      <c r="B265" s="2" t="s">
        <v>22156</v>
      </c>
      <c r="C265" s="2" t="s">
        <v>17483</v>
      </c>
      <c r="D265" s="2" t="n">
        <v>392.28012336</v>
      </c>
      <c r="E265" s="2" t="n">
        <v>11.8832597960724</v>
      </c>
      <c r="F265" s="2" t="s">
        <v>22157</v>
      </c>
      <c r="G265" s="2" t="n">
        <v>198370</v>
      </c>
      <c r="H265" s="3" t="str">
        <f>HYPERLINK("http://funmeta.oebiotech.com/network/198370", "http://funmeta.oebiotech.com/network/198370")</f>
      </c>
      <c r="I265" s="2" t="s">
        <v>22158</v>
      </c>
      <c r="J265" s="2"/>
      <c r="K265" s="2"/>
      <c r="L265" s="2"/>
      <c r="M265" s="2"/>
      <c r="N265" s="2"/>
      <c r="O265" s="2"/>
      <c r="P265" s="2" t="s">
        <v>22159</v>
      </c>
      <c r="Q265" s="2" t="s">
        <v>22160</v>
      </c>
      <c r="R265" s="2" t="s">
        <v>1490</v>
      </c>
      <c r="S265" s="2" t="s">
        <v>1491</v>
      </c>
      <c r="T265" s="2" t="s">
        <v>3884</v>
      </c>
      <c r="U265" s="2" t="s">
        <v>17484</v>
      </c>
      <c r="V265" s="2" t="s">
        <v>15611</v>
      </c>
      <c r="W265" s="2"/>
    </row>
    <row r="266">
      <c r="A266" s="2" t="n">
        <v>174</v>
      </c>
      <c r="B266" s="2" t="s">
        <v>22161</v>
      </c>
      <c r="C266" s="2" t="s">
        <v>17483</v>
      </c>
      <c r="D266" s="2" t="n">
        <v>392.28012336</v>
      </c>
      <c r="E266" s="2" t="n">
        <v>11.8832597960724</v>
      </c>
      <c r="F266" s="2" t="s">
        <v>22162</v>
      </c>
      <c r="G266" s="2" t="n">
        <v>198371</v>
      </c>
      <c r="H266" s="3" t="str">
        <f>HYPERLINK("http://funmeta.oebiotech.com/network/198371", "http://funmeta.oebiotech.com/network/198371")</f>
      </c>
      <c r="I266" s="2" t="s">
        <v>22163</v>
      </c>
      <c r="J266" s="2"/>
      <c r="K266" s="2"/>
      <c r="L266" s="2"/>
      <c r="M266" s="2"/>
      <c r="N266" s="2"/>
      <c r="O266" s="2"/>
      <c r="P266" s="2" t="s">
        <v>22164</v>
      </c>
      <c r="Q266" s="2" t="s">
        <v>22165</v>
      </c>
      <c r="R266" s="2" t="s">
        <v>1490</v>
      </c>
      <c r="S266" s="2" t="s">
        <v>1491</v>
      </c>
      <c r="T266" s="2" t="s">
        <v>3884</v>
      </c>
      <c r="U266" s="2" t="s">
        <v>17484</v>
      </c>
      <c r="V266" s="2" t="s">
        <v>15611</v>
      </c>
      <c r="W266" s="2"/>
    </row>
    <row r="267">
      <c r="A267" s="2" t="n">
        <v>175</v>
      </c>
      <c r="B267" s="2" t="s">
        <v>11676</v>
      </c>
      <c r="C267" s="2" t="s">
        <v>17490</v>
      </c>
      <c r="D267" s="2" t="n">
        <v>393.240167704</v>
      </c>
      <c r="E267" s="2" t="n">
        <v>1.72061050657747</v>
      </c>
      <c r="F267" s="2" t="s">
        <v>22166</v>
      </c>
      <c r="G267" s="2" t="n">
        <v>10436</v>
      </c>
      <c r="H267" s="3" t="str">
        <f>HYPERLINK("http://funmeta.oebiotech.com/network/10436", "http://funmeta.oebiotech.com/network/10436")</f>
      </c>
      <c r="I267" s="2" t="s">
        <v>22167</v>
      </c>
      <c r="J267" s="2" t="s">
        <v>22168</v>
      </c>
      <c r="K267" s="2" t="s">
        <v>22169</v>
      </c>
      <c r="L267" s="2"/>
      <c r="M267" s="2" t="s">
        <v>22170</v>
      </c>
      <c r="N267" s="2" t="s">
        <v>22171</v>
      </c>
      <c r="O267" s="2" t="s">
        <v>22172</v>
      </c>
      <c r="P267" s="2" t="s">
        <v>22173</v>
      </c>
      <c r="Q267" s="2" t="s">
        <v>22174</v>
      </c>
      <c r="R267" s="2" t="s">
        <v>1490</v>
      </c>
      <c r="S267" s="2" t="s">
        <v>1491</v>
      </c>
      <c r="T267" s="2" t="s">
        <v>3437</v>
      </c>
      <c r="U267" s="2" t="s">
        <v>17491</v>
      </c>
      <c r="V267" s="2" t="s">
        <v>15919</v>
      </c>
      <c r="W267" s="2"/>
    </row>
    <row r="268">
      <c r="A268" s="2" t="n">
        <v>175</v>
      </c>
      <c r="B268" s="2" t="s">
        <v>11682</v>
      </c>
      <c r="C268" s="2" t="s">
        <v>17490</v>
      </c>
      <c r="D268" s="2" t="n">
        <v>393.240167704</v>
      </c>
      <c r="E268" s="2" t="n">
        <v>1.72061050657747</v>
      </c>
      <c r="F268" s="2" t="s">
        <v>22175</v>
      </c>
      <c r="G268" s="2" t="n">
        <v>10449</v>
      </c>
      <c r="H268" s="3" t="str">
        <f>HYPERLINK("http://funmeta.oebiotech.com/network/10449", "http://funmeta.oebiotech.com/network/10449")</f>
      </c>
      <c r="I268" s="2" t="s">
        <v>22176</v>
      </c>
      <c r="J268" s="2" t="s">
        <v>22177</v>
      </c>
      <c r="K268" s="2" t="s">
        <v>22178</v>
      </c>
      <c r="L268" s="2"/>
      <c r="M268" s="2" t="s">
        <v>22179</v>
      </c>
      <c r="N268" s="2" t="s">
        <v>22180</v>
      </c>
      <c r="O268" s="2"/>
      <c r="P268" s="2" t="s">
        <v>22181</v>
      </c>
      <c r="Q268" s="2" t="s">
        <v>22182</v>
      </c>
      <c r="R268" s="2" t="s">
        <v>1490</v>
      </c>
      <c r="S268" s="2" t="s">
        <v>1491</v>
      </c>
      <c r="T268" s="2" t="s">
        <v>3437</v>
      </c>
      <c r="U268" s="2" t="s">
        <v>17491</v>
      </c>
      <c r="V268" s="2" t="s">
        <v>15919</v>
      </c>
      <c r="W268" s="2"/>
    </row>
    <row r="269">
      <c r="A269" s="2" t="n">
        <v>176</v>
      </c>
      <c r="B269" s="2" t="s">
        <v>11689</v>
      </c>
      <c r="C269" s="2" t="s">
        <v>17502</v>
      </c>
      <c r="D269" s="2" t="n">
        <v>395.06154946</v>
      </c>
      <c r="E269" s="2" t="n">
        <v>4.02416580727837</v>
      </c>
      <c r="F269" s="2" t="s">
        <v>17504</v>
      </c>
      <c r="G269" s="2" t="n">
        <v>202559</v>
      </c>
      <c r="H269" s="3" t="str">
        <f>HYPERLINK("http://funmeta.oebiotech.com/network/202559", "http://funmeta.oebiotech.com/network/202559")</f>
      </c>
      <c r="I269" s="2" t="s">
        <v>17506</v>
      </c>
      <c r="J269" s="2" t="s">
        <v>17507</v>
      </c>
      <c r="K269" s="2"/>
      <c r="L269" s="2" t="s">
        <v>17508</v>
      </c>
      <c r="M269" s="2" t="s">
        <v>17509</v>
      </c>
      <c r="N269" s="2" t="s">
        <v>17510</v>
      </c>
      <c r="O269" s="2" t="s">
        <v>17511</v>
      </c>
      <c r="P269" s="2" t="s">
        <v>17512</v>
      </c>
      <c r="Q269" s="2" t="s">
        <v>17513</v>
      </c>
      <c r="R269" s="2" t="s">
        <v>502</v>
      </c>
      <c r="S269" s="2" t="s">
        <v>503</v>
      </c>
      <c r="T269" s="2" t="s">
        <v>1421</v>
      </c>
      <c r="U269" s="2" t="s">
        <v>17503</v>
      </c>
      <c r="V269" s="2" t="s">
        <v>15919</v>
      </c>
      <c r="W269" s="2" t="s">
        <v>39</v>
      </c>
    </row>
    <row r="270">
      <c r="A270" s="2" t="n">
        <v>177</v>
      </c>
      <c r="B270" s="2" t="s">
        <v>11720</v>
      </c>
      <c r="C270" s="2" t="s">
        <v>17514</v>
      </c>
      <c r="D270" s="2" t="n">
        <v>396.069139196</v>
      </c>
      <c r="E270" s="2" t="n">
        <v>4.64555713127999</v>
      </c>
      <c r="F270" s="2" t="s">
        <v>17516</v>
      </c>
      <c r="G270" s="2" t="n">
        <v>257125</v>
      </c>
      <c r="H270" s="3" t="str">
        <f>HYPERLINK("http://funmeta.oebiotech.com/network/257125", "http://funmeta.oebiotech.com/network/257125")</f>
      </c>
      <c r="I270" s="2" t="s">
        <v>17518</v>
      </c>
      <c r="J270" s="2" t="s">
        <v>17519</v>
      </c>
      <c r="K270" s="2"/>
      <c r="L270" s="2" t="s">
        <v>17520</v>
      </c>
      <c r="M270" s="2" t="s">
        <v>17521</v>
      </c>
      <c r="N270" s="2" t="s">
        <v>17522</v>
      </c>
      <c r="O270" s="2"/>
      <c r="P270" s="2" t="s">
        <v>17523</v>
      </c>
      <c r="Q270" s="2" t="s">
        <v>17524</v>
      </c>
      <c r="R270" s="2" t="s">
        <v>64</v>
      </c>
      <c r="S270" s="2" t="s">
        <v>65</v>
      </c>
      <c r="T270" s="2" t="s">
        <v>66</v>
      </c>
      <c r="U270" s="2" t="s">
        <v>17515</v>
      </c>
      <c r="V270" s="2" t="s">
        <v>15919</v>
      </c>
      <c r="W270" s="2" t="s">
        <v>39</v>
      </c>
    </row>
    <row r="271">
      <c r="A271" s="2" t="n">
        <v>178</v>
      </c>
      <c r="B271" s="2" t="s">
        <v>11721</v>
      </c>
      <c r="C271" s="2" t="s">
        <v>17525</v>
      </c>
      <c r="D271" s="2" t="n">
        <v>399.177806628</v>
      </c>
      <c r="E271" s="2" t="n">
        <v>0.0325230926742993</v>
      </c>
      <c r="F271" s="2" t="s">
        <v>17527</v>
      </c>
      <c r="G271" s="2" t="n">
        <v>45062</v>
      </c>
      <c r="H271" s="3" t="str">
        <f>HYPERLINK("http://funmeta.oebiotech.com/network/45062", "http://funmeta.oebiotech.com/network/45062")</f>
      </c>
      <c r="I271" s="2" t="s">
        <v>17529</v>
      </c>
      <c r="J271" s="2" t="s">
        <v>17530</v>
      </c>
      <c r="K271" s="2" t="s">
        <v>17531</v>
      </c>
      <c r="L271" s="2"/>
      <c r="M271" s="2" t="s">
        <v>17532</v>
      </c>
      <c r="N271" s="2" t="s">
        <v>17533</v>
      </c>
      <c r="O271" s="2" t="s">
        <v>17534</v>
      </c>
      <c r="P271" s="2" t="s">
        <v>17535</v>
      </c>
      <c r="Q271" s="2" t="s">
        <v>17536</v>
      </c>
      <c r="R271" s="2" t="s">
        <v>1490</v>
      </c>
      <c r="S271" s="2" t="s">
        <v>3546</v>
      </c>
      <c r="T271" s="2" t="s">
        <v>17537</v>
      </c>
      <c r="U271" s="2" t="s">
        <v>17526</v>
      </c>
      <c r="V271" s="2" t="s">
        <v>15858</v>
      </c>
      <c r="W271" s="2"/>
    </row>
    <row r="272">
      <c r="A272" s="2" t="n">
        <v>179</v>
      </c>
      <c r="B272" s="2" t="s">
        <v>11722</v>
      </c>
      <c r="C272" s="2" t="s">
        <v>17538</v>
      </c>
      <c r="D272" s="2" t="n">
        <v>399.250616594</v>
      </c>
      <c r="E272" s="2" t="n">
        <v>1.57375559539019</v>
      </c>
      <c r="F272" s="2" t="s">
        <v>17540</v>
      </c>
      <c r="G272" s="2" t="n">
        <v>212673</v>
      </c>
      <c r="H272" s="3" t="str">
        <f>HYPERLINK("http://funmeta.oebiotech.com/network/212673", "http://funmeta.oebiotech.com/network/212673")</f>
      </c>
      <c r="I272" s="2" t="s">
        <v>17542</v>
      </c>
      <c r="J272" s="2" t="s">
        <v>17543</v>
      </c>
      <c r="K272" s="2"/>
      <c r="L272" s="2" t="s">
        <v>17544</v>
      </c>
      <c r="M272" s="2" t="s">
        <v>17545</v>
      </c>
      <c r="N272" s="2" t="s">
        <v>17546</v>
      </c>
      <c r="O272" s="2" t="s">
        <v>17547</v>
      </c>
      <c r="P272" s="2" t="s">
        <v>17548</v>
      </c>
      <c r="Q272" s="2" t="s">
        <v>17549</v>
      </c>
      <c r="R272" s="2" t="s">
        <v>49</v>
      </c>
      <c r="S272" s="2" t="s">
        <v>771</v>
      </c>
      <c r="T272" s="2" t="s">
        <v>772</v>
      </c>
      <c r="U272" s="2" t="s">
        <v>17539</v>
      </c>
      <c r="V272" s="2" t="s">
        <v>15649</v>
      </c>
      <c r="W272" s="2" t="s">
        <v>39</v>
      </c>
    </row>
    <row r="273">
      <c r="A273" s="2" t="n">
        <v>180</v>
      </c>
      <c r="B273" s="2" t="s">
        <v>11723</v>
      </c>
      <c r="C273" s="2" t="s">
        <v>17550</v>
      </c>
      <c r="D273" s="2" t="n">
        <v>402.774336406</v>
      </c>
      <c r="E273" s="2" t="n">
        <v>3.85275215126794</v>
      </c>
      <c r="F273" s="2" t="s">
        <v>17552</v>
      </c>
      <c r="G273" s="2" t="n">
        <v>81698</v>
      </c>
      <c r="H273" s="3" t="str">
        <f>HYPERLINK("http://funmeta.oebiotech.com/network/81698", "http://funmeta.oebiotech.com/network/81698")</f>
      </c>
      <c r="I273" s="2" t="s">
        <v>17554</v>
      </c>
      <c r="J273" s="2"/>
      <c r="K273" s="2"/>
      <c r="L273" s="2"/>
      <c r="M273" s="2"/>
      <c r="N273" s="2" t="s">
        <v>17555</v>
      </c>
      <c r="O273" s="2" t="s">
        <v>17556</v>
      </c>
      <c r="P273" s="2" t="s">
        <v>17557</v>
      </c>
      <c r="Q273" s="2" t="s">
        <v>17558</v>
      </c>
      <c r="R273" s="2" t="s">
        <v>355</v>
      </c>
      <c r="S273" s="2" t="s">
        <v>17559</v>
      </c>
      <c r="T273" s="2" t="s">
        <v>205</v>
      </c>
      <c r="U273" s="2" t="s">
        <v>17551</v>
      </c>
      <c r="V273" s="2" t="s">
        <v>15611</v>
      </c>
      <c r="W273" s="2"/>
    </row>
    <row r="274">
      <c r="A274" s="2" t="n">
        <v>181</v>
      </c>
      <c r="B274" s="2" t="s">
        <v>11724</v>
      </c>
      <c r="C274" s="2" t="s">
        <v>17560</v>
      </c>
      <c r="D274" s="2" t="n">
        <v>403.274978407</v>
      </c>
      <c r="E274" s="2" t="n">
        <v>7.95920246911322</v>
      </c>
      <c r="F274" s="2" t="s">
        <v>17562</v>
      </c>
      <c r="G274" s="2" t="n">
        <v>199962</v>
      </c>
      <c r="H274" s="3" t="str">
        <f>HYPERLINK("http://funmeta.oebiotech.com/network/199962", "http://funmeta.oebiotech.com/network/199962")</f>
      </c>
      <c r="I274" s="2" t="s">
        <v>17564</v>
      </c>
      <c r="J274" s="2"/>
      <c r="K274" s="2"/>
      <c r="L274" s="2"/>
      <c r="M274" s="2"/>
      <c r="N274" s="2" t="s">
        <v>17565</v>
      </c>
      <c r="O274" s="2"/>
      <c r="P274" s="2" t="s">
        <v>17566</v>
      </c>
      <c r="Q274" s="2" t="s">
        <v>17567</v>
      </c>
      <c r="R274" s="2" t="s">
        <v>502</v>
      </c>
      <c r="S274" s="2" t="s">
        <v>1467</v>
      </c>
      <c r="T274" s="2" t="s">
        <v>17568</v>
      </c>
      <c r="U274" s="2" t="s">
        <v>17561</v>
      </c>
      <c r="V274" s="2" t="s">
        <v>15611</v>
      </c>
      <c r="W274" s="2"/>
    </row>
    <row r="275">
      <c r="A275" s="2" t="n">
        <v>182</v>
      </c>
      <c r="B275" s="2" t="s">
        <v>11736</v>
      </c>
      <c r="C275" s="2" t="s">
        <v>17569</v>
      </c>
      <c r="D275" s="2" t="n">
        <v>404.28012336</v>
      </c>
      <c r="E275" s="2" t="n">
        <v>5.80401448517075</v>
      </c>
      <c r="F275" s="2" t="s">
        <v>17571</v>
      </c>
      <c r="G275" s="2" t="n">
        <v>212156</v>
      </c>
      <c r="H275" s="3" t="str">
        <f>HYPERLINK("http://funmeta.oebiotech.com/network/212156", "http://funmeta.oebiotech.com/network/212156")</f>
      </c>
      <c r="I275" s="2" t="s">
        <v>17573</v>
      </c>
      <c r="J275" s="2" t="s">
        <v>17574</v>
      </c>
      <c r="K275" s="2"/>
      <c r="L275" s="2" t="s">
        <v>17575</v>
      </c>
      <c r="M275" s="2"/>
      <c r="N275" s="2" t="s">
        <v>17576</v>
      </c>
      <c r="O275" s="2" t="s">
        <v>17577</v>
      </c>
      <c r="P275" s="2" t="s">
        <v>17578</v>
      </c>
      <c r="Q275" s="2" t="s">
        <v>17579</v>
      </c>
      <c r="R275" s="2" t="s">
        <v>1490</v>
      </c>
      <c r="S275" s="2" t="s">
        <v>4971</v>
      </c>
      <c r="T275" s="2" t="s">
        <v>6983</v>
      </c>
      <c r="U275" s="2" t="s">
        <v>17570</v>
      </c>
      <c r="V275" s="2" t="s">
        <v>15611</v>
      </c>
      <c r="W275" s="2" t="s">
        <v>39</v>
      </c>
    </row>
    <row r="276">
      <c r="A276" s="2" t="n">
        <v>183</v>
      </c>
      <c r="B276" s="2" t="s">
        <v>11737</v>
      </c>
      <c r="C276" s="2" t="s">
        <v>17580</v>
      </c>
      <c r="D276" s="2" t="n">
        <v>409.187994636</v>
      </c>
      <c r="E276" s="2" t="n">
        <v>0.789496450228517</v>
      </c>
      <c r="F276" s="2" t="s">
        <v>17582</v>
      </c>
      <c r="G276" s="2" t="n">
        <v>204427</v>
      </c>
      <c r="H276" s="3" t="str">
        <f>HYPERLINK("http://funmeta.oebiotech.com/network/204427", "http://funmeta.oebiotech.com/network/204427")</f>
      </c>
      <c r="I276" s="2" t="s">
        <v>17584</v>
      </c>
      <c r="J276" s="2"/>
      <c r="K276" s="2"/>
      <c r="L276" s="2"/>
      <c r="M276" s="2"/>
      <c r="N276" s="2"/>
      <c r="O276" s="2"/>
      <c r="P276" s="2" t="s">
        <v>17585</v>
      </c>
      <c r="Q276" s="2" t="s">
        <v>17586</v>
      </c>
      <c r="R276" s="2" t="s">
        <v>36</v>
      </c>
      <c r="S276" s="2" t="s">
        <v>37</v>
      </c>
      <c r="T276" s="2" t="s">
        <v>679</v>
      </c>
      <c r="U276" s="2" t="s">
        <v>17581</v>
      </c>
      <c r="V276" s="2" t="s">
        <v>15858</v>
      </c>
      <c r="W276" s="2"/>
    </row>
    <row r="277">
      <c r="A277" s="2" t="n">
        <v>184</v>
      </c>
      <c r="B277" s="2" t="s">
        <v>11738</v>
      </c>
      <c r="C277" s="2" t="s">
        <v>17587</v>
      </c>
      <c r="D277" s="2" t="n">
        <v>409.271313084</v>
      </c>
      <c r="E277" s="2" t="n">
        <v>0.839620960567189</v>
      </c>
      <c r="F277" s="2" t="s">
        <v>17589</v>
      </c>
      <c r="G277" s="2" t="n">
        <v>205745</v>
      </c>
      <c r="H277" s="3" t="str">
        <f>HYPERLINK("http://funmeta.oebiotech.com/network/205745", "http://funmeta.oebiotech.com/network/205745")</f>
      </c>
      <c r="I277" s="2" t="s">
        <v>17591</v>
      </c>
      <c r="J277" s="2"/>
      <c r="K277" s="2"/>
      <c r="L277" s="2"/>
      <c r="M277" s="2"/>
      <c r="N277" s="2" t="s">
        <v>17592</v>
      </c>
      <c r="O277" s="2"/>
      <c r="P277" s="2" t="s">
        <v>17593</v>
      </c>
      <c r="Q277" s="2" t="s">
        <v>17594</v>
      </c>
      <c r="R277" s="2" t="s">
        <v>355</v>
      </c>
      <c r="S277" s="2" t="s">
        <v>5537</v>
      </c>
      <c r="T277" s="2" t="s">
        <v>5538</v>
      </c>
      <c r="U277" s="2" t="s">
        <v>17588</v>
      </c>
      <c r="V277" s="2" t="s">
        <v>15858</v>
      </c>
      <c r="W277" s="2"/>
    </row>
    <row r="278">
      <c r="A278" s="2" t="n">
        <v>185</v>
      </c>
      <c r="B278" s="2" t="s">
        <v>11751</v>
      </c>
      <c r="C278" s="2" t="s">
        <v>17595</v>
      </c>
      <c r="D278" s="2" t="n">
        <v>410.100045409</v>
      </c>
      <c r="E278" s="2" t="n">
        <v>2.20632952418413</v>
      </c>
      <c r="F278" s="2" t="s">
        <v>17597</v>
      </c>
      <c r="G278" s="2" t="n">
        <v>54997</v>
      </c>
      <c r="H278" s="3" t="str">
        <f>HYPERLINK("http://funmeta.oebiotech.com/network/54997", "http://funmeta.oebiotech.com/network/54997")</f>
      </c>
      <c r="I278" s="2" t="s">
        <v>17599</v>
      </c>
      <c r="J278" s="2" t="s">
        <v>17600</v>
      </c>
      <c r="K278" s="2"/>
      <c r="L278" s="2"/>
      <c r="M278" s="2"/>
      <c r="N278" s="2" t="s">
        <v>17601</v>
      </c>
      <c r="O278" s="2" t="s">
        <v>17602</v>
      </c>
      <c r="P278" s="2" t="s">
        <v>17603</v>
      </c>
      <c r="Q278" s="2" t="s">
        <v>17604</v>
      </c>
      <c r="R278" s="2" t="s">
        <v>4189</v>
      </c>
      <c r="S278" s="2" t="s">
        <v>17605</v>
      </c>
      <c r="T278" s="2" t="s">
        <v>205</v>
      </c>
      <c r="U278" s="2" t="s">
        <v>17596</v>
      </c>
      <c r="V278" s="2" t="s">
        <v>15919</v>
      </c>
      <c r="W278" s="2"/>
    </row>
    <row r="279">
      <c r="A279" s="2" t="n">
        <v>186</v>
      </c>
      <c r="B279" s="2" t="s">
        <v>11784</v>
      </c>
      <c r="C279" s="2" t="s">
        <v>17606</v>
      </c>
      <c r="D279" s="2" t="n">
        <v>411.090287904</v>
      </c>
      <c r="E279" s="2" t="n">
        <v>1.52245408311061</v>
      </c>
      <c r="F279" s="2" t="s">
        <v>22183</v>
      </c>
      <c r="G279" s="2" t="n">
        <v>210150</v>
      </c>
      <c r="H279" s="3" t="str">
        <f>HYPERLINK("http://funmeta.oebiotech.com/network/210150", "http://funmeta.oebiotech.com/network/210150")</f>
      </c>
      <c r="I279" s="2" t="s">
        <v>22184</v>
      </c>
      <c r="J279" s="2"/>
      <c r="K279" s="2"/>
      <c r="L279" s="2"/>
      <c r="M279" s="2"/>
      <c r="N279" s="2"/>
      <c r="O279" s="2"/>
      <c r="P279" s="2" t="s">
        <v>22185</v>
      </c>
      <c r="Q279" s="2" t="s">
        <v>22186</v>
      </c>
      <c r="R279" s="2" t="s">
        <v>502</v>
      </c>
      <c r="S279" s="2" t="s">
        <v>503</v>
      </c>
      <c r="T279" s="2" t="s">
        <v>1421</v>
      </c>
      <c r="U279" s="2" t="s">
        <v>17607</v>
      </c>
      <c r="V279" s="2" t="s">
        <v>15691</v>
      </c>
      <c r="W279" s="2"/>
    </row>
    <row r="280">
      <c r="A280" s="2" t="n">
        <v>186</v>
      </c>
      <c r="B280" s="2" t="s">
        <v>22187</v>
      </c>
      <c r="C280" s="2" t="s">
        <v>17606</v>
      </c>
      <c r="D280" s="2" t="n">
        <v>411.090288035</v>
      </c>
      <c r="E280" s="2" t="n">
        <v>1.52245408311061</v>
      </c>
      <c r="F280" s="2" t="s">
        <v>22188</v>
      </c>
      <c r="G280" s="2" t="n">
        <v>53421</v>
      </c>
      <c r="H280" s="3" t="str">
        <f>HYPERLINK("http://funmeta.oebiotech.com/network/53421", "http://funmeta.oebiotech.com/network/53421")</f>
      </c>
      <c r="I280" s="2" t="s">
        <v>22189</v>
      </c>
      <c r="J280" s="2" t="s">
        <v>22190</v>
      </c>
      <c r="K280" s="2"/>
      <c r="L280" s="2"/>
      <c r="M280" s="2" t="s">
        <v>22191</v>
      </c>
      <c r="N280" s="2" t="s">
        <v>22192</v>
      </c>
      <c r="O280" s="2" t="s">
        <v>22193</v>
      </c>
      <c r="P280" s="2" t="s">
        <v>22194</v>
      </c>
      <c r="Q280" s="2" t="s">
        <v>22195</v>
      </c>
      <c r="R280" s="2" t="s">
        <v>502</v>
      </c>
      <c r="S280" s="2" t="s">
        <v>503</v>
      </c>
      <c r="T280" s="2" t="s">
        <v>1421</v>
      </c>
      <c r="U280" s="2" t="s">
        <v>17607</v>
      </c>
      <c r="V280" s="2" t="s">
        <v>15691</v>
      </c>
      <c r="W280" s="2"/>
    </row>
    <row r="281">
      <c r="A281" s="2" t="n">
        <v>187</v>
      </c>
      <c r="B281" s="2" t="s">
        <v>11785</v>
      </c>
      <c r="C281" s="2" t="s">
        <v>17618</v>
      </c>
      <c r="D281" s="2" t="n">
        <v>411.264218963</v>
      </c>
      <c r="E281" s="2" t="n">
        <v>2.38374308592824</v>
      </c>
      <c r="F281" s="2" t="s">
        <v>17620</v>
      </c>
      <c r="G281" s="2" t="n">
        <v>212512</v>
      </c>
      <c r="H281" s="3" t="str">
        <f>HYPERLINK("http://funmeta.oebiotech.com/network/212512", "http://funmeta.oebiotech.com/network/212512")</f>
      </c>
      <c r="I281" s="2" t="s">
        <v>17622</v>
      </c>
      <c r="J281" s="2" t="s">
        <v>17623</v>
      </c>
      <c r="K281" s="2"/>
      <c r="L281" s="2"/>
      <c r="M281" s="2" t="s">
        <v>17624</v>
      </c>
      <c r="N281" s="2" t="s">
        <v>17625</v>
      </c>
      <c r="O281" s="2" t="s">
        <v>17626</v>
      </c>
      <c r="P281" s="2" t="s">
        <v>17627</v>
      </c>
      <c r="Q281" s="2" t="s">
        <v>17628</v>
      </c>
      <c r="R281" s="2" t="s">
        <v>502</v>
      </c>
      <c r="S281" s="2" t="s">
        <v>13862</v>
      </c>
      <c r="T281" s="2" t="s">
        <v>205</v>
      </c>
      <c r="U281" s="2" t="s">
        <v>17619</v>
      </c>
      <c r="V281" s="2" t="s">
        <v>15649</v>
      </c>
      <c r="W281" s="2"/>
    </row>
    <row r="282">
      <c r="A282" s="2" t="n">
        <v>188</v>
      </c>
      <c r="B282" s="2" t="s">
        <v>11807</v>
      </c>
      <c r="C282" s="2" t="s">
        <v>17629</v>
      </c>
      <c r="D282" s="2" t="n">
        <v>412.069413983</v>
      </c>
      <c r="E282" s="2" t="n">
        <v>3.1060810951116</v>
      </c>
      <c r="F282" s="2" t="s">
        <v>17631</v>
      </c>
      <c r="G282" s="2" t="n">
        <v>53592</v>
      </c>
      <c r="H282" s="3" t="str">
        <f>HYPERLINK("http://funmeta.oebiotech.com/network/53592", "http://funmeta.oebiotech.com/network/53592")</f>
      </c>
      <c r="I282" s="2" t="s">
        <v>17633</v>
      </c>
      <c r="J282" s="2" t="s">
        <v>17634</v>
      </c>
      <c r="K282" s="2"/>
      <c r="L282" s="2"/>
      <c r="M282" s="2" t="s">
        <v>17635</v>
      </c>
      <c r="N282" s="2" t="s">
        <v>17636</v>
      </c>
      <c r="O282" s="2" t="s">
        <v>17637</v>
      </c>
      <c r="P282" s="2" t="s">
        <v>17638</v>
      </c>
      <c r="Q282" s="2" t="s">
        <v>17639</v>
      </c>
      <c r="R282" s="2" t="s">
        <v>355</v>
      </c>
      <c r="S282" s="2" t="s">
        <v>356</v>
      </c>
      <c r="T282" s="2" t="s">
        <v>17228</v>
      </c>
      <c r="U282" s="2" t="s">
        <v>17630</v>
      </c>
      <c r="V282" s="2" t="s">
        <v>15919</v>
      </c>
      <c r="W282" s="2"/>
    </row>
    <row r="283">
      <c r="A283" s="2" t="n">
        <v>189</v>
      </c>
      <c r="B283" s="2" t="s">
        <v>11832</v>
      </c>
      <c r="C283" s="2" t="s">
        <v>17640</v>
      </c>
      <c r="D283" s="2" t="n">
        <v>419.034195634</v>
      </c>
      <c r="E283" s="2" t="n">
        <v>2.54198814692848</v>
      </c>
      <c r="F283" s="2" t="s">
        <v>17642</v>
      </c>
      <c r="G283" s="2" t="n">
        <v>52808</v>
      </c>
      <c r="H283" s="3" t="str">
        <f>HYPERLINK("http://funmeta.oebiotech.com/network/52808", "http://funmeta.oebiotech.com/network/52808")</f>
      </c>
      <c r="I283" s="2" t="s">
        <v>17644</v>
      </c>
      <c r="J283" s="2" t="s">
        <v>17645</v>
      </c>
      <c r="K283" s="2"/>
      <c r="L283" s="2" t="s">
        <v>17646</v>
      </c>
      <c r="M283" s="2" t="s">
        <v>17647</v>
      </c>
      <c r="N283" s="2" t="s">
        <v>17648</v>
      </c>
      <c r="O283" s="2" t="s">
        <v>17649</v>
      </c>
      <c r="P283" s="2" t="s">
        <v>17650</v>
      </c>
      <c r="Q283" s="2" t="s">
        <v>17651</v>
      </c>
      <c r="R283" s="2" t="s">
        <v>355</v>
      </c>
      <c r="S283" s="2" t="s">
        <v>4796</v>
      </c>
      <c r="T283" s="2" t="s">
        <v>4797</v>
      </c>
      <c r="U283" s="2" t="s">
        <v>17641</v>
      </c>
      <c r="V283" s="2" t="s">
        <v>15858</v>
      </c>
      <c r="W283" s="2" t="s">
        <v>39</v>
      </c>
    </row>
    <row r="284">
      <c r="A284" s="2" t="n">
        <v>190</v>
      </c>
      <c r="B284" s="2" t="s">
        <v>11833</v>
      </c>
      <c r="C284" s="2" t="s">
        <v>17652</v>
      </c>
      <c r="D284" s="2" t="n">
        <v>423.214192134</v>
      </c>
      <c r="E284" s="2" t="n">
        <v>1.9290781819029</v>
      </c>
      <c r="F284" s="2" t="s">
        <v>22196</v>
      </c>
      <c r="G284" s="2" t="n">
        <v>208474</v>
      </c>
      <c r="H284" s="3" t="str">
        <f>HYPERLINK("http://funmeta.oebiotech.com/network/208474", "http://funmeta.oebiotech.com/network/208474")</f>
      </c>
      <c r="I284" s="2" t="s">
        <v>22197</v>
      </c>
      <c r="J284" s="2"/>
      <c r="K284" s="2"/>
      <c r="L284" s="2"/>
      <c r="M284" s="2"/>
      <c r="N284" s="2" t="s">
        <v>22198</v>
      </c>
      <c r="O284" s="2"/>
      <c r="P284" s="2" t="s">
        <v>22199</v>
      </c>
      <c r="Q284" s="2" t="s">
        <v>22200</v>
      </c>
      <c r="R284" s="2" t="s">
        <v>1490</v>
      </c>
      <c r="S284" s="2" t="s">
        <v>3546</v>
      </c>
      <c r="T284" s="2" t="s">
        <v>8600</v>
      </c>
      <c r="U284" s="2" t="s">
        <v>17653</v>
      </c>
      <c r="V284" s="2" t="s">
        <v>15858</v>
      </c>
      <c r="W284" s="2"/>
    </row>
    <row r="285">
      <c r="A285" s="2" t="n">
        <v>190</v>
      </c>
      <c r="B285" s="2" t="s">
        <v>11841</v>
      </c>
      <c r="C285" s="2" t="s">
        <v>17652</v>
      </c>
      <c r="D285" s="2" t="n">
        <v>423.214192134</v>
      </c>
      <c r="E285" s="2" t="n">
        <v>1.9290781819029</v>
      </c>
      <c r="F285" s="2" t="s">
        <v>22201</v>
      </c>
      <c r="G285" s="2" t="n">
        <v>59666</v>
      </c>
      <c r="H285" s="3" t="str">
        <f>HYPERLINK("http://funmeta.oebiotech.com/network/59666", "http://funmeta.oebiotech.com/network/59666")</f>
      </c>
      <c r="I285" s="2" t="s">
        <v>22202</v>
      </c>
      <c r="J285" s="2" t="s">
        <v>22203</v>
      </c>
      <c r="K285" s="2"/>
      <c r="L285" s="2"/>
      <c r="M285" s="2"/>
      <c r="N285" s="2" t="s">
        <v>22204</v>
      </c>
      <c r="O285" s="2" t="s">
        <v>22205</v>
      </c>
      <c r="P285" s="2" t="s">
        <v>22206</v>
      </c>
      <c r="Q285" s="2" t="s">
        <v>22207</v>
      </c>
      <c r="R285" s="2" t="s">
        <v>1490</v>
      </c>
      <c r="S285" s="2" t="s">
        <v>3546</v>
      </c>
      <c r="T285" s="2" t="s">
        <v>22208</v>
      </c>
      <c r="U285" s="2" t="s">
        <v>17653</v>
      </c>
      <c r="V285" s="2" t="s">
        <v>15858</v>
      </c>
      <c r="W285" s="2"/>
    </row>
    <row r="286">
      <c r="A286" s="2" t="n">
        <v>190</v>
      </c>
      <c r="B286" s="2" t="s">
        <v>22209</v>
      </c>
      <c r="C286" s="2" t="s">
        <v>17652</v>
      </c>
      <c r="D286" s="2" t="n">
        <v>423.214192134</v>
      </c>
      <c r="E286" s="2" t="n">
        <v>1.9290781819029</v>
      </c>
      <c r="F286" s="2" t="s">
        <v>22210</v>
      </c>
      <c r="G286" s="2" t="n">
        <v>54990</v>
      </c>
      <c r="H286" s="3" t="str">
        <f>HYPERLINK("http://funmeta.oebiotech.com/network/54990", "http://funmeta.oebiotech.com/network/54990")</f>
      </c>
      <c r="I286" s="2" t="s">
        <v>22211</v>
      </c>
      <c r="J286" s="2" t="s">
        <v>22212</v>
      </c>
      <c r="K286" s="2"/>
      <c r="L286" s="2"/>
      <c r="M286" s="2" t="s">
        <v>22213</v>
      </c>
      <c r="N286" s="2" t="s">
        <v>22214</v>
      </c>
      <c r="O286" s="2" t="s">
        <v>22215</v>
      </c>
      <c r="P286" s="2" t="s">
        <v>22216</v>
      </c>
      <c r="Q286" s="2" t="s">
        <v>22217</v>
      </c>
      <c r="R286" s="2" t="s">
        <v>2509</v>
      </c>
      <c r="S286" s="2" t="s">
        <v>2840</v>
      </c>
      <c r="T286" s="2" t="s">
        <v>205</v>
      </c>
      <c r="U286" s="2" t="s">
        <v>17653</v>
      </c>
      <c r="V286" s="2" t="s">
        <v>15858</v>
      </c>
      <c r="W286" s="2"/>
    </row>
    <row r="287">
      <c r="A287" s="2" t="n">
        <v>191</v>
      </c>
      <c r="B287" s="2" t="s">
        <v>11848</v>
      </c>
      <c r="C287" s="2" t="s">
        <v>17666</v>
      </c>
      <c r="D287" s="2" t="n">
        <v>429.094625668</v>
      </c>
      <c r="E287" s="2" t="n">
        <v>3.94502907900599</v>
      </c>
      <c r="F287" s="2" t="s">
        <v>17668</v>
      </c>
      <c r="G287" s="2" t="n">
        <v>35079</v>
      </c>
      <c r="H287" s="3" t="str">
        <f>HYPERLINK("http://funmeta.oebiotech.com/network/35079", "http://funmeta.oebiotech.com/network/35079")</f>
      </c>
      <c r="I287" s="2" t="s">
        <v>17670</v>
      </c>
      <c r="J287" s="2" t="s">
        <v>17671</v>
      </c>
      <c r="K287" s="2" t="s">
        <v>17672</v>
      </c>
      <c r="L287" s="2" t="s">
        <v>17673</v>
      </c>
      <c r="M287" s="2" t="s">
        <v>17674</v>
      </c>
      <c r="N287" s="2" t="s">
        <v>17675</v>
      </c>
      <c r="O287" s="2" t="s">
        <v>17676</v>
      </c>
      <c r="P287" s="2" t="s">
        <v>17677</v>
      </c>
      <c r="Q287" s="2" t="s">
        <v>17678</v>
      </c>
      <c r="R287" s="2" t="s">
        <v>2509</v>
      </c>
      <c r="S287" s="2" t="s">
        <v>4367</v>
      </c>
      <c r="T287" s="2" t="s">
        <v>14573</v>
      </c>
      <c r="U287" s="2" t="s">
        <v>17667</v>
      </c>
      <c r="V287" s="2" t="s">
        <v>15919</v>
      </c>
      <c r="W287" s="2" t="s">
        <v>39</v>
      </c>
    </row>
    <row r="288">
      <c r="A288" s="2" t="n">
        <v>192</v>
      </c>
      <c r="B288" s="2" t="s">
        <v>11849</v>
      </c>
      <c r="C288" s="2" t="s">
        <v>17679</v>
      </c>
      <c r="D288" s="2" t="n">
        <v>429.238398138</v>
      </c>
      <c r="E288" s="2" t="n">
        <v>0.249739949212888</v>
      </c>
      <c r="F288" s="2" t="s">
        <v>22218</v>
      </c>
      <c r="G288" s="2" t="n">
        <v>203957</v>
      </c>
      <c r="H288" s="3" t="str">
        <f>HYPERLINK("http://funmeta.oebiotech.com/network/203957", "http://funmeta.oebiotech.com/network/203957")</f>
      </c>
      <c r="I288" s="2" t="s">
        <v>22219</v>
      </c>
      <c r="J288" s="2"/>
      <c r="K288" s="2"/>
      <c r="L288" s="2"/>
      <c r="M288" s="2"/>
      <c r="N288" s="2" t="s">
        <v>22220</v>
      </c>
      <c r="O288" s="2"/>
      <c r="P288" s="2" t="s">
        <v>22221</v>
      </c>
      <c r="Q288" s="2" t="s">
        <v>22222</v>
      </c>
      <c r="R288" s="2" t="s">
        <v>502</v>
      </c>
      <c r="S288" s="2" t="s">
        <v>20231</v>
      </c>
      <c r="T288" s="2" t="s">
        <v>205</v>
      </c>
      <c r="U288" s="2" t="s">
        <v>17680</v>
      </c>
      <c r="V288" s="2" t="s">
        <v>15649</v>
      </c>
      <c r="W288" s="2"/>
    </row>
    <row r="289">
      <c r="A289" s="2" t="n">
        <v>192</v>
      </c>
      <c r="B289" s="2" t="s">
        <v>22223</v>
      </c>
      <c r="C289" s="2" t="s">
        <v>17679</v>
      </c>
      <c r="D289" s="2" t="n">
        <v>429.238398138</v>
      </c>
      <c r="E289" s="2" t="n">
        <v>0.249739949212888</v>
      </c>
      <c r="F289" s="2" t="s">
        <v>22224</v>
      </c>
      <c r="G289" s="2" t="n">
        <v>206674</v>
      </c>
      <c r="H289" s="3" t="str">
        <f>HYPERLINK("http://funmeta.oebiotech.com/network/206674", "http://funmeta.oebiotech.com/network/206674")</f>
      </c>
      <c r="I289" s="2" t="s">
        <v>22225</v>
      </c>
      <c r="J289" s="2"/>
      <c r="K289" s="2"/>
      <c r="L289" s="2"/>
      <c r="M289" s="2"/>
      <c r="N289" s="2" t="s">
        <v>22226</v>
      </c>
      <c r="O289" s="2"/>
      <c r="P289" s="2" t="s">
        <v>22227</v>
      </c>
      <c r="Q289" s="2" t="s">
        <v>22228</v>
      </c>
      <c r="R289" s="2" t="s">
        <v>355</v>
      </c>
      <c r="S289" s="2" t="s">
        <v>5806</v>
      </c>
      <c r="T289" s="2" t="s">
        <v>5807</v>
      </c>
      <c r="U289" s="2" t="s">
        <v>17680</v>
      </c>
      <c r="V289" s="2" t="s">
        <v>15649</v>
      </c>
      <c r="W289" s="2"/>
    </row>
    <row r="290">
      <c r="A290" s="2" t="n">
        <v>193</v>
      </c>
      <c r="B290" s="2" t="s">
        <v>11850</v>
      </c>
      <c r="C290" s="2" t="s">
        <v>17689</v>
      </c>
      <c r="D290" s="2" t="n">
        <v>431.351971338</v>
      </c>
      <c r="E290" s="2" t="n">
        <v>6.52593528076369</v>
      </c>
      <c r="F290" s="2" t="s">
        <v>22229</v>
      </c>
      <c r="G290" s="2" t="n">
        <v>51879</v>
      </c>
      <c r="H290" s="3" t="str">
        <f>HYPERLINK("http://funmeta.oebiotech.com/network/51879", "http://funmeta.oebiotech.com/network/51879")</f>
      </c>
      <c r="I290" s="2" t="s">
        <v>22230</v>
      </c>
      <c r="J290" s="2"/>
      <c r="K290" s="2"/>
      <c r="L290" s="2"/>
      <c r="M290" s="2"/>
      <c r="N290" s="2" t="s">
        <v>22231</v>
      </c>
      <c r="O290" s="2"/>
      <c r="P290" s="2" t="s">
        <v>22232</v>
      </c>
      <c r="Q290" s="2" t="s">
        <v>22233</v>
      </c>
      <c r="R290" s="2" t="s">
        <v>1490</v>
      </c>
      <c r="S290" s="2" t="s">
        <v>3546</v>
      </c>
      <c r="T290" s="2" t="s">
        <v>20888</v>
      </c>
      <c r="U290" s="2" t="s">
        <v>17690</v>
      </c>
      <c r="V290" s="2" t="s">
        <v>15649</v>
      </c>
      <c r="W290" s="2"/>
    </row>
    <row r="291">
      <c r="A291" s="2" t="n">
        <v>193</v>
      </c>
      <c r="B291" s="2" t="s">
        <v>22234</v>
      </c>
      <c r="C291" s="2" t="s">
        <v>17689</v>
      </c>
      <c r="D291" s="2" t="n">
        <v>431.351971341</v>
      </c>
      <c r="E291" s="2" t="n">
        <v>6.52593528076369</v>
      </c>
      <c r="F291" s="2" t="s">
        <v>22235</v>
      </c>
      <c r="G291" s="2" t="n">
        <v>43560</v>
      </c>
      <c r="H291" s="3" t="str">
        <f>HYPERLINK("http://funmeta.oebiotech.com/network/43560", "http://funmeta.oebiotech.com/network/43560")</f>
      </c>
      <c r="I291" s="2" t="s">
        <v>22236</v>
      </c>
      <c r="J291" s="2" t="s">
        <v>22237</v>
      </c>
      <c r="K291" s="2" t="s">
        <v>22238</v>
      </c>
      <c r="L291" s="2"/>
      <c r="M291" s="2" t="s">
        <v>22239</v>
      </c>
      <c r="N291" s="2" t="s">
        <v>22240</v>
      </c>
      <c r="O291" s="2"/>
      <c r="P291" s="2" t="s">
        <v>22241</v>
      </c>
      <c r="Q291" s="2" t="s">
        <v>22242</v>
      </c>
      <c r="R291" s="2" t="s">
        <v>1490</v>
      </c>
      <c r="S291" s="2" t="s">
        <v>3546</v>
      </c>
      <c r="T291" s="2" t="s">
        <v>20888</v>
      </c>
      <c r="U291" s="2" t="s">
        <v>17690</v>
      </c>
      <c r="V291" s="2" t="s">
        <v>15649</v>
      </c>
      <c r="W291" s="2"/>
    </row>
    <row r="292">
      <c r="A292" s="2" t="n">
        <v>194</v>
      </c>
      <c r="B292" s="2" t="s">
        <v>11851</v>
      </c>
      <c r="C292" s="2" t="s">
        <v>17701</v>
      </c>
      <c r="D292" s="2" t="n">
        <v>437.101697445</v>
      </c>
      <c r="E292" s="2" t="n">
        <v>4.53450463820305</v>
      </c>
      <c r="F292" s="2" t="s">
        <v>17703</v>
      </c>
      <c r="G292" s="2" t="n">
        <v>257591</v>
      </c>
      <c r="H292" s="3" t="str">
        <f>HYPERLINK("http://funmeta.oebiotech.com/network/257591", "http://funmeta.oebiotech.com/network/257591")</f>
      </c>
      <c r="I292" s="2" t="s">
        <v>17705</v>
      </c>
      <c r="J292" s="2"/>
      <c r="K292" s="2"/>
      <c r="L292" s="2"/>
      <c r="M292" s="2"/>
      <c r="N292" s="2"/>
      <c r="O292" s="2"/>
      <c r="P292" s="2" t="s">
        <v>17706</v>
      </c>
      <c r="Q292" s="2" t="s">
        <v>17707</v>
      </c>
      <c r="R292" s="2" t="s">
        <v>64</v>
      </c>
      <c r="S292" s="2" t="s">
        <v>65</v>
      </c>
      <c r="T292" s="2" t="s">
        <v>1214</v>
      </c>
      <c r="U292" s="2" t="s">
        <v>17702</v>
      </c>
      <c r="V292" s="2" t="s">
        <v>15611</v>
      </c>
      <c r="W292" s="2"/>
    </row>
    <row r="293">
      <c r="A293" s="2" t="n">
        <v>195</v>
      </c>
      <c r="B293" s="2" t="s">
        <v>11852</v>
      </c>
      <c r="C293" s="2" t="s">
        <v>17708</v>
      </c>
      <c r="D293" s="2" t="n">
        <v>437.30261321</v>
      </c>
      <c r="E293" s="2" t="n">
        <v>5.52450401945229</v>
      </c>
      <c r="F293" s="2" t="s">
        <v>22243</v>
      </c>
      <c r="G293" s="2" t="n">
        <v>60598</v>
      </c>
      <c r="H293" s="3" t="str">
        <f>HYPERLINK("http://funmeta.oebiotech.com/network/60598", "http://funmeta.oebiotech.com/network/60598")</f>
      </c>
      <c r="I293" s="2" t="s">
        <v>22244</v>
      </c>
      <c r="J293" s="2" t="s">
        <v>22245</v>
      </c>
      <c r="K293" s="2"/>
      <c r="L293" s="2"/>
      <c r="M293" s="2"/>
      <c r="N293" s="2" t="s">
        <v>22246</v>
      </c>
      <c r="O293" s="2" t="s">
        <v>22247</v>
      </c>
      <c r="P293" s="2" t="s">
        <v>22248</v>
      </c>
      <c r="Q293" s="2" t="s">
        <v>22249</v>
      </c>
      <c r="R293" s="2" t="s">
        <v>1490</v>
      </c>
      <c r="S293" s="2" t="s">
        <v>4971</v>
      </c>
      <c r="T293" s="2" t="s">
        <v>7445</v>
      </c>
      <c r="U293" s="2" t="s">
        <v>17709</v>
      </c>
      <c r="V293" s="2" t="s">
        <v>15858</v>
      </c>
      <c r="W293" s="2"/>
    </row>
    <row r="294">
      <c r="A294" s="2" t="n">
        <v>195</v>
      </c>
      <c r="B294" s="2" t="s">
        <v>11858</v>
      </c>
      <c r="C294" s="2" t="s">
        <v>17708</v>
      </c>
      <c r="D294" s="2" t="n">
        <v>437.30261321</v>
      </c>
      <c r="E294" s="2" t="n">
        <v>5.52450401945229</v>
      </c>
      <c r="F294" s="2" t="s">
        <v>22250</v>
      </c>
      <c r="G294" s="2" t="n">
        <v>64662</v>
      </c>
      <c r="H294" s="3" t="str">
        <f>HYPERLINK("http://funmeta.oebiotech.com/network/64662", "http://funmeta.oebiotech.com/network/64662")</f>
      </c>
      <c r="I294" s="2" t="s">
        <v>22251</v>
      </c>
      <c r="J294" s="2"/>
      <c r="K294" s="2"/>
      <c r="L294" s="2"/>
      <c r="M294" s="2"/>
      <c r="N294" s="2" t="s">
        <v>22252</v>
      </c>
      <c r="O294" s="2" t="s">
        <v>22253</v>
      </c>
      <c r="P294" s="2" t="s">
        <v>22254</v>
      </c>
      <c r="Q294" s="2" t="s">
        <v>22255</v>
      </c>
      <c r="R294" s="2" t="s">
        <v>1490</v>
      </c>
      <c r="S294" s="2" t="s">
        <v>3546</v>
      </c>
      <c r="T294" s="2" t="s">
        <v>17537</v>
      </c>
      <c r="U294" s="2" t="s">
        <v>17709</v>
      </c>
      <c r="V294" s="2" t="s">
        <v>15858</v>
      </c>
      <c r="W294" s="2"/>
    </row>
    <row r="295">
      <c r="A295" s="2" t="n">
        <v>195</v>
      </c>
      <c r="B295" s="2" t="s">
        <v>22256</v>
      </c>
      <c r="C295" s="2" t="s">
        <v>17708</v>
      </c>
      <c r="D295" s="2" t="n">
        <v>437.302613212</v>
      </c>
      <c r="E295" s="2" t="n">
        <v>5.52450401945229</v>
      </c>
      <c r="F295" s="2" t="s">
        <v>22257</v>
      </c>
      <c r="G295" s="2" t="n">
        <v>198704</v>
      </c>
      <c r="H295" s="3" t="str">
        <f>HYPERLINK("http://funmeta.oebiotech.com/network/198704", "http://funmeta.oebiotech.com/network/198704")</f>
      </c>
      <c r="I295" s="2" t="s">
        <v>22258</v>
      </c>
      <c r="J295" s="2"/>
      <c r="K295" s="2"/>
      <c r="L295" s="2"/>
      <c r="M295" s="2"/>
      <c r="N295" s="2" t="s">
        <v>22259</v>
      </c>
      <c r="O295" s="2"/>
      <c r="P295" s="2" t="s">
        <v>22260</v>
      </c>
      <c r="Q295" s="2" t="s">
        <v>22261</v>
      </c>
      <c r="R295" s="2" t="s">
        <v>1490</v>
      </c>
      <c r="S295" s="2" t="s">
        <v>4971</v>
      </c>
      <c r="T295" s="2" t="s">
        <v>6636</v>
      </c>
      <c r="U295" s="2" t="s">
        <v>17709</v>
      </c>
      <c r="V295" s="2" t="s">
        <v>15858</v>
      </c>
      <c r="W295" s="2"/>
    </row>
    <row r="296">
      <c r="A296" s="2" t="n">
        <v>196</v>
      </c>
      <c r="B296" s="2" t="s">
        <v>11864</v>
      </c>
      <c r="C296" s="2" t="s">
        <v>17719</v>
      </c>
      <c r="D296" s="2" t="n">
        <v>441.1939465</v>
      </c>
      <c r="E296" s="2" t="n">
        <v>0.0974438695903363</v>
      </c>
      <c r="F296" s="2" t="s">
        <v>17721</v>
      </c>
      <c r="G296" s="2" t="n">
        <v>210380</v>
      </c>
      <c r="H296" s="3" t="str">
        <f>HYPERLINK("http://funmeta.oebiotech.com/network/210380", "http://funmeta.oebiotech.com/network/210380")</f>
      </c>
      <c r="I296" s="2" t="s">
        <v>17723</v>
      </c>
      <c r="J296" s="2"/>
      <c r="K296" s="2"/>
      <c r="L296" s="2"/>
      <c r="M296" s="2"/>
      <c r="N296" s="2"/>
      <c r="O296" s="2"/>
      <c r="P296" s="2" t="s">
        <v>17724</v>
      </c>
      <c r="Q296" s="2" t="s">
        <v>17725</v>
      </c>
      <c r="R296" s="2" t="s">
        <v>2509</v>
      </c>
      <c r="S296" s="2" t="s">
        <v>2840</v>
      </c>
      <c r="T296" s="2" t="s">
        <v>205</v>
      </c>
      <c r="U296" s="2" t="s">
        <v>17720</v>
      </c>
      <c r="V296" s="2" t="s">
        <v>15649</v>
      </c>
      <c r="W296" s="2"/>
    </row>
    <row r="297">
      <c r="A297" s="2" t="n">
        <v>197</v>
      </c>
      <c r="B297" s="2" t="s">
        <v>11887</v>
      </c>
      <c r="C297" s="2" t="s">
        <v>17726</v>
      </c>
      <c r="D297" s="2" t="n">
        <v>447.201343936</v>
      </c>
      <c r="E297" s="2" t="n">
        <v>2.3366819475154</v>
      </c>
      <c r="F297" s="2" t="s">
        <v>17728</v>
      </c>
      <c r="G297" s="2" t="n">
        <v>46630</v>
      </c>
      <c r="H297" s="3" t="str">
        <f>HYPERLINK("http://funmeta.oebiotech.com/network/46630", "http://funmeta.oebiotech.com/network/46630")</f>
      </c>
      <c r="I297" s="2" t="s">
        <v>17730</v>
      </c>
      <c r="J297" s="2" t="s">
        <v>17731</v>
      </c>
      <c r="K297" s="2" t="s">
        <v>17732</v>
      </c>
      <c r="L297" s="2" t="s">
        <v>17733</v>
      </c>
      <c r="M297" s="2" t="s">
        <v>17734</v>
      </c>
      <c r="N297" s="2" t="s">
        <v>17735</v>
      </c>
      <c r="O297" s="2" t="s">
        <v>17736</v>
      </c>
      <c r="P297" s="2" t="s">
        <v>17737</v>
      </c>
      <c r="Q297" s="2" t="s">
        <v>17738</v>
      </c>
      <c r="R297" s="2" t="s">
        <v>1490</v>
      </c>
      <c r="S297" s="2" t="s">
        <v>3546</v>
      </c>
      <c r="T297" s="2" t="s">
        <v>7355</v>
      </c>
      <c r="U297" s="2" t="s">
        <v>17727</v>
      </c>
      <c r="V297" s="2" t="s">
        <v>15649</v>
      </c>
      <c r="W297" s="2" t="s">
        <v>39</v>
      </c>
    </row>
    <row r="298">
      <c r="A298" s="2" t="n">
        <v>198</v>
      </c>
      <c r="B298" s="2" t="s">
        <v>11888</v>
      </c>
      <c r="C298" s="2" t="s">
        <v>17739</v>
      </c>
      <c r="D298" s="2" t="n">
        <v>448.229390808</v>
      </c>
      <c r="E298" s="2" t="n">
        <v>3.06818389153185</v>
      </c>
      <c r="F298" s="2" t="s">
        <v>17741</v>
      </c>
      <c r="G298" s="2" t="n">
        <v>211018</v>
      </c>
      <c r="H298" s="3" t="str">
        <f>HYPERLINK("http://funmeta.oebiotech.com/network/211018", "http://funmeta.oebiotech.com/network/211018")</f>
      </c>
      <c r="I298" s="2" t="s">
        <v>17743</v>
      </c>
      <c r="J298" s="2"/>
      <c r="K298" s="2"/>
      <c r="L298" s="2"/>
      <c r="M298" s="2"/>
      <c r="N298" s="2" t="s">
        <v>17744</v>
      </c>
      <c r="O298" s="2"/>
      <c r="P298" s="2" t="s">
        <v>17745</v>
      </c>
      <c r="Q298" s="2" t="s">
        <v>17746</v>
      </c>
      <c r="R298" s="2" t="s">
        <v>2509</v>
      </c>
      <c r="S298" s="2" t="s">
        <v>6094</v>
      </c>
      <c r="T298" s="2" t="s">
        <v>205</v>
      </c>
      <c r="U298" s="2" t="s">
        <v>17740</v>
      </c>
      <c r="V298" s="2" t="s">
        <v>15649</v>
      </c>
      <c r="W298" s="2"/>
    </row>
    <row r="299">
      <c r="A299" s="2" t="n">
        <v>199</v>
      </c>
      <c r="B299" s="2" t="s">
        <v>11889</v>
      </c>
      <c r="C299" s="2" t="s">
        <v>17747</v>
      </c>
      <c r="D299" s="2" t="n">
        <v>456.209750566</v>
      </c>
      <c r="E299" s="2" t="n">
        <v>0.101821709064836</v>
      </c>
      <c r="F299" s="2" t="s">
        <v>17749</v>
      </c>
      <c r="G299" s="2" t="n">
        <v>19824</v>
      </c>
      <c r="H299" s="3" t="str">
        <f>HYPERLINK("http://funmeta.oebiotech.com/network/19824", "http://funmeta.oebiotech.com/network/19824")</f>
      </c>
      <c r="I299" s="2" t="s">
        <v>17751</v>
      </c>
      <c r="J299" s="2" t="s">
        <v>17752</v>
      </c>
      <c r="K299" s="2" t="s">
        <v>17753</v>
      </c>
      <c r="L299" s="2"/>
      <c r="M299" s="2" t="s">
        <v>17754</v>
      </c>
      <c r="N299" s="2" t="s">
        <v>17755</v>
      </c>
      <c r="O299" s="2" t="s">
        <v>17756</v>
      </c>
      <c r="P299" s="2" t="s">
        <v>17757</v>
      </c>
      <c r="Q299" s="2" t="s">
        <v>17758</v>
      </c>
      <c r="R299" s="2" t="s">
        <v>1490</v>
      </c>
      <c r="S299" s="2" t="s">
        <v>4236</v>
      </c>
      <c r="T299" s="2" t="s">
        <v>8613</v>
      </c>
      <c r="U299" s="2" t="s">
        <v>17748</v>
      </c>
      <c r="V299" s="2" t="s">
        <v>15691</v>
      </c>
      <c r="W299" s="2"/>
    </row>
    <row r="300">
      <c r="A300" s="2" t="n">
        <v>200</v>
      </c>
      <c r="B300" s="2" t="s">
        <v>11890</v>
      </c>
      <c r="C300" s="2" t="s">
        <v>17759</v>
      </c>
      <c r="D300" s="2" t="n">
        <v>457.269698267</v>
      </c>
      <c r="E300" s="2" t="n">
        <v>2.05132463216288</v>
      </c>
      <c r="F300" s="2" t="s">
        <v>17761</v>
      </c>
      <c r="G300" s="2" t="n">
        <v>213201</v>
      </c>
      <c r="H300" s="3" t="str">
        <f>HYPERLINK("http://funmeta.oebiotech.com/network/213201", "http://funmeta.oebiotech.com/network/213201")</f>
      </c>
      <c r="I300" s="2" t="s">
        <v>17763</v>
      </c>
      <c r="J300" s="2" t="s">
        <v>17764</v>
      </c>
      <c r="K300" s="2"/>
      <c r="L300" s="2"/>
      <c r="M300" s="2"/>
      <c r="N300" s="2" t="s">
        <v>17765</v>
      </c>
      <c r="O300" s="2"/>
      <c r="P300" s="2" t="s">
        <v>17766</v>
      </c>
      <c r="Q300" s="2" t="s">
        <v>17767</v>
      </c>
      <c r="R300" s="2" t="s">
        <v>355</v>
      </c>
      <c r="S300" s="2" t="s">
        <v>3333</v>
      </c>
      <c r="T300" s="2" t="s">
        <v>205</v>
      </c>
      <c r="U300" s="2" t="s">
        <v>17760</v>
      </c>
      <c r="V300" s="2" t="s">
        <v>15649</v>
      </c>
      <c r="W300" s="2"/>
    </row>
    <row r="301">
      <c r="A301" s="2" t="n">
        <v>201</v>
      </c>
      <c r="B301" s="2" t="s">
        <v>11891</v>
      </c>
      <c r="C301" s="2" t="s">
        <v>17768</v>
      </c>
      <c r="D301" s="2" t="n">
        <v>459.248208178</v>
      </c>
      <c r="E301" s="2" t="n">
        <v>2.76813373403104</v>
      </c>
      <c r="F301" s="2" t="s">
        <v>17770</v>
      </c>
      <c r="G301" s="2" t="n">
        <v>51169</v>
      </c>
      <c r="H301" s="3" t="str">
        <f>HYPERLINK("http://funmeta.oebiotech.com/network/51169", "http://funmeta.oebiotech.com/network/51169")</f>
      </c>
      <c r="I301" s="2" t="s">
        <v>17772</v>
      </c>
      <c r="J301" s="2" t="s">
        <v>17773</v>
      </c>
      <c r="K301" s="2"/>
      <c r="L301" s="2" t="s">
        <v>17774</v>
      </c>
      <c r="M301" s="2" t="s">
        <v>17775</v>
      </c>
      <c r="N301" s="2" t="s">
        <v>17776</v>
      </c>
      <c r="O301" s="2"/>
      <c r="P301" s="2" t="s">
        <v>17777</v>
      </c>
      <c r="Q301" s="2" t="s">
        <v>17778</v>
      </c>
      <c r="R301" s="2" t="s">
        <v>64</v>
      </c>
      <c r="S301" s="2" t="s">
        <v>65</v>
      </c>
      <c r="T301" s="2" t="s">
        <v>91</v>
      </c>
      <c r="U301" s="2" t="s">
        <v>17769</v>
      </c>
      <c r="V301" s="2" t="s">
        <v>15858</v>
      </c>
      <c r="W301" s="2" t="s">
        <v>39</v>
      </c>
    </row>
    <row r="302">
      <c r="A302" s="2" t="n">
        <v>202</v>
      </c>
      <c r="B302" s="2" t="s">
        <v>11892</v>
      </c>
      <c r="C302" s="2" t="s">
        <v>17779</v>
      </c>
      <c r="D302" s="2" t="n">
        <v>459.988150515</v>
      </c>
      <c r="E302" s="2" t="n">
        <v>0.11350766128682</v>
      </c>
      <c r="F302" s="2" t="s">
        <v>17781</v>
      </c>
      <c r="G302" s="2" t="n">
        <v>53264</v>
      </c>
      <c r="H302" s="3" t="str">
        <f>HYPERLINK("http://funmeta.oebiotech.com/network/53264", "http://funmeta.oebiotech.com/network/53264")</f>
      </c>
      <c r="I302" s="2" t="s">
        <v>17783</v>
      </c>
      <c r="J302" s="2" t="s">
        <v>17784</v>
      </c>
      <c r="K302" s="2"/>
      <c r="L302" s="2" t="s">
        <v>17785</v>
      </c>
      <c r="M302" s="2" t="s">
        <v>17786</v>
      </c>
      <c r="N302" s="2" t="s">
        <v>17787</v>
      </c>
      <c r="O302" s="2" t="s">
        <v>17788</v>
      </c>
      <c r="P302" s="2" t="s">
        <v>17789</v>
      </c>
      <c r="Q302" s="2" t="s">
        <v>17790</v>
      </c>
      <c r="R302" s="2" t="s">
        <v>355</v>
      </c>
      <c r="S302" s="2" t="s">
        <v>1316</v>
      </c>
      <c r="T302" s="2" t="s">
        <v>4897</v>
      </c>
      <c r="U302" s="2" t="s">
        <v>17780</v>
      </c>
      <c r="V302" s="2" t="s">
        <v>15722</v>
      </c>
      <c r="W302" s="2" t="s">
        <v>39</v>
      </c>
    </row>
    <row r="303">
      <c r="A303" s="2" t="n">
        <v>203</v>
      </c>
      <c r="B303" s="2" t="s">
        <v>11893</v>
      </c>
      <c r="C303" s="2" t="s">
        <v>17791</v>
      </c>
      <c r="D303" s="2" t="n">
        <v>465.33406809</v>
      </c>
      <c r="E303" s="2" t="n">
        <v>0.190508141036641</v>
      </c>
      <c r="F303" s="2" t="s">
        <v>17793</v>
      </c>
      <c r="G303" s="2" t="n">
        <v>205767</v>
      </c>
      <c r="H303" s="3" t="str">
        <f>HYPERLINK("http://funmeta.oebiotech.com/network/205767", "http://funmeta.oebiotech.com/network/205767")</f>
      </c>
      <c r="I303" s="2" t="s">
        <v>17795</v>
      </c>
      <c r="J303" s="2"/>
      <c r="K303" s="2"/>
      <c r="L303" s="2"/>
      <c r="M303" s="2"/>
      <c r="N303" s="2" t="s">
        <v>17796</v>
      </c>
      <c r="O303" s="2"/>
      <c r="P303" s="2" t="s">
        <v>17797</v>
      </c>
      <c r="Q303" s="2" t="s">
        <v>17798</v>
      </c>
      <c r="R303" s="2" t="s">
        <v>1490</v>
      </c>
      <c r="S303" s="2" t="s">
        <v>1491</v>
      </c>
      <c r="T303" s="2" t="s">
        <v>12091</v>
      </c>
      <c r="U303" s="2" t="s">
        <v>17792</v>
      </c>
      <c r="V303" s="2" t="s">
        <v>15919</v>
      </c>
      <c r="W303" s="2"/>
    </row>
    <row r="304">
      <c r="A304" s="2" t="n">
        <v>204</v>
      </c>
      <c r="B304" s="2" t="s">
        <v>11894</v>
      </c>
      <c r="C304" s="2" t="s">
        <v>17799</v>
      </c>
      <c r="D304" s="2" t="n">
        <v>467.25088662</v>
      </c>
      <c r="E304" s="2" t="n">
        <v>4.60677756459486</v>
      </c>
      <c r="F304" s="2" t="s">
        <v>17801</v>
      </c>
      <c r="G304" s="2" t="n">
        <v>51171</v>
      </c>
      <c r="H304" s="3" t="str">
        <f>HYPERLINK("http://funmeta.oebiotech.com/network/51171", "http://funmeta.oebiotech.com/network/51171")</f>
      </c>
      <c r="I304" s="2" t="s">
        <v>17803</v>
      </c>
      <c r="J304" s="2"/>
      <c r="K304" s="2"/>
      <c r="L304" s="2"/>
      <c r="M304" s="2" t="s">
        <v>17804</v>
      </c>
      <c r="N304" s="2" t="s">
        <v>17805</v>
      </c>
      <c r="O304" s="2"/>
      <c r="P304" s="2" t="s">
        <v>17806</v>
      </c>
      <c r="Q304" s="2" t="s">
        <v>17807</v>
      </c>
      <c r="R304" s="2" t="s">
        <v>64</v>
      </c>
      <c r="S304" s="2" t="s">
        <v>65</v>
      </c>
      <c r="T304" s="2" t="s">
        <v>91</v>
      </c>
      <c r="U304" s="2" t="s">
        <v>17800</v>
      </c>
      <c r="V304" s="2" t="s">
        <v>15691</v>
      </c>
      <c r="W304" s="2"/>
    </row>
    <row r="305">
      <c r="A305" s="2" t="n">
        <v>205</v>
      </c>
      <c r="B305" s="2" t="s">
        <v>11916</v>
      </c>
      <c r="C305" s="2" t="s">
        <v>17808</v>
      </c>
      <c r="D305" s="2" t="n">
        <v>470.12572873</v>
      </c>
      <c r="E305" s="2" t="n">
        <v>6.57704000580408</v>
      </c>
      <c r="F305" s="2" t="s">
        <v>17810</v>
      </c>
      <c r="G305" s="2" t="n">
        <v>203476</v>
      </c>
      <c r="H305" s="3" t="str">
        <f>HYPERLINK("http://funmeta.oebiotech.com/network/203476", "http://funmeta.oebiotech.com/network/203476")</f>
      </c>
      <c r="I305" s="2" t="s">
        <v>17812</v>
      </c>
      <c r="J305" s="2"/>
      <c r="K305" s="2"/>
      <c r="L305" s="2"/>
      <c r="M305" s="2"/>
      <c r="N305" s="2" t="s">
        <v>17813</v>
      </c>
      <c r="O305" s="2"/>
      <c r="P305" s="2" t="s">
        <v>17814</v>
      </c>
      <c r="Q305" s="2" t="s">
        <v>17815</v>
      </c>
      <c r="R305" s="2" t="s">
        <v>355</v>
      </c>
      <c r="S305" s="2" t="s">
        <v>5131</v>
      </c>
      <c r="T305" s="2" t="s">
        <v>5132</v>
      </c>
      <c r="U305" s="2" t="s">
        <v>17809</v>
      </c>
      <c r="V305" s="2" t="s">
        <v>15858</v>
      </c>
      <c r="W305" s="2"/>
    </row>
    <row r="306">
      <c r="A306" s="2" t="n">
        <v>206</v>
      </c>
      <c r="B306" s="2" t="s">
        <v>11928</v>
      </c>
      <c r="C306" s="2" t="s">
        <v>17816</v>
      </c>
      <c r="D306" s="2" t="n">
        <v>470.303102311</v>
      </c>
      <c r="E306" s="2" t="n">
        <v>2.73603553715674</v>
      </c>
      <c r="F306" s="2" t="s">
        <v>22262</v>
      </c>
      <c r="G306" s="2" t="n">
        <v>62183</v>
      </c>
      <c r="H306" s="3" t="str">
        <f>HYPERLINK("http://funmeta.oebiotech.com/network/62183", "http://funmeta.oebiotech.com/network/62183")</f>
      </c>
      <c r="I306" s="2" t="s">
        <v>22263</v>
      </c>
      <c r="J306" s="2" t="s">
        <v>22264</v>
      </c>
      <c r="K306" s="2"/>
      <c r="L306" s="2"/>
      <c r="M306" s="2"/>
      <c r="N306" s="2" t="s">
        <v>22265</v>
      </c>
      <c r="O306" s="2" t="s">
        <v>22266</v>
      </c>
      <c r="P306" s="2" t="s">
        <v>22267</v>
      </c>
      <c r="Q306" s="2" t="s">
        <v>22268</v>
      </c>
      <c r="R306" s="2" t="s">
        <v>1490</v>
      </c>
      <c r="S306" s="2" t="s">
        <v>3546</v>
      </c>
      <c r="T306" s="2" t="s">
        <v>22269</v>
      </c>
      <c r="U306" s="2" t="s">
        <v>17817</v>
      </c>
      <c r="V306" s="2" t="s">
        <v>15919</v>
      </c>
      <c r="W306" s="2"/>
    </row>
    <row r="307">
      <c r="A307" s="2" t="n">
        <v>206</v>
      </c>
      <c r="B307" s="2" t="s">
        <v>22270</v>
      </c>
      <c r="C307" s="2" t="s">
        <v>17816</v>
      </c>
      <c r="D307" s="2" t="n">
        <v>470.303102313</v>
      </c>
      <c r="E307" s="2" t="n">
        <v>2.73603553715674</v>
      </c>
      <c r="F307" s="2" t="s">
        <v>22271</v>
      </c>
      <c r="G307" s="2" t="n">
        <v>210082</v>
      </c>
      <c r="H307" s="3" t="str">
        <f>HYPERLINK("http://funmeta.oebiotech.com/network/210082", "http://funmeta.oebiotech.com/network/210082")</f>
      </c>
      <c r="I307" s="2" t="s">
        <v>22272</v>
      </c>
      <c r="J307" s="2"/>
      <c r="K307" s="2"/>
      <c r="L307" s="2"/>
      <c r="M307" s="2"/>
      <c r="N307" s="2" t="s">
        <v>22273</v>
      </c>
      <c r="O307" s="2"/>
      <c r="P307" s="2" t="s">
        <v>22274</v>
      </c>
      <c r="Q307" s="2" t="s">
        <v>22275</v>
      </c>
      <c r="R307" s="2" t="s">
        <v>1490</v>
      </c>
      <c r="S307" s="2" t="s">
        <v>3546</v>
      </c>
      <c r="T307" s="2" t="s">
        <v>22269</v>
      </c>
      <c r="U307" s="2" t="s">
        <v>17817</v>
      </c>
      <c r="V307" s="2" t="s">
        <v>15919</v>
      </c>
      <c r="W307" s="2"/>
    </row>
    <row r="308">
      <c r="A308" s="2" t="n">
        <v>206</v>
      </c>
      <c r="B308" s="2" t="s">
        <v>22276</v>
      </c>
      <c r="C308" s="2" t="s">
        <v>17816</v>
      </c>
      <c r="D308" s="2" t="n">
        <v>470.303102313</v>
      </c>
      <c r="E308" s="2" t="n">
        <v>2.73603553715674</v>
      </c>
      <c r="F308" s="2" t="s">
        <v>22277</v>
      </c>
      <c r="G308" s="2" t="n">
        <v>8670</v>
      </c>
      <c r="H308" s="3" t="str">
        <f>HYPERLINK("http://funmeta.oebiotech.com/network/8670", "http://funmeta.oebiotech.com/network/8670")</f>
      </c>
      <c r="I308" s="2" t="s">
        <v>22278</v>
      </c>
      <c r="J308" s="2" t="s">
        <v>22279</v>
      </c>
      <c r="K308" s="2" t="s">
        <v>22280</v>
      </c>
      <c r="L308" s="2"/>
      <c r="M308" s="2"/>
      <c r="N308" s="2" t="s">
        <v>22281</v>
      </c>
      <c r="O308" s="2"/>
      <c r="P308" s="2" t="s">
        <v>22282</v>
      </c>
      <c r="Q308" s="2" t="s">
        <v>22283</v>
      </c>
      <c r="R308" s="2" t="s">
        <v>49</v>
      </c>
      <c r="S308" s="2" t="s">
        <v>165</v>
      </c>
      <c r="T308" s="2" t="s">
        <v>166</v>
      </c>
      <c r="U308" s="2" t="s">
        <v>17817</v>
      </c>
      <c r="V308" s="2" t="s">
        <v>15919</v>
      </c>
      <c r="W308" s="2"/>
    </row>
    <row r="309">
      <c r="A309" s="2" t="n">
        <v>207</v>
      </c>
      <c r="B309" s="2" t="s">
        <v>11929</v>
      </c>
      <c r="C309" s="2" t="s">
        <v>17830</v>
      </c>
      <c r="D309" s="2" t="n">
        <v>470.79870352</v>
      </c>
      <c r="E309" s="2" t="n">
        <v>1.7464778697864</v>
      </c>
      <c r="F309" s="2" t="s">
        <v>17832</v>
      </c>
      <c r="G309" s="2" t="n">
        <v>81731</v>
      </c>
      <c r="H309" s="3" t="str">
        <f>HYPERLINK("http://funmeta.oebiotech.com/network/81731", "http://funmeta.oebiotech.com/network/81731")</f>
      </c>
      <c r="I309" s="2" t="s">
        <v>17834</v>
      </c>
      <c r="J309" s="2" t="s">
        <v>17835</v>
      </c>
      <c r="K309" s="2"/>
      <c r="L309" s="2" t="s">
        <v>17836</v>
      </c>
      <c r="M309" s="2" t="s">
        <v>17837</v>
      </c>
      <c r="N309" s="2" t="s">
        <v>17838</v>
      </c>
      <c r="O309" s="2"/>
      <c r="P309" s="2" t="s">
        <v>17839</v>
      </c>
      <c r="Q309" s="2" t="s">
        <v>17840</v>
      </c>
      <c r="R309" s="2" t="s">
        <v>502</v>
      </c>
      <c r="S309" s="2" t="s">
        <v>503</v>
      </c>
      <c r="T309" s="2" t="s">
        <v>11699</v>
      </c>
      <c r="U309" s="2" t="s">
        <v>17831</v>
      </c>
      <c r="V309" s="2" t="s">
        <v>15919</v>
      </c>
      <c r="W309" s="2" t="s">
        <v>39</v>
      </c>
    </row>
    <row r="310">
      <c r="A310" s="2" t="n">
        <v>208</v>
      </c>
      <c r="B310" s="2" t="s">
        <v>11930</v>
      </c>
      <c r="C310" s="2" t="s">
        <v>17841</v>
      </c>
      <c r="D310" s="2" t="n">
        <v>470.993105417</v>
      </c>
      <c r="E310" s="2" t="n">
        <v>6.87336413362175</v>
      </c>
      <c r="F310" s="2" t="s">
        <v>17843</v>
      </c>
      <c r="G310" s="2" t="n">
        <v>205905</v>
      </c>
      <c r="H310" s="3" t="str">
        <f>HYPERLINK("http://funmeta.oebiotech.com/network/205905", "http://funmeta.oebiotech.com/network/205905")</f>
      </c>
      <c r="I310" s="2" t="s">
        <v>17845</v>
      </c>
      <c r="J310" s="2" t="s">
        <v>17846</v>
      </c>
      <c r="K310" s="2"/>
      <c r="L310" s="2" t="s">
        <v>17847</v>
      </c>
      <c r="M310" s="2" t="s">
        <v>17848</v>
      </c>
      <c r="N310" s="2" t="s">
        <v>17849</v>
      </c>
      <c r="O310" s="2" t="s">
        <v>17850</v>
      </c>
      <c r="P310" s="2" t="s">
        <v>17851</v>
      </c>
      <c r="Q310" s="2" t="s">
        <v>17852</v>
      </c>
      <c r="R310" s="2" t="s">
        <v>502</v>
      </c>
      <c r="S310" s="2" t="s">
        <v>503</v>
      </c>
      <c r="T310" s="2" t="s">
        <v>2651</v>
      </c>
      <c r="U310" s="2" t="s">
        <v>17842</v>
      </c>
      <c r="V310" s="2" t="s">
        <v>15722</v>
      </c>
      <c r="W310" s="2" t="s">
        <v>39</v>
      </c>
    </row>
    <row r="311">
      <c r="A311" s="2" t="n">
        <v>209</v>
      </c>
      <c r="B311" s="2" t="s">
        <v>11931</v>
      </c>
      <c r="C311" s="2" t="s">
        <v>17853</v>
      </c>
      <c r="D311" s="2" t="n">
        <v>471.231298747</v>
      </c>
      <c r="E311" s="2" t="n">
        <v>2.28026412512304</v>
      </c>
      <c r="F311" s="2" t="s">
        <v>17855</v>
      </c>
      <c r="G311" s="2" t="n">
        <v>201266</v>
      </c>
      <c r="H311" s="3" t="str">
        <f>HYPERLINK("http://funmeta.oebiotech.com/network/201266", "http://funmeta.oebiotech.com/network/201266")</f>
      </c>
      <c r="I311" s="2" t="s">
        <v>17857</v>
      </c>
      <c r="J311" s="2"/>
      <c r="K311" s="2"/>
      <c r="L311" s="2"/>
      <c r="M311" s="2"/>
      <c r="N311" s="2" t="s">
        <v>17858</v>
      </c>
      <c r="O311" s="2"/>
      <c r="P311" s="2" t="s">
        <v>17859</v>
      </c>
      <c r="Q311" s="2" t="s">
        <v>17860</v>
      </c>
      <c r="R311" s="2" t="s">
        <v>49</v>
      </c>
      <c r="S311" s="2" t="s">
        <v>396</v>
      </c>
      <c r="T311" s="2" t="s">
        <v>11213</v>
      </c>
      <c r="U311" s="2" t="s">
        <v>17854</v>
      </c>
      <c r="V311" s="2" t="s">
        <v>15858</v>
      </c>
      <c r="W311" s="2"/>
    </row>
    <row r="312">
      <c r="A312" s="2" t="n">
        <v>210</v>
      </c>
      <c r="B312" s="2" t="s">
        <v>11932</v>
      </c>
      <c r="C312" s="2" t="s">
        <v>17861</v>
      </c>
      <c r="D312" s="2" t="n">
        <v>471.296581724</v>
      </c>
      <c r="E312" s="2" t="n">
        <v>1.80112460399812</v>
      </c>
      <c r="F312" s="2" t="s">
        <v>17863</v>
      </c>
      <c r="G312" s="2" t="n">
        <v>54309</v>
      </c>
      <c r="H312" s="3" t="str">
        <f>HYPERLINK("http://funmeta.oebiotech.com/network/54309", "http://funmeta.oebiotech.com/network/54309")</f>
      </c>
      <c r="I312" s="2" t="s">
        <v>17865</v>
      </c>
      <c r="J312" s="2"/>
      <c r="K312" s="2"/>
      <c r="L312" s="2"/>
      <c r="M312" s="2" t="s">
        <v>17866</v>
      </c>
      <c r="N312" s="2" t="s">
        <v>17867</v>
      </c>
      <c r="O312" s="2" t="s">
        <v>17868</v>
      </c>
      <c r="P312" s="2" t="s">
        <v>17869</v>
      </c>
      <c r="Q312" s="2" t="s">
        <v>17870</v>
      </c>
      <c r="R312" s="2" t="s">
        <v>49</v>
      </c>
      <c r="S312" s="2" t="s">
        <v>165</v>
      </c>
      <c r="T312" s="2" t="s">
        <v>166</v>
      </c>
      <c r="U312" s="2" t="s">
        <v>17862</v>
      </c>
      <c r="V312" s="2" t="s">
        <v>15649</v>
      </c>
      <c r="W312" s="2"/>
    </row>
    <row r="313">
      <c r="A313" s="2" t="n">
        <v>211</v>
      </c>
      <c r="B313" s="2" t="s">
        <v>11948</v>
      </c>
      <c r="C313" s="2" t="s">
        <v>17871</v>
      </c>
      <c r="D313" s="2" t="n">
        <v>473.094039385</v>
      </c>
      <c r="E313" s="2" t="n">
        <v>1.1441125797643</v>
      </c>
      <c r="F313" s="2" t="s">
        <v>17873</v>
      </c>
      <c r="G313" s="2" t="n">
        <v>202702</v>
      </c>
      <c r="H313" s="3" t="str">
        <f>HYPERLINK("http://funmeta.oebiotech.com/network/202702", "http://funmeta.oebiotech.com/network/202702")</f>
      </c>
      <c r="I313" s="2" t="s">
        <v>17875</v>
      </c>
      <c r="J313" s="2"/>
      <c r="K313" s="2"/>
      <c r="L313" s="2"/>
      <c r="M313" s="2"/>
      <c r="N313" s="2" t="s">
        <v>17876</v>
      </c>
      <c r="O313" s="2"/>
      <c r="P313" s="2" t="s">
        <v>17877</v>
      </c>
      <c r="Q313" s="2" t="s">
        <v>17878</v>
      </c>
      <c r="R313" s="2" t="s">
        <v>7174</v>
      </c>
      <c r="S313" s="2" t="s">
        <v>205</v>
      </c>
      <c r="T313" s="2" t="s">
        <v>205</v>
      </c>
      <c r="U313" s="2" t="s">
        <v>17872</v>
      </c>
      <c r="V313" s="2" t="s">
        <v>15611</v>
      </c>
      <c r="W313" s="2"/>
    </row>
    <row r="314">
      <c r="A314" s="2" t="n">
        <v>212</v>
      </c>
      <c r="B314" s="2" t="s">
        <v>11949</v>
      </c>
      <c r="C314" s="2" t="s">
        <v>17879</v>
      </c>
      <c r="D314" s="2" t="n">
        <v>474.224813765</v>
      </c>
      <c r="E314" s="2" t="n">
        <v>9.88071836310108</v>
      </c>
      <c r="F314" s="2" t="s">
        <v>17881</v>
      </c>
      <c r="G314" s="2" t="n">
        <v>82668</v>
      </c>
      <c r="H314" s="3" t="str">
        <f>HYPERLINK("http://funmeta.oebiotech.com/network/82668", "http://funmeta.oebiotech.com/network/82668")</f>
      </c>
      <c r="I314" s="2" t="s">
        <v>17883</v>
      </c>
      <c r="J314" s="2"/>
      <c r="K314" s="2"/>
      <c r="L314" s="2"/>
      <c r="M314" s="2"/>
      <c r="N314" s="2" t="s">
        <v>17884</v>
      </c>
      <c r="O314" s="2"/>
      <c r="P314" s="2" t="s">
        <v>17885</v>
      </c>
      <c r="Q314" s="2" t="s">
        <v>17886</v>
      </c>
      <c r="R314" s="2" t="s">
        <v>355</v>
      </c>
      <c r="S314" s="2" t="s">
        <v>466</v>
      </c>
      <c r="T314" s="2" t="s">
        <v>467</v>
      </c>
      <c r="U314" s="2" t="s">
        <v>17880</v>
      </c>
      <c r="V314" s="2" t="s">
        <v>15649</v>
      </c>
      <c r="W314" s="2"/>
    </row>
    <row r="315">
      <c r="A315" s="2" t="n">
        <v>213</v>
      </c>
      <c r="B315" s="2" t="s">
        <v>11965</v>
      </c>
      <c r="C315" s="2" t="s">
        <v>17887</v>
      </c>
      <c r="D315" s="2" t="n">
        <v>476.013191915</v>
      </c>
      <c r="E315" s="2" t="n">
        <v>0.139599493988847</v>
      </c>
      <c r="F315" s="2" t="s">
        <v>17889</v>
      </c>
      <c r="G315" s="2" t="n">
        <v>82592</v>
      </c>
      <c r="H315" s="3" t="str">
        <f>HYPERLINK("http://funmeta.oebiotech.com/network/82592", "http://funmeta.oebiotech.com/network/82592")</f>
      </c>
      <c r="I315" s="2" t="s">
        <v>17891</v>
      </c>
      <c r="J315" s="2" t="s">
        <v>17892</v>
      </c>
      <c r="K315" s="2"/>
      <c r="L315" s="2"/>
      <c r="M315" s="2"/>
      <c r="N315" s="2" t="s">
        <v>17893</v>
      </c>
      <c r="O315" s="2" t="s">
        <v>17894</v>
      </c>
      <c r="P315" s="2" t="s">
        <v>17895</v>
      </c>
      <c r="Q315" s="2" t="s">
        <v>17896</v>
      </c>
      <c r="R315" s="2" t="s">
        <v>2590</v>
      </c>
      <c r="S315" s="2" t="s">
        <v>6120</v>
      </c>
      <c r="T315" s="2" t="s">
        <v>12953</v>
      </c>
      <c r="U315" s="2" t="s">
        <v>17888</v>
      </c>
      <c r="V315" s="2" t="s">
        <v>15649</v>
      </c>
      <c r="W315" s="2"/>
    </row>
    <row r="316">
      <c r="A316" s="2" t="n">
        <v>214</v>
      </c>
      <c r="B316" s="2" t="s">
        <v>11966</v>
      </c>
      <c r="C316" s="2" t="s">
        <v>17897</v>
      </c>
      <c r="D316" s="2" t="n">
        <v>478.292931553</v>
      </c>
      <c r="E316" s="2" t="n">
        <v>2.28550373481096</v>
      </c>
      <c r="F316" s="2" t="s">
        <v>22284</v>
      </c>
      <c r="G316" s="2" t="n">
        <v>8324</v>
      </c>
      <c r="H316" s="3" t="str">
        <f>HYPERLINK("http://funmeta.oebiotech.com/network/8324", "http://funmeta.oebiotech.com/network/8324")</f>
      </c>
      <c r="I316" s="2" t="s">
        <v>22285</v>
      </c>
      <c r="J316" s="2"/>
      <c r="K316" s="2" t="s">
        <v>22286</v>
      </c>
      <c r="L316" s="2"/>
      <c r="M316" s="2" t="s">
        <v>22287</v>
      </c>
      <c r="N316" s="2" t="s">
        <v>22288</v>
      </c>
      <c r="O316" s="2"/>
      <c r="P316" s="2" t="s">
        <v>22289</v>
      </c>
      <c r="Q316" s="2" t="s">
        <v>22290</v>
      </c>
      <c r="R316" s="2" t="s">
        <v>1490</v>
      </c>
      <c r="S316" s="2" t="s">
        <v>1491</v>
      </c>
      <c r="T316" s="2" t="s">
        <v>3884</v>
      </c>
      <c r="U316" s="2" t="s">
        <v>17898</v>
      </c>
      <c r="V316" s="2" t="s">
        <v>15919</v>
      </c>
      <c r="W316" s="2"/>
    </row>
    <row r="317">
      <c r="A317" s="2" t="n">
        <v>214</v>
      </c>
      <c r="B317" s="2" t="s">
        <v>22291</v>
      </c>
      <c r="C317" s="2" t="s">
        <v>17897</v>
      </c>
      <c r="D317" s="2" t="n">
        <v>478.292931553</v>
      </c>
      <c r="E317" s="2" t="n">
        <v>2.28550373481096</v>
      </c>
      <c r="F317" s="2" t="s">
        <v>22292</v>
      </c>
      <c r="G317" s="2" t="n">
        <v>198084</v>
      </c>
      <c r="H317" s="3" t="str">
        <f>HYPERLINK("http://funmeta.oebiotech.com/network/198084", "http://funmeta.oebiotech.com/network/198084")</f>
      </c>
      <c r="I317" s="2" t="s">
        <v>22293</v>
      </c>
      <c r="J317" s="2"/>
      <c r="K317" s="2"/>
      <c r="L317" s="2"/>
      <c r="M317" s="2"/>
      <c r="N317" s="2"/>
      <c r="O317" s="2"/>
      <c r="P317" s="2" t="s">
        <v>22294</v>
      </c>
      <c r="Q317" s="2" t="s">
        <v>22295</v>
      </c>
      <c r="R317" s="2" t="s">
        <v>1490</v>
      </c>
      <c r="S317" s="2" t="s">
        <v>1491</v>
      </c>
      <c r="T317" s="2" t="s">
        <v>3884</v>
      </c>
      <c r="U317" s="2" t="s">
        <v>17898</v>
      </c>
      <c r="V317" s="2" t="s">
        <v>15919</v>
      </c>
      <c r="W317" s="2"/>
    </row>
    <row r="318">
      <c r="A318" s="2" t="n">
        <v>214</v>
      </c>
      <c r="B318" s="2" t="s">
        <v>22296</v>
      </c>
      <c r="C318" s="2" t="s">
        <v>17897</v>
      </c>
      <c r="D318" s="2" t="n">
        <v>478.292931553</v>
      </c>
      <c r="E318" s="2" t="n">
        <v>2.28550373481096</v>
      </c>
      <c r="F318" s="2" t="s">
        <v>22297</v>
      </c>
      <c r="G318" s="2" t="n">
        <v>198085</v>
      </c>
      <c r="H318" s="3" t="str">
        <f>HYPERLINK("http://funmeta.oebiotech.com/network/198085", "http://funmeta.oebiotech.com/network/198085")</f>
      </c>
      <c r="I318" s="2" t="s">
        <v>22298</v>
      </c>
      <c r="J318" s="2"/>
      <c r="K318" s="2"/>
      <c r="L318" s="2"/>
      <c r="M318" s="2"/>
      <c r="N318" s="2"/>
      <c r="O318" s="2"/>
      <c r="P318" s="2" t="s">
        <v>22299</v>
      </c>
      <c r="Q318" s="2" t="s">
        <v>22300</v>
      </c>
      <c r="R318" s="2" t="s">
        <v>1490</v>
      </c>
      <c r="S318" s="2" t="s">
        <v>1491</v>
      </c>
      <c r="T318" s="2" t="s">
        <v>3884</v>
      </c>
      <c r="U318" s="2" t="s">
        <v>17898</v>
      </c>
      <c r="V318" s="2" t="s">
        <v>15919</v>
      </c>
      <c r="W318" s="2"/>
    </row>
    <row r="319">
      <c r="A319" s="2" t="n">
        <v>215</v>
      </c>
      <c r="B319" s="2" t="s">
        <v>11967</v>
      </c>
      <c r="C319" s="2" t="s">
        <v>17907</v>
      </c>
      <c r="D319" s="2" t="n">
        <v>478.329789471</v>
      </c>
      <c r="E319" s="2" t="n">
        <v>1.14261962909102</v>
      </c>
      <c r="F319" s="2" t="s">
        <v>17909</v>
      </c>
      <c r="G319" s="2" t="n">
        <v>19830</v>
      </c>
      <c r="H319" s="3" t="str">
        <f>HYPERLINK("http://funmeta.oebiotech.com/network/19830", "http://funmeta.oebiotech.com/network/19830")</f>
      </c>
      <c r="I319" s="2" t="s">
        <v>17911</v>
      </c>
      <c r="J319" s="2" t="s">
        <v>17912</v>
      </c>
      <c r="K319" s="2" t="s">
        <v>17913</v>
      </c>
      <c r="L319" s="2" t="s">
        <v>17914</v>
      </c>
      <c r="M319" s="2" t="s">
        <v>17915</v>
      </c>
      <c r="N319" s="2" t="s">
        <v>17916</v>
      </c>
      <c r="O319" s="2" t="s">
        <v>17917</v>
      </c>
      <c r="P319" s="2" t="s">
        <v>17918</v>
      </c>
      <c r="Q319" s="2" t="s">
        <v>17919</v>
      </c>
      <c r="R319" s="2" t="s">
        <v>1490</v>
      </c>
      <c r="S319" s="2" t="s">
        <v>4236</v>
      </c>
      <c r="T319" s="2" t="s">
        <v>8613</v>
      </c>
      <c r="U319" s="2" t="s">
        <v>17908</v>
      </c>
      <c r="V319" s="2" t="s">
        <v>15611</v>
      </c>
      <c r="W319" s="2" t="s">
        <v>39</v>
      </c>
    </row>
    <row r="320">
      <c r="A320" s="2" t="n">
        <v>216</v>
      </c>
      <c r="B320" s="2" t="s">
        <v>11968</v>
      </c>
      <c r="C320" s="2" t="s">
        <v>17920</v>
      </c>
      <c r="D320" s="2" t="n">
        <v>478.7717754</v>
      </c>
      <c r="E320" s="2" t="n">
        <v>8.64050990656983</v>
      </c>
      <c r="F320" s="2" t="s">
        <v>17923</v>
      </c>
      <c r="G320" s="2" t="n">
        <v>212587</v>
      </c>
      <c r="H320" s="3" t="str">
        <f>HYPERLINK("http://funmeta.oebiotech.com/network/212587", "http://funmeta.oebiotech.com/network/212587")</f>
      </c>
      <c r="I320" s="2" t="s">
        <v>17925</v>
      </c>
      <c r="J320" s="2" t="s">
        <v>17926</v>
      </c>
      <c r="K320" s="2"/>
      <c r="L320" s="2" t="s">
        <v>17927</v>
      </c>
      <c r="M320" s="2"/>
      <c r="N320" s="2" t="s">
        <v>17928</v>
      </c>
      <c r="O320" s="2" t="s">
        <v>17929</v>
      </c>
      <c r="P320" s="2" t="s">
        <v>17930</v>
      </c>
      <c r="Q320" s="2" t="s">
        <v>17931</v>
      </c>
      <c r="R320" s="2" t="s">
        <v>49</v>
      </c>
      <c r="S320" s="2" t="s">
        <v>771</v>
      </c>
      <c r="T320" s="2" t="s">
        <v>772</v>
      </c>
      <c r="U320" s="2" t="s">
        <v>17921</v>
      </c>
      <c r="V320" s="2" t="s">
        <v>17922</v>
      </c>
      <c r="W320" s="2" t="s">
        <v>39</v>
      </c>
    </row>
    <row r="321">
      <c r="A321" s="2" t="n">
        <v>217</v>
      </c>
      <c r="B321" s="2" t="s">
        <v>11969</v>
      </c>
      <c r="C321" s="2" t="s">
        <v>17932</v>
      </c>
      <c r="D321" s="2" t="n">
        <v>479.32858878</v>
      </c>
      <c r="E321" s="2" t="n">
        <v>4.45998944426189</v>
      </c>
      <c r="F321" s="2" t="s">
        <v>17934</v>
      </c>
      <c r="G321" s="2" t="n">
        <v>58506</v>
      </c>
      <c r="H321" s="3" t="str">
        <f>HYPERLINK("http://funmeta.oebiotech.com/network/58506", "http://funmeta.oebiotech.com/network/58506")</f>
      </c>
      <c r="I321" s="2" t="s">
        <v>17936</v>
      </c>
      <c r="J321" s="2"/>
      <c r="K321" s="2"/>
      <c r="L321" s="2" t="s">
        <v>17937</v>
      </c>
      <c r="M321" s="2"/>
      <c r="N321" s="2" t="s">
        <v>17938</v>
      </c>
      <c r="O321" s="2" t="s">
        <v>17939</v>
      </c>
      <c r="P321" s="2" t="s">
        <v>17940</v>
      </c>
      <c r="Q321" s="2" t="s">
        <v>17941</v>
      </c>
      <c r="R321" s="2" t="s">
        <v>1490</v>
      </c>
      <c r="S321" s="2" t="s">
        <v>4971</v>
      </c>
      <c r="T321" s="2" t="s">
        <v>7445</v>
      </c>
      <c r="U321" s="2" t="s">
        <v>17933</v>
      </c>
      <c r="V321" s="2" t="s">
        <v>15919</v>
      </c>
      <c r="W321" s="2" t="s">
        <v>39</v>
      </c>
    </row>
    <row r="322">
      <c r="A322" s="2" t="n">
        <v>218</v>
      </c>
      <c r="B322" s="2" t="s">
        <v>11991</v>
      </c>
      <c r="C322" s="2" t="s">
        <v>17942</v>
      </c>
      <c r="D322" s="2" t="n">
        <v>481.05315478</v>
      </c>
      <c r="E322" s="2" t="n">
        <v>9.88106294538484</v>
      </c>
      <c r="F322" s="2" t="s">
        <v>22301</v>
      </c>
      <c r="G322" s="2" t="n">
        <v>28910</v>
      </c>
      <c r="H322" s="3" t="str">
        <f>HYPERLINK("http://funmeta.oebiotech.com/network/28910", "http://funmeta.oebiotech.com/network/28910")</f>
      </c>
      <c r="I322" s="2" t="s">
        <v>22302</v>
      </c>
      <c r="J322" s="2" t="s">
        <v>22303</v>
      </c>
      <c r="K322" s="2" t="s">
        <v>22304</v>
      </c>
      <c r="L322" s="2"/>
      <c r="M322" s="2" t="s">
        <v>22305</v>
      </c>
      <c r="N322" s="2" t="s">
        <v>22306</v>
      </c>
      <c r="O322" s="2" t="s">
        <v>22307</v>
      </c>
      <c r="P322" s="2" t="s">
        <v>22308</v>
      </c>
      <c r="Q322" s="2" t="s">
        <v>22309</v>
      </c>
      <c r="R322" s="2" t="s">
        <v>2509</v>
      </c>
      <c r="S322" s="2" t="s">
        <v>5520</v>
      </c>
      <c r="T322" s="2" t="s">
        <v>13396</v>
      </c>
      <c r="U322" s="2" t="s">
        <v>17943</v>
      </c>
      <c r="V322" s="2" t="s">
        <v>15919</v>
      </c>
      <c r="W322" s="2"/>
    </row>
    <row r="323">
      <c r="A323" s="2" t="n">
        <v>218</v>
      </c>
      <c r="B323" s="2" t="s">
        <v>22310</v>
      </c>
      <c r="C323" s="2" t="s">
        <v>17942</v>
      </c>
      <c r="D323" s="2" t="n">
        <v>481.053154796</v>
      </c>
      <c r="E323" s="2" t="n">
        <v>9.88106294538484</v>
      </c>
      <c r="F323" s="2" t="s">
        <v>22311</v>
      </c>
      <c r="G323" s="2" t="n">
        <v>28911</v>
      </c>
      <c r="H323" s="3" t="str">
        <f>HYPERLINK("http://funmeta.oebiotech.com/network/28911", "http://funmeta.oebiotech.com/network/28911")</f>
      </c>
      <c r="I323" s="2" t="s">
        <v>22312</v>
      </c>
      <c r="J323" s="2" t="s">
        <v>22313</v>
      </c>
      <c r="K323" s="2" t="s">
        <v>22314</v>
      </c>
      <c r="L323" s="2"/>
      <c r="M323" s="2" t="s">
        <v>22315</v>
      </c>
      <c r="N323" s="2" t="s">
        <v>22316</v>
      </c>
      <c r="O323" s="2" t="s">
        <v>22317</v>
      </c>
      <c r="P323" s="2" t="s">
        <v>22318</v>
      </c>
      <c r="Q323" s="2" t="s">
        <v>22319</v>
      </c>
      <c r="R323" s="2" t="s">
        <v>2509</v>
      </c>
      <c r="S323" s="2" t="s">
        <v>5520</v>
      </c>
      <c r="T323" s="2" t="s">
        <v>13396</v>
      </c>
      <c r="U323" s="2" t="s">
        <v>17943</v>
      </c>
      <c r="V323" s="2" t="s">
        <v>15919</v>
      </c>
      <c r="W323" s="2"/>
    </row>
    <row r="324">
      <c r="A324" s="2" t="n">
        <v>218</v>
      </c>
      <c r="B324" s="2" t="s">
        <v>22320</v>
      </c>
      <c r="C324" s="2" t="s">
        <v>17942</v>
      </c>
      <c r="D324" s="2" t="n">
        <v>481.053154796</v>
      </c>
      <c r="E324" s="2" t="n">
        <v>9.88106294538484</v>
      </c>
      <c r="F324" s="2" t="s">
        <v>22321</v>
      </c>
      <c r="G324" s="2" t="n">
        <v>28912</v>
      </c>
      <c r="H324" s="3" t="str">
        <f>HYPERLINK("http://funmeta.oebiotech.com/network/28912", "http://funmeta.oebiotech.com/network/28912")</f>
      </c>
      <c r="I324" s="2" t="s">
        <v>22322</v>
      </c>
      <c r="J324" s="2" t="s">
        <v>22323</v>
      </c>
      <c r="K324" s="2" t="s">
        <v>22324</v>
      </c>
      <c r="L324" s="2"/>
      <c r="M324" s="2" t="s">
        <v>22325</v>
      </c>
      <c r="N324" s="2" t="s">
        <v>22326</v>
      </c>
      <c r="O324" s="2"/>
      <c r="P324" s="2" t="s">
        <v>22327</v>
      </c>
      <c r="Q324" s="2" t="s">
        <v>22328</v>
      </c>
      <c r="R324" s="2" t="s">
        <v>2509</v>
      </c>
      <c r="S324" s="2" t="s">
        <v>5520</v>
      </c>
      <c r="T324" s="2" t="s">
        <v>13396</v>
      </c>
      <c r="U324" s="2" t="s">
        <v>17943</v>
      </c>
      <c r="V324" s="2" t="s">
        <v>15919</v>
      </c>
      <c r="W324" s="2"/>
    </row>
    <row r="325">
      <c r="A325" s="2" t="n">
        <v>219</v>
      </c>
      <c r="B325" s="2" t="s">
        <v>11992</v>
      </c>
      <c r="C325" s="2" t="s">
        <v>17954</v>
      </c>
      <c r="D325" s="2" t="n">
        <v>481.24320875</v>
      </c>
      <c r="E325" s="2" t="n">
        <v>6.22625768883043</v>
      </c>
      <c r="F325" s="2" t="s">
        <v>22329</v>
      </c>
      <c r="G325" s="2" t="n">
        <v>57864</v>
      </c>
      <c r="H325" s="3" t="str">
        <f>HYPERLINK("http://funmeta.oebiotech.com/network/57864", "http://funmeta.oebiotech.com/network/57864")</f>
      </c>
      <c r="I325" s="2" t="s">
        <v>22330</v>
      </c>
      <c r="J325" s="2" t="s">
        <v>22331</v>
      </c>
      <c r="K325" s="2"/>
      <c r="L325" s="2"/>
      <c r="M325" s="2" t="s">
        <v>22332</v>
      </c>
      <c r="N325" s="2" t="s">
        <v>22333</v>
      </c>
      <c r="O325" s="2" t="s">
        <v>22334</v>
      </c>
      <c r="P325" s="2" t="s">
        <v>22335</v>
      </c>
      <c r="Q325" s="2" t="s">
        <v>22336</v>
      </c>
      <c r="R325" s="2" t="s">
        <v>1490</v>
      </c>
      <c r="S325" s="2" t="s">
        <v>4971</v>
      </c>
      <c r="T325" s="2" t="s">
        <v>6636</v>
      </c>
      <c r="U325" s="2" t="s">
        <v>17955</v>
      </c>
      <c r="V325" s="2" t="s">
        <v>15649</v>
      </c>
      <c r="W325" s="2"/>
    </row>
    <row r="326">
      <c r="A326" s="2" t="n">
        <v>219</v>
      </c>
      <c r="B326" s="2" t="s">
        <v>22337</v>
      </c>
      <c r="C326" s="2" t="s">
        <v>17954</v>
      </c>
      <c r="D326" s="2" t="n">
        <v>481.24320875</v>
      </c>
      <c r="E326" s="2" t="n">
        <v>6.22625768883043</v>
      </c>
      <c r="F326" s="2" t="s">
        <v>22338</v>
      </c>
      <c r="G326" s="2" t="n">
        <v>59951</v>
      </c>
      <c r="H326" s="3" t="str">
        <f>HYPERLINK("http://funmeta.oebiotech.com/network/59951", "http://funmeta.oebiotech.com/network/59951")</f>
      </c>
      <c r="I326" s="2" t="s">
        <v>22339</v>
      </c>
      <c r="J326" s="2" t="s">
        <v>22340</v>
      </c>
      <c r="K326" s="2"/>
      <c r="L326" s="2"/>
      <c r="M326" s="2"/>
      <c r="N326" s="2" t="s">
        <v>22341</v>
      </c>
      <c r="O326" s="2" t="s">
        <v>22342</v>
      </c>
      <c r="P326" s="2" t="s">
        <v>22343</v>
      </c>
      <c r="Q326" s="2" t="s">
        <v>22344</v>
      </c>
      <c r="R326" s="2" t="s">
        <v>1490</v>
      </c>
      <c r="S326" s="2" t="s">
        <v>4971</v>
      </c>
      <c r="T326" s="2" t="s">
        <v>5966</v>
      </c>
      <c r="U326" s="2" t="s">
        <v>17955</v>
      </c>
      <c r="V326" s="2" t="s">
        <v>15649</v>
      </c>
      <c r="W326" s="2"/>
    </row>
    <row r="327">
      <c r="A327" s="2" t="n">
        <v>220</v>
      </c>
      <c r="B327" s="2" t="s">
        <v>11993</v>
      </c>
      <c r="C327" s="2" t="s">
        <v>17966</v>
      </c>
      <c r="D327" s="2" t="n">
        <v>482.002280431</v>
      </c>
      <c r="E327" s="2" t="n">
        <v>1.26318410832848</v>
      </c>
      <c r="F327" s="2" t="s">
        <v>17968</v>
      </c>
      <c r="G327" s="2" t="n">
        <v>212505</v>
      </c>
      <c r="H327" s="3" t="str">
        <f>HYPERLINK("http://funmeta.oebiotech.com/network/212505", "http://funmeta.oebiotech.com/network/212505")</f>
      </c>
      <c r="I327" s="2" t="s">
        <v>17970</v>
      </c>
      <c r="J327" s="2"/>
      <c r="K327" s="2"/>
      <c r="L327" s="2"/>
      <c r="M327" s="2"/>
      <c r="N327" s="2" t="s">
        <v>16608</v>
      </c>
      <c r="O327" s="2"/>
      <c r="P327" s="2" t="s">
        <v>17971</v>
      </c>
      <c r="Q327" s="2" t="s">
        <v>17972</v>
      </c>
      <c r="R327" s="2" t="s">
        <v>355</v>
      </c>
      <c r="S327" s="2" t="s">
        <v>4796</v>
      </c>
      <c r="T327" s="2" t="s">
        <v>4797</v>
      </c>
      <c r="U327" s="2" t="s">
        <v>17967</v>
      </c>
      <c r="V327" s="2" t="s">
        <v>15691</v>
      </c>
      <c r="W327" s="2"/>
    </row>
    <row r="328">
      <c r="A328" s="2" t="n">
        <v>221</v>
      </c>
      <c r="B328" s="2" t="s">
        <v>11994</v>
      </c>
      <c r="C328" s="2" t="s">
        <v>17973</v>
      </c>
      <c r="D328" s="2" t="n">
        <v>483.08023482</v>
      </c>
      <c r="E328" s="2" t="n">
        <v>1.98060813422719</v>
      </c>
      <c r="F328" s="2" t="s">
        <v>17975</v>
      </c>
      <c r="G328" s="2" t="n">
        <v>82693</v>
      </c>
      <c r="H328" s="3" t="str">
        <f>HYPERLINK("http://funmeta.oebiotech.com/network/82693", "http://funmeta.oebiotech.com/network/82693")</f>
      </c>
      <c r="I328" s="2" t="s">
        <v>17977</v>
      </c>
      <c r="J328" s="2"/>
      <c r="K328" s="2"/>
      <c r="L328" s="2"/>
      <c r="M328" s="2"/>
      <c r="N328" s="2" t="s">
        <v>17978</v>
      </c>
      <c r="O328" s="2"/>
      <c r="P328" s="2" t="s">
        <v>17979</v>
      </c>
      <c r="Q328" s="2" t="s">
        <v>17980</v>
      </c>
      <c r="R328" s="2" t="s">
        <v>355</v>
      </c>
      <c r="S328" s="2" t="s">
        <v>3533</v>
      </c>
      <c r="T328" s="2" t="s">
        <v>3534</v>
      </c>
      <c r="U328" s="2" t="s">
        <v>17974</v>
      </c>
      <c r="V328" s="2" t="s">
        <v>15858</v>
      </c>
      <c r="W328" s="2"/>
    </row>
    <row r="329">
      <c r="A329" s="2" t="n">
        <v>222</v>
      </c>
      <c r="B329" s="2" t="s">
        <v>11995</v>
      </c>
      <c r="C329" s="2" t="s">
        <v>17981</v>
      </c>
      <c r="D329" s="2" t="n">
        <v>483.262122302</v>
      </c>
      <c r="E329" s="2" t="n">
        <v>1.61117860762106</v>
      </c>
      <c r="F329" s="2" t="s">
        <v>17983</v>
      </c>
      <c r="G329" s="2" t="n">
        <v>208855</v>
      </c>
      <c r="H329" s="3" t="str">
        <f>HYPERLINK("http://funmeta.oebiotech.com/network/208855", "http://funmeta.oebiotech.com/network/208855")</f>
      </c>
      <c r="I329" s="2" t="s">
        <v>17985</v>
      </c>
      <c r="J329" s="2"/>
      <c r="K329" s="2"/>
      <c r="L329" s="2"/>
      <c r="M329" s="2"/>
      <c r="N329" s="2" t="s">
        <v>17986</v>
      </c>
      <c r="O329" s="2"/>
      <c r="P329" s="2" t="s">
        <v>17987</v>
      </c>
      <c r="Q329" s="2" t="s">
        <v>17988</v>
      </c>
      <c r="R329" s="2" t="s">
        <v>355</v>
      </c>
      <c r="S329" s="2" t="s">
        <v>5131</v>
      </c>
      <c r="T329" s="2" t="s">
        <v>5132</v>
      </c>
      <c r="U329" s="2" t="s">
        <v>17982</v>
      </c>
      <c r="V329" s="2" t="s">
        <v>15611</v>
      </c>
      <c r="W329" s="2"/>
    </row>
    <row r="330">
      <c r="A330" s="2" t="n">
        <v>223</v>
      </c>
      <c r="B330" s="2" t="s">
        <v>11996</v>
      </c>
      <c r="C330" s="2" t="s">
        <v>17989</v>
      </c>
      <c r="D330" s="2" t="n">
        <v>484.0801296</v>
      </c>
      <c r="E330" s="2" t="n">
        <v>0.36717638986537</v>
      </c>
      <c r="F330" s="2" t="s">
        <v>17991</v>
      </c>
      <c r="G330" s="2" t="n">
        <v>208845</v>
      </c>
      <c r="H330" s="3" t="str">
        <f>HYPERLINK("http://funmeta.oebiotech.com/network/208845", "http://funmeta.oebiotech.com/network/208845")</f>
      </c>
      <c r="I330" s="2" t="s">
        <v>17993</v>
      </c>
      <c r="J330" s="2"/>
      <c r="K330" s="2"/>
      <c r="L330" s="2"/>
      <c r="M330" s="2"/>
      <c r="N330" s="2"/>
      <c r="O330" s="2"/>
      <c r="P330" s="2" t="s">
        <v>17994</v>
      </c>
      <c r="Q330" s="2" t="s">
        <v>17995</v>
      </c>
      <c r="R330" s="2" t="s">
        <v>502</v>
      </c>
      <c r="S330" s="2" t="s">
        <v>503</v>
      </c>
      <c r="T330" s="2" t="s">
        <v>5166</v>
      </c>
      <c r="U330" s="2" t="s">
        <v>17990</v>
      </c>
      <c r="V330" s="2" t="s">
        <v>15858</v>
      </c>
      <c r="W330" s="2"/>
    </row>
    <row r="331">
      <c r="A331" s="2" t="n">
        <v>224</v>
      </c>
      <c r="B331" s="2" t="s">
        <v>11997</v>
      </c>
      <c r="C331" s="2" t="s">
        <v>17996</v>
      </c>
      <c r="D331" s="2" t="n">
        <v>485.072211301</v>
      </c>
      <c r="E331" s="2" t="n">
        <v>5.77224095895318</v>
      </c>
      <c r="F331" s="2" t="s">
        <v>17998</v>
      </c>
      <c r="G331" s="2" t="n">
        <v>64972</v>
      </c>
      <c r="H331" s="3" t="str">
        <f>HYPERLINK("http://funmeta.oebiotech.com/network/64972", "http://funmeta.oebiotech.com/network/64972")</f>
      </c>
      <c r="I331" s="2" t="s">
        <v>18000</v>
      </c>
      <c r="J331" s="2" t="s">
        <v>18001</v>
      </c>
      <c r="K331" s="2"/>
      <c r="L331" s="2"/>
      <c r="M331" s="2" t="s">
        <v>18002</v>
      </c>
      <c r="N331" s="2" t="s">
        <v>18003</v>
      </c>
      <c r="O331" s="2" t="s">
        <v>18004</v>
      </c>
      <c r="P331" s="2" t="s">
        <v>18005</v>
      </c>
      <c r="Q331" s="2" t="s">
        <v>18006</v>
      </c>
      <c r="R331" s="2" t="s">
        <v>64</v>
      </c>
      <c r="S331" s="2" t="s">
        <v>65</v>
      </c>
      <c r="T331" s="2" t="s">
        <v>66</v>
      </c>
      <c r="U331" s="2" t="s">
        <v>17997</v>
      </c>
      <c r="V331" s="2" t="s">
        <v>15858</v>
      </c>
      <c r="W331" s="2"/>
    </row>
    <row r="332">
      <c r="A332" s="2" t="n">
        <v>225</v>
      </c>
      <c r="B332" s="2" t="s">
        <v>11998</v>
      </c>
      <c r="C332" s="2" t="s">
        <v>18007</v>
      </c>
      <c r="D332" s="2" t="n">
        <v>485.291102416</v>
      </c>
      <c r="E332" s="2" t="n">
        <v>5.14479665506114</v>
      </c>
      <c r="F332" s="2" t="s">
        <v>18009</v>
      </c>
      <c r="G332" s="2" t="n">
        <v>198694</v>
      </c>
      <c r="H332" s="3" t="str">
        <f>HYPERLINK("http://funmeta.oebiotech.com/network/198694", "http://funmeta.oebiotech.com/network/198694")</f>
      </c>
      <c r="I332" s="2" t="s">
        <v>18011</v>
      </c>
      <c r="J332" s="2"/>
      <c r="K332" s="2"/>
      <c r="L332" s="2"/>
      <c r="M332" s="2"/>
      <c r="N332" s="2" t="s">
        <v>18012</v>
      </c>
      <c r="O332" s="2"/>
      <c r="P332" s="2" t="s">
        <v>18013</v>
      </c>
      <c r="Q332" s="2" t="s">
        <v>18014</v>
      </c>
      <c r="R332" s="2" t="s">
        <v>355</v>
      </c>
      <c r="S332" s="2" t="s">
        <v>3869</v>
      </c>
      <c r="T332" s="2" t="s">
        <v>18015</v>
      </c>
      <c r="U332" s="2" t="s">
        <v>18008</v>
      </c>
      <c r="V332" s="2" t="s">
        <v>15778</v>
      </c>
      <c r="W332" s="2"/>
    </row>
    <row r="333">
      <c r="A333" s="2" t="n">
        <v>226</v>
      </c>
      <c r="B333" s="2" t="s">
        <v>11999</v>
      </c>
      <c r="C333" s="2" t="s">
        <v>18016</v>
      </c>
      <c r="D333" s="2" t="n">
        <v>488.1266858</v>
      </c>
      <c r="E333" s="2" t="n">
        <v>1.73820377669898</v>
      </c>
      <c r="F333" s="2" t="s">
        <v>18018</v>
      </c>
      <c r="G333" s="2" t="n">
        <v>212222</v>
      </c>
      <c r="H333" s="3" t="str">
        <f>HYPERLINK("http://funmeta.oebiotech.com/network/212222", "http://funmeta.oebiotech.com/network/212222")</f>
      </c>
      <c r="I333" s="2" t="s">
        <v>18020</v>
      </c>
      <c r="J333" s="2"/>
      <c r="K333" s="2"/>
      <c r="L333" s="2"/>
      <c r="M333" s="2"/>
      <c r="N333" s="2"/>
      <c r="O333" s="2"/>
      <c r="P333" s="2" t="s">
        <v>18021</v>
      </c>
      <c r="Q333" s="2" t="s">
        <v>18022</v>
      </c>
      <c r="R333" s="2" t="s">
        <v>502</v>
      </c>
      <c r="S333" s="2" t="s">
        <v>503</v>
      </c>
      <c r="T333" s="2" t="s">
        <v>3450</v>
      </c>
      <c r="U333" s="2" t="s">
        <v>18017</v>
      </c>
      <c r="V333" s="2" t="s">
        <v>15858</v>
      </c>
      <c r="W333" s="2"/>
    </row>
    <row r="334">
      <c r="A334" s="2" t="n">
        <v>227</v>
      </c>
      <c r="B334" s="2" t="s">
        <v>12000</v>
      </c>
      <c r="C334" s="2" t="s">
        <v>18023</v>
      </c>
      <c r="D334" s="2" t="n">
        <v>488.253895933</v>
      </c>
      <c r="E334" s="2" t="n">
        <v>4.40659083904542</v>
      </c>
      <c r="F334" s="2" t="s">
        <v>22345</v>
      </c>
      <c r="G334" s="2" t="n">
        <v>198060</v>
      </c>
      <c r="H334" s="3" t="str">
        <f>HYPERLINK("http://funmeta.oebiotech.com/network/198060", "http://funmeta.oebiotech.com/network/198060")</f>
      </c>
      <c r="I334" s="2" t="s">
        <v>22346</v>
      </c>
      <c r="J334" s="2"/>
      <c r="K334" s="2"/>
      <c r="L334" s="2"/>
      <c r="M334" s="2"/>
      <c r="N334" s="2"/>
      <c r="O334" s="2"/>
      <c r="P334" s="2" t="s">
        <v>22347</v>
      </c>
      <c r="Q334" s="2" t="s">
        <v>22348</v>
      </c>
      <c r="R334" s="2" t="s">
        <v>1490</v>
      </c>
      <c r="S334" s="2" t="s">
        <v>1491</v>
      </c>
      <c r="T334" s="2" t="s">
        <v>3884</v>
      </c>
      <c r="U334" s="2" t="s">
        <v>18024</v>
      </c>
      <c r="V334" s="2" t="s">
        <v>15722</v>
      </c>
      <c r="W334" s="2"/>
    </row>
    <row r="335">
      <c r="A335" s="2" t="n">
        <v>227</v>
      </c>
      <c r="B335" s="2" t="s">
        <v>12010</v>
      </c>
      <c r="C335" s="2" t="s">
        <v>18023</v>
      </c>
      <c r="D335" s="2" t="n">
        <v>488.253895933</v>
      </c>
      <c r="E335" s="2" t="n">
        <v>4.40659083904542</v>
      </c>
      <c r="F335" s="2" t="s">
        <v>22349</v>
      </c>
      <c r="G335" s="2" t="n">
        <v>198059</v>
      </c>
      <c r="H335" s="3" t="str">
        <f>HYPERLINK("http://funmeta.oebiotech.com/network/198059", "http://funmeta.oebiotech.com/network/198059")</f>
      </c>
      <c r="I335" s="2" t="s">
        <v>22350</v>
      </c>
      <c r="J335" s="2"/>
      <c r="K335" s="2"/>
      <c r="L335" s="2"/>
      <c r="M335" s="2"/>
      <c r="N335" s="2"/>
      <c r="O335" s="2"/>
      <c r="P335" s="2" t="s">
        <v>22351</v>
      </c>
      <c r="Q335" s="2" t="s">
        <v>22352</v>
      </c>
      <c r="R335" s="2" t="s">
        <v>1490</v>
      </c>
      <c r="S335" s="2" t="s">
        <v>1491</v>
      </c>
      <c r="T335" s="2" t="s">
        <v>3884</v>
      </c>
      <c r="U335" s="2" t="s">
        <v>18024</v>
      </c>
      <c r="V335" s="2" t="s">
        <v>15722</v>
      </c>
      <c r="W335" s="2"/>
    </row>
    <row r="336">
      <c r="A336" s="2" t="n">
        <v>228</v>
      </c>
      <c r="B336" s="2" t="s">
        <v>12028</v>
      </c>
      <c r="C336" s="2" t="s">
        <v>18031</v>
      </c>
      <c r="D336" s="2" t="n">
        <v>490.271802184</v>
      </c>
      <c r="E336" s="2" t="n">
        <v>5.53449422570398</v>
      </c>
      <c r="F336" s="2" t="s">
        <v>18033</v>
      </c>
      <c r="G336" s="2" t="n">
        <v>198507</v>
      </c>
      <c r="H336" s="3" t="str">
        <f>HYPERLINK("http://funmeta.oebiotech.com/network/198507", "http://funmeta.oebiotech.com/network/198507")</f>
      </c>
      <c r="I336" s="2" t="s">
        <v>18035</v>
      </c>
      <c r="J336" s="2"/>
      <c r="K336" s="2"/>
      <c r="L336" s="2"/>
      <c r="M336" s="2"/>
      <c r="N336" s="2"/>
      <c r="O336" s="2"/>
      <c r="P336" s="2" t="s">
        <v>18036</v>
      </c>
      <c r="Q336" s="2" t="s">
        <v>18037</v>
      </c>
      <c r="R336" s="2" t="s">
        <v>49</v>
      </c>
      <c r="S336" s="2" t="s">
        <v>165</v>
      </c>
      <c r="T336" s="2" t="s">
        <v>166</v>
      </c>
      <c r="U336" s="2" t="s">
        <v>18032</v>
      </c>
      <c r="V336" s="2" t="s">
        <v>15919</v>
      </c>
      <c r="W336" s="2"/>
    </row>
    <row r="337">
      <c r="A337" s="2" t="n">
        <v>229</v>
      </c>
      <c r="B337" s="2" t="s">
        <v>12049</v>
      </c>
      <c r="C337" s="2" t="s">
        <v>18038</v>
      </c>
      <c r="D337" s="2" t="n">
        <v>491.263944184</v>
      </c>
      <c r="E337" s="2" t="n">
        <v>4.76209475701375</v>
      </c>
      <c r="F337" s="2" t="s">
        <v>22353</v>
      </c>
      <c r="G337" s="2" t="n">
        <v>207833</v>
      </c>
      <c r="H337" s="3" t="str">
        <f>HYPERLINK("http://funmeta.oebiotech.com/network/207833", "http://funmeta.oebiotech.com/network/207833")</f>
      </c>
      <c r="I337" s="2" t="s">
        <v>22354</v>
      </c>
      <c r="J337" s="2"/>
      <c r="K337" s="2"/>
      <c r="L337" s="2"/>
      <c r="M337" s="2"/>
      <c r="N337" s="2" t="s">
        <v>22355</v>
      </c>
      <c r="O337" s="2"/>
      <c r="P337" s="2" t="s">
        <v>22356</v>
      </c>
      <c r="Q337" s="2" t="s">
        <v>22357</v>
      </c>
      <c r="R337" s="2" t="s">
        <v>1490</v>
      </c>
      <c r="S337" s="2" t="s">
        <v>4971</v>
      </c>
      <c r="T337" s="2" t="s">
        <v>5966</v>
      </c>
      <c r="U337" s="2" t="s">
        <v>18039</v>
      </c>
      <c r="V337" s="2" t="s">
        <v>15649</v>
      </c>
      <c r="W337" s="2"/>
    </row>
    <row r="338">
      <c r="A338" s="2" t="n">
        <v>229</v>
      </c>
      <c r="B338" s="2" t="s">
        <v>22358</v>
      </c>
      <c r="C338" s="2" t="s">
        <v>18038</v>
      </c>
      <c r="D338" s="2" t="n">
        <v>491.263944192</v>
      </c>
      <c r="E338" s="2" t="n">
        <v>4.76209475701375</v>
      </c>
      <c r="F338" s="2" t="s">
        <v>22359</v>
      </c>
      <c r="G338" s="2" t="n">
        <v>59553</v>
      </c>
      <c r="H338" s="3" t="str">
        <f>HYPERLINK("http://funmeta.oebiotech.com/network/59553", "http://funmeta.oebiotech.com/network/59553")</f>
      </c>
      <c r="I338" s="2" t="s">
        <v>22360</v>
      </c>
      <c r="J338" s="2" t="s">
        <v>22361</v>
      </c>
      <c r="K338" s="2"/>
      <c r="L338" s="2"/>
      <c r="M338" s="2"/>
      <c r="N338" s="2" t="s">
        <v>22362</v>
      </c>
      <c r="O338" s="2"/>
      <c r="P338" s="2" t="s">
        <v>22363</v>
      </c>
      <c r="Q338" s="2" t="s">
        <v>22364</v>
      </c>
      <c r="R338" s="2" t="s">
        <v>1490</v>
      </c>
      <c r="S338" s="2" t="s">
        <v>4971</v>
      </c>
      <c r="T338" s="2" t="s">
        <v>7445</v>
      </c>
      <c r="U338" s="2" t="s">
        <v>18039</v>
      </c>
      <c r="V338" s="2" t="s">
        <v>15649</v>
      </c>
      <c r="W338" s="2"/>
    </row>
    <row r="339">
      <c r="A339" s="2" t="n">
        <v>230</v>
      </c>
      <c r="B339" s="2" t="s">
        <v>12050</v>
      </c>
      <c r="C339" s="2" t="s">
        <v>18048</v>
      </c>
      <c r="D339" s="2" t="n">
        <v>492.251066741</v>
      </c>
      <c r="E339" s="2" t="n">
        <v>3.89095476937765</v>
      </c>
      <c r="F339" s="2" t="s">
        <v>18050</v>
      </c>
      <c r="G339" s="2" t="n">
        <v>64193</v>
      </c>
      <c r="H339" s="3" t="str">
        <f>HYPERLINK("http://funmeta.oebiotech.com/network/64193", "http://funmeta.oebiotech.com/network/64193")</f>
      </c>
      <c r="I339" s="2" t="s">
        <v>18052</v>
      </c>
      <c r="J339" s="2"/>
      <c r="K339" s="2"/>
      <c r="L339" s="2"/>
      <c r="M339" s="2"/>
      <c r="N339" s="2" t="s">
        <v>18053</v>
      </c>
      <c r="O339" s="2" t="s">
        <v>18054</v>
      </c>
      <c r="P339" s="2" t="s">
        <v>18055</v>
      </c>
      <c r="Q339" s="2" t="s">
        <v>18056</v>
      </c>
      <c r="R339" s="2" t="s">
        <v>1490</v>
      </c>
      <c r="S339" s="2" t="s">
        <v>4971</v>
      </c>
      <c r="T339" s="2" t="s">
        <v>5010</v>
      </c>
      <c r="U339" s="2" t="s">
        <v>18049</v>
      </c>
      <c r="V339" s="2" t="s">
        <v>15919</v>
      </c>
      <c r="W339" s="2"/>
    </row>
    <row r="340">
      <c r="A340" s="2" t="n">
        <v>231</v>
      </c>
      <c r="B340" s="2" t="s">
        <v>12071</v>
      </c>
      <c r="C340" s="2" t="s">
        <v>18057</v>
      </c>
      <c r="D340" s="2" t="n">
        <v>493.008639855</v>
      </c>
      <c r="E340" s="2" t="n">
        <v>0.580616922110091</v>
      </c>
      <c r="F340" s="2" t="s">
        <v>18059</v>
      </c>
      <c r="G340" s="2" t="n">
        <v>206851</v>
      </c>
      <c r="H340" s="3" t="str">
        <f>HYPERLINK("http://funmeta.oebiotech.com/network/206851", "http://funmeta.oebiotech.com/network/206851")</f>
      </c>
      <c r="I340" s="2" t="s">
        <v>18061</v>
      </c>
      <c r="J340" s="2" t="s">
        <v>18062</v>
      </c>
      <c r="K340" s="2"/>
      <c r="L340" s="2"/>
      <c r="M340" s="2"/>
      <c r="N340" s="2" t="s">
        <v>18063</v>
      </c>
      <c r="O340" s="2"/>
      <c r="P340" s="2" t="s">
        <v>18064</v>
      </c>
      <c r="Q340" s="2" t="s">
        <v>18065</v>
      </c>
      <c r="R340" s="2" t="s">
        <v>355</v>
      </c>
      <c r="S340" s="2" t="s">
        <v>5537</v>
      </c>
      <c r="T340" s="2" t="s">
        <v>5538</v>
      </c>
      <c r="U340" s="2" t="s">
        <v>18058</v>
      </c>
      <c r="V340" s="2" t="s">
        <v>15722</v>
      </c>
      <c r="W340" s="2"/>
    </row>
    <row r="341">
      <c r="A341" s="2" t="n">
        <v>232</v>
      </c>
      <c r="B341" s="2" t="s">
        <v>12072</v>
      </c>
      <c r="C341" s="2" t="s">
        <v>18066</v>
      </c>
      <c r="D341" s="2" t="n">
        <v>495.274703634</v>
      </c>
      <c r="E341" s="2" t="n">
        <v>4.20666020697069</v>
      </c>
      <c r="F341" s="2" t="s">
        <v>22365</v>
      </c>
      <c r="G341" s="2" t="n">
        <v>59789</v>
      </c>
      <c r="H341" s="3" t="str">
        <f>HYPERLINK("http://funmeta.oebiotech.com/network/59789", "http://funmeta.oebiotech.com/network/59789")</f>
      </c>
      <c r="I341" s="2" t="s">
        <v>22366</v>
      </c>
      <c r="J341" s="2" t="s">
        <v>22367</v>
      </c>
      <c r="K341" s="2"/>
      <c r="L341" s="2"/>
      <c r="M341" s="2"/>
      <c r="N341" s="2" t="s">
        <v>22368</v>
      </c>
      <c r="O341" s="2" t="s">
        <v>22369</v>
      </c>
      <c r="P341" s="2" t="s">
        <v>22370</v>
      </c>
      <c r="Q341" s="2" t="s">
        <v>22371</v>
      </c>
      <c r="R341" s="2" t="s">
        <v>1490</v>
      </c>
      <c r="S341" s="2" t="s">
        <v>4971</v>
      </c>
      <c r="T341" s="2" t="s">
        <v>7445</v>
      </c>
      <c r="U341" s="2" t="s">
        <v>18067</v>
      </c>
      <c r="V341" s="2" t="s">
        <v>15611</v>
      </c>
      <c r="W341" s="2"/>
    </row>
    <row r="342">
      <c r="A342" s="2" t="n">
        <v>232</v>
      </c>
      <c r="B342" s="2" t="s">
        <v>12082</v>
      </c>
      <c r="C342" s="2" t="s">
        <v>18066</v>
      </c>
      <c r="D342" s="2" t="n">
        <v>495.274703634</v>
      </c>
      <c r="E342" s="2" t="n">
        <v>4.20666020697069</v>
      </c>
      <c r="F342" s="2" t="s">
        <v>22372</v>
      </c>
      <c r="G342" s="2" t="n">
        <v>59863</v>
      </c>
      <c r="H342" s="3" t="str">
        <f>HYPERLINK("http://funmeta.oebiotech.com/network/59863", "http://funmeta.oebiotech.com/network/59863")</f>
      </c>
      <c r="I342" s="2" t="s">
        <v>22373</v>
      </c>
      <c r="J342" s="2"/>
      <c r="K342" s="2"/>
      <c r="L342" s="2"/>
      <c r="M342" s="2"/>
      <c r="N342" s="2" t="s">
        <v>22374</v>
      </c>
      <c r="O342" s="2" t="s">
        <v>22375</v>
      </c>
      <c r="P342" s="2" t="s">
        <v>22376</v>
      </c>
      <c r="Q342" s="2" t="s">
        <v>22377</v>
      </c>
      <c r="R342" s="2" t="s">
        <v>1490</v>
      </c>
      <c r="S342" s="2" t="s">
        <v>4971</v>
      </c>
      <c r="T342" s="2" t="s">
        <v>7445</v>
      </c>
      <c r="U342" s="2" t="s">
        <v>18067</v>
      </c>
      <c r="V342" s="2" t="s">
        <v>15611</v>
      </c>
      <c r="W342" s="2"/>
    </row>
    <row r="343">
      <c r="A343" s="2" t="n">
        <v>232</v>
      </c>
      <c r="B343" s="2" t="s">
        <v>12092</v>
      </c>
      <c r="C343" s="2" t="s">
        <v>18066</v>
      </c>
      <c r="D343" s="2" t="n">
        <v>495.274703634</v>
      </c>
      <c r="E343" s="2" t="n">
        <v>4.20666020697069</v>
      </c>
      <c r="F343" s="2" t="s">
        <v>22378</v>
      </c>
      <c r="G343" s="2" t="n">
        <v>60165</v>
      </c>
      <c r="H343" s="3" t="str">
        <f>HYPERLINK("http://funmeta.oebiotech.com/network/60165", "http://funmeta.oebiotech.com/network/60165")</f>
      </c>
      <c r="I343" s="2" t="s">
        <v>22379</v>
      </c>
      <c r="J343" s="2" t="s">
        <v>22380</v>
      </c>
      <c r="K343" s="2"/>
      <c r="L343" s="2"/>
      <c r="M343" s="2"/>
      <c r="N343" s="2" t="s">
        <v>22381</v>
      </c>
      <c r="O343" s="2" t="s">
        <v>22382</v>
      </c>
      <c r="P343" s="2" t="s">
        <v>22383</v>
      </c>
      <c r="Q343" s="2" t="s">
        <v>22384</v>
      </c>
      <c r="R343" s="2" t="s">
        <v>1490</v>
      </c>
      <c r="S343" s="2" t="s">
        <v>3546</v>
      </c>
      <c r="T343" s="2" t="s">
        <v>8600</v>
      </c>
      <c r="U343" s="2" t="s">
        <v>18067</v>
      </c>
      <c r="V343" s="2" t="s">
        <v>15611</v>
      </c>
      <c r="W343" s="2"/>
    </row>
    <row r="344">
      <c r="A344" s="2" t="n">
        <v>233</v>
      </c>
      <c r="B344" s="2" t="s">
        <v>12100</v>
      </c>
      <c r="C344" s="2" t="s">
        <v>18077</v>
      </c>
      <c r="D344" s="2" t="n">
        <v>496.063899067</v>
      </c>
      <c r="E344" s="2" t="n">
        <v>4.99584183695505</v>
      </c>
      <c r="F344" s="2" t="s">
        <v>22385</v>
      </c>
      <c r="G344" s="2" t="n">
        <v>198929</v>
      </c>
      <c r="H344" s="3" t="str">
        <f>HYPERLINK("http://funmeta.oebiotech.com/network/198929", "http://funmeta.oebiotech.com/network/198929")</f>
      </c>
      <c r="I344" s="2" t="s">
        <v>22386</v>
      </c>
      <c r="J344" s="2"/>
      <c r="K344" s="2"/>
      <c r="L344" s="2"/>
      <c r="M344" s="2"/>
      <c r="N344" s="2" t="s">
        <v>22387</v>
      </c>
      <c r="O344" s="2"/>
      <c r="P344" s="2" t="s">
        <v>22388</v>
      </c>
      <c r="Q344" s="2" t="s">
        <v>22389</v>
      </c>
      <c r="R344" s="2" t="s">
        <v>355</v>
      </c>
      <c r="S344" s="2" t="s">
        <v>5537</v>
      </c>
      <c r="T344" s="2" t="s">
        <v>5538</v>
      </c>
      <c r="U344" s="2" t="s">
        <v>18078</v>
      </c>
      <c r="V344" s="2" t="s">
        <v>15858</v>
      </c>
      <c r="W344" s="2"/>
    </row>
    <row r="345">
      <c r="A345" s="2" t="n">
        <v>233</v>
      </c>
      <c r="B345" s="2" t="s">
        <v>22390</v>
      </c>
      <c r="C345" s="2" t="s">
        <v>18077</v>
      </c>
      <c r="D345" s="2" t="n">
        <v>496.063899067</v>
      </c>
      <c r="E345" s="2" t="n">
        <v>4.99584183695505</v>
      </c>
      <c r="F345" s="2" t="s">
        <v>22391</v>
      </c>
      <c r="G345" s="2" t="n">
        <v>202864</v>
      </c>
      <c r="H345" s="3" t="str">
        <f>HYPERLINK("http://funmeta.oebiotech.com/network/202864", "http://funmeta.oebiotech.com/network/202864")</f>
      </c>
      <c r="I345" s="2" t="s">
        <v>22392</v>
      </c>
      <c r="J345" s="2" t="s">
        <v>22393</v>
      </c>
      <c r="K345" s="2"/>
      <c r="L345" s="2"/>
      <c r="M345" s="2" t="s">
        <v>22394</v>
      </c>
      <c r="N345" s="2" t="s">
        <v>22395</v>
      </c>
      <c r="O345" s="2"/>
      <c r="P345" s="2" t="s">
        <v>22396</v>
      </c>
      <c r="Q345" s="2" t="s">
        <v>22397</v>
      </c>
      <c r="R345" s="2" t="s">
        <v>355</v>
      </c>
      <c r="S345" s="2" t="s">
        <v>5537</v>
      </c>
      <c r="T345" s="2" t="s">
        <v>5538</v>
      </c>
      <c r="U345" s="2" t="s">
        <v>18078</v>
      </c>
      <c r="V345" s="2" t="s">
        <v>15858</v>
      </c>
      <c r="W345" s="2"/>
    </row>
    <row r="346">
      <c r="A346" s="2" t="n">
        <v>233</v>
      </c>
      <c r="B346" s="2" t="s">
        <v>22398</v>
      </c>
      <c r="C346" s="2" t="s">
        <v>18077</v>
      </c>
      <c r="D346" s="2" t="n">
        <v>496.063899067</v>
      </c>
      <c r="E346" s="2" t="n">
        <v>4.99584183695505</v>
      </c>
      <c r="F346" s="2" t="s">
        <v>22399</v>
      </c>
      <c r="G346" s="2" t="n">
        <v>198930</v>
      </c>
      <c r="H346" s="3" t="str">
        <f>HYPERLINK("http://funmeta.oebiotech.com/network/198930", "http://funmeta.oebiotech.com/network/198930")</f>
      </c>
      <c r="I346" s="2" t="s">
        <v>22400</v>
      </c>
      <c r="J346" s="2"/>
      <c r="K346" s="2"/>
      <c r="L346" s="2"/>
      <c r="M346" s="2"/>
      <c r="N346" s="2" t="s">
        <v>22401</v>
      </c>
      <c r="O346" s="2"/>
      <c r="P346" s="2" t="s">
        <v>22402</v>
      </c>
      <c r="Q346" s="2" t="s">
        <v>22403</v>
      </c>
      <c r="R346" s="2" t="s">
        <v>355</v>
      </c>
      <c r="S346" s="2" t="s">
        <v>5537</v>
      </c>
      <c r="T346" s="2" t="s">
        <v>5538</v>
      </c>
      <c r="U346" s="2" t="s">
        <v>18078</v>
      </c>
      <c r="V346" s="2" t="s">
        <v>15858</v>
      </c>
      <c r="W346" s="2"/>
    </row>
    <row r="347">
      <c r="A347" s="2" t="n">
        <v>234</v>
      </c>
      <c r="B347" s="2" t="s">
        <v>12101</v>
      </c>
      <c r="C347" s="2" t="s">
        <v>18089</v>
      </c>
      <c r="D347" s="2" t="n">
        <v>496.256033867</v>
      </c>
      <c r="E347" s="2" t="n">
        <v>0.250788854685519</v>
      </c>
      <c r="F347" s="2" t="s">
        <v>18091</v>
      </c>
      <c r="G347" s="2" t="n">
        <v>203041</v>
      </c>
      <c r="H347" s="3" t="str">
        <f>HYPERLINK("http://funmeta.oebiotech.com/network/203041", "http://funmeta.oebiotech.com/network/203041")</f>
      </c>
      <c r="I347" s="2" t="s">
        <v>18093</v>
      </c>
      <c r="J347" s="2"/>
      <c r="K347" s="2"/>
      <c r="L347" s="2"/>
      <c r="M347" s="2"/>
      <c r="N347" s="2" t="s">
        <v>18094</v>
      </c>
      <c r="O347" s="2"/>
      <c r="P347" s="2" t="s">
        <v>18095</v>
      </c>
      <c r="Q347" s="2" t="s">
        <v>18096</v>
      </c>
      <c r="R347" s="2" t="s">
        <v>49</v>
      </c>
      <c r="S347" s="2" t="s">
        <v>165</v>
      </c>
      <c r="T347" s="2" t="s">
        <v>166</v>
      </c>
      <c r="U347" s="2" t="s">
        <v>18090</v>
      </c>
      <c r="V347" s="2" t="s">
        <v>15611</v>
      </c>
      <c r="W347" s="2"/>
    </row>
    <row r="348">
      <c r="A348" s="2" t="n">
        <v>235</v>
      </c>
      <c r="B348" s="2" t="s">
        <v>12113</v>
      </c>
      <c r="C348" s="2" t="s">
        <v>18097</v>
      </c>
      <c r="D348" s="2" t="n">
        <v>496.339726997</v>
      </c>
      <c r="E348" s="2" t="n">
        <v>2.72533289212129</v>
      </c>
      <c r="F348" s="2" t="s">
        <v>22404</v>
      </c>
      <c r="G348" s="2" t="n">
        <v>8340</v>
      </c>
      <c r="H348" s="3" t="str">
        <f>HYPERLINK("http://funmeta.oebiotech.com/network/8340", "http://funmeta.oebiotech.com/network/8340")</f>
      </c>
      <c r="I348" s="2" t="s">
        <v>22405</v>
      </c>
      <c r="J348" s="2" t="s">
        <v>22406</v>
      </c>
      <c r="K348" s="2" t="s">
        <v>22407</v>
      </c>
      <c r="L348" s="2"/>
      <c r="M348" s="2" t="s">
        <v>22408</v>
      </c>
      <c r="N348" s="2" t="s">
        <v>22409</v>
      </c>
      <c r="O348" s="2"/>
      <c r="P348" s="2" t="s">
        <v>22410</v>
      </c>
      <c r="Q348" s="2" t="s">
        <v>22411</v>
      </c>
      <c r="R348" s="2" t="s">
        <v>1490</v>
      </c>
      <c r="S348" s="2" t="s">
        <v>1491</v>
      </c>
      <c r="T348" s="2" t="s">
        <v>3884</v>
      </c>
      <c r="U348" s="2" t="s">
        <v>18098</v>
      </c>
      <c r="V348" s="2" t="s">
        <v>15858</v>
      </c>
      <c r="W348" s="2"/>
    </row>
    <row r="349">
      <c r="A349" s="2" t="n">
        <v>235</v>
      </c>
      <c r="B349" s="2" t="s">
        <v>22412</v>
      </c>
      <c r="C349" s="2" t="s">
        <v>18097</v>
      </c>
      <c r="D349" s="2" t="n">
        <v>496.339726997</v>
      </c>
      <c r="E349" s="2" t="n">
        <v>2.72533289212129</v>
      </c>
      <c r="F349" s="2" t="s">
        <v>22413</v>
      </c>
      <c r="G349" s="2" t="n">
        <v>8343</v>
      </c>
      <c r="H349" s="3" t="str">
        <f>HYPERLINK("http://funmeta.oebiotech.com/network/8343", "http://funmeta.oebiotech.com/network/8343")</f>
      </c>
      <c r="I349" s="2" t="s">
        <v>22414</v>
      </c>
      <c r="J349" s="2" t="s">
        <v>22415</v>
      </c>
      <c r="K349" s="2" t="s">
        <v>22416</v>
      </c>
      <c r="L349" s="2"/>
      <c r="M349" s="2" t="s">
        <v>22417</v>
      </c>
      <c r="N349" s="2" t="s">
        <v>22418</v>
      </c>
      <c r="O349" s="2"/>
      <c r="P349" s="2" t="s">
        <v>22419</v>
      </c>
      <c r="Q349" s="2" t="s">
        <v>22420</v>
      </c>
      <c r="R349" s="2" t="s">
        <v>1490</v>
      </c>
      <c r="S349" s="2" t="s">
        <v>1491</v>
      </c>
      <c r="T349" s="2" t="s">
        <v>3884</v>
      </c>
      <c r="U349" s="2" t="s">
        <v>18098</v>
      </c>
      <c r="V349" s="2" t="s">
        <v>15858</v>
      </c>
      <c r="W349" s="2"/>
    </row>
    <row r="350">
      <c r="A350" s="2" t="n">
        <v>235</v>
      </c>
      <c r="B350" s="2" t="s">
        <v>22421</v>
      </c>
      <c r="C350" s="2" t="s">
        <v>18097</v>
      </c>
      <c r="D350" s="2" t="n">
        <v>496.339726997</v>
      </c>
      <c r="E350" s="2" t="n">
        <v>2.72533289212129</v>
      </c>
      <c r="F350" s="2" t="s">
        <v>22422</v>
      </c>
      <c r="G350" s="2" t="n">
        <v>55976</v>
      </c>
      <c r="H350" s="3" t="str">
        <f>HYPERLINK("http://funmeta.oebiotech.com/network/55976", "http://funmeta.oebiotech.com/network/55976")</f>
      </c>
      <c r="I350" s="2" t="s">
        <v>22423</v>
      </c>
      <c r="J350" s="2"/>
      <c r="K350" s="2"/>
      <c r="L350" s="2"/>
      <c r="M350" s="2"/>
      <c r="N350" s="2" t="s">
        <v>22424</v>
      </c>
      <c r="O350" s="2" t="s">
        <v>22425</v>
      </c>
      <c r="P350" s="2" t="s">
        <v>22426</v>
      </c>
      <c r="Q350" s="2" t="s">
        <v>22427</v>
      </c>
      <c r="R350" s="2" t="s">
        <v>1490</v>
      </c>
      <c r="S350" s="2" t="s">
        <v>3546</v>
      </c>
      <c r="T350" s="2" t="s">
        <v>22269</v>
      </c>
      <c r="U350" s="2" t="s">
        <v>18098</v>
      </c>
      <c r="V350" s="2" t="s">
        <v>15858</v>
      </c>
      <c r="W350" s="2"/>
    </row>
    <row r="351">
      <c r="A351" s="2" t="n">
        <v>236</v>
      </c>
      <c r="B351" s="2" t="s">
        <v>12114</v>
      </c>
      <c r="C351" s="2" t="s">
        <v>18111</v>
      </c>
      <c r="D351" s="2" t="n">
        <v>496.797324792</v>
      </c>
      <c r="E351" s="2" t="n">
        <v>1.06687401108923</v>
      </c>
      <c r="F351" s="2" t="s">
        <v>18113</v>
      </c>
      <c r="G351" s="2" t="n">
        <v>255174</v>
      </c>
      <c r="H351" s="3" t="str">
        <f>HYPERLINK("http://funmeta.oebiotech.com/network/255174", "http://funmeta.oebiotech.com/network/255174")</f>
      </c>
      <c r="I351" s="2" t="s">
        <v>18115</v>
      </c>
      <c r="J351" s="2"/>
      <c r="K351" s="2"/>
      <c r="L351" s="2"/>
      <c r="M351" s="2"/>
      <c r="N351" s="2" t="s">
        <v>18116</v>
      </c>
      <c r="O351" s="2"/>
      <c r="P351" s="2" t="s">
        <v>18117</v>
      </c>
      <c r="Q351" s="2" t="s">
        <v>18118</v>
      </c>
      <c r="R351" s="2" t="s">
        <v>638</v>
      </c>
      <c r="S351" s="2" t="s">
        <v>18119</v>
      </c>
      <c r="T351" s="2" t="s">
        <v>205</v>
      </c>
      <c r="U351" s="2" t="s">
        <v>18112</v>
      </c>
      <c r="V351" s="2" t="s">
        <v>15778</v>
      </c>
      <c r="W351" s="2"/>
    </row>
    <row r="352">
      <c r="A352" s="2" t="n">
        <v>237</v>
      </c>
      <c r="B352" s="2" t="s">
        <v>12132</v>
      </c>
      <c r="C352" s="2" t="s">
        <v>18120</v>
      </c>
      <c r="D352" s="2" t="n">
        <v>497.048069418</v>
      </c>
      <c r="E352" s="2" t="n">
        <v>1.16767985763521</v>
      </c>
      <c r="F352" s="2" t="s">
        <v>18122</v>
      </c>
      <c r="G352" s="2" t="n">
        <v>29116</v>
      </c>
      <c r="H352" s="3" t="str">
        <f>HYPERLINK("http://funmeta.oebiotech.com/network/29116", "http://funmeta.oebiotech.com/network/29116")</f>
      </c>
      <c r="I352" s="2" t="s">
        <v>18124</v>
      </c>
      <c r="J352" s="2" t="s">
        <v>18125</v>
      </c>
      <c r="K352" s="2" t="s">
        <v>18126</v>
      </c>
      <c r="L352" s="2" t="s">
        <v>18127</v>
      </c>
      <c r="M352" s="2" t="s">
        <v>18128</v>
      </c>
      <c r="N352" s="2" t="s">
        <v>18129</v>
      </c>
      <c r="O352" s="2" t="s">
        <v>18130</v>
      </c>
      <c r="P352" s="2" t="s">
        <v>18131</v>
      </c>
      <c r="Q352" s="2" t="s">
        <v>18132</v>
      </c>
      <c r="R352" s="2" t="s">
        <v>2509</v>
      </c>
      <c r="S352" s="2" t="s">
        <v>5520</v>
      </c>
      <c r="T352" s="2" t="s">
        <v>13396</v>
      </c>
      <c r="U352" s="2" t="s">
        <v>18121</v>
      </c>
      <c r="V352" s="2" t="s">
        <v>15919</v>
      </c>
      <c r="W352" s="2" t="s">
        <v>39</v>
      </c>
    </row>
    <row r="353">
      <c r="A353" s="2" t="n">
        <v>238</v>
      </c>
      <c r="B353" s="2" t="s">
        <v>12133</v>
      </c>
      <c r="C353" s="2" t="s">
        <v>18133</v>
      </c>
      <c r="D353" s="2" t="n">
        <v>497.14768829</v>
      </c>
      <c r="E353" s="2" t="n">
        <v>6.18285909022329</v>
      </c>
      <c r="F353" s="2" t="s">
        <v>22428</v>
      </c>
      <c r="G353" s="2" t="n">
        <v>62962</v>
      </c>
      <c r="H353" s="3" t="str">
        <f>HYPERLINK("http://funmeta.oebiotech.com/network/62962", "http://funmeta.oebiotech.com/network/62962")</f>
      </c>
      <c r="I353" s="2" t="s">
        <v>22429</v>
      </c>
      <c r="J353" s="2" t="s">
        <v>22430</v>
      </c>
      <c r="K353" s="2"/>
      <c r="L353" s="2"/>
      <c r="M353" s="2"/>
      <c r="N353" s="2" t="s">
        <v>22431</v>
      </c>
      <c r="O353" s="2" t="s">
        <v>22432</v>
      </c>
      <c r="P353" s="2" t="s">
        <v>22433</v>
      </c>
      <c r="Q353" s="2" t="s">
        <v>22434</v>
      </c>
      <c r="R353" s="2" t="s">
        <v>64</v>
      </c>
      <c r="S353" s="2" t="s">
        <v>65</v>
      </c>
      <c r="T353" s="2" t="s">
        <v>66</v>
      </c>
      <c r="U353" s="2" t="s">
        <v>18134</v>
      </c>
      <c r="V353" s="2" t="s">
        <v>15858</v>
      </c>
      <c r="W353" s="2"/>
    </row>
    <row r="354">
      <c r="A354" s="2" t="n">
        <v>238</v>
      </c>
      <c r="B354" s="2" t="s">
        <v>22435</v>
      </c>
      <c r="C354" s="2" t="s">
        <v>18133</v>
      </c>
      <c r="D354" s="2" t="n">
        <v>497.14768829</v>
      </c>
      <c r="E354" s="2" t="n">
        <v>6.18285909022329</v>
      </c>
      <c r="F354" s="2" t="s">
        <v>22436</v>
      </c>
      <c r="G354" s="2" t="n">
        <v>62206</v>
      </c>
      <c r="H354" s="3" t="str">
        <f>HYPERLINK("http://funmeta.oebiotech.com/network/62206", "http://funmeta.oebiotech.com/network/62206")</f>
      </c>
      <c r="I354" s="2" t="s">
        <v>22437</v>
      </c>
      <c r="J354" s="2" t="s">
        <v>22438</v>
      </c>
      <c r="K354" s="2"/>
      <c r="L354" s="2"/>
      <c r="M354" s="2"/>
      <c r="N354" s="2" t="s">
        <v>22439</v>
      </c>
      <c r="O354" s="2" t="s">
        <v>22440</v>
      </c>
      <c r="P354" s="2" t="s">
        <v>22441</v>
      </c>
      <c r="Q354" s="2" t="s">
        <v>22442</v>
      </c>
      <c r="R354" s="2" t="s">
        <v>64</v>
      </c>
      <c r="S354" s="2" t="s">
        <v>65</v>
      </c>
      <c r="T354" s="2" t="s">
        <v>66</v>
      </c>
      <c r="U354" s="2" t="s">
        <v>18134</v>
      </c>
      <c r="V354" s="2" t="s">
        <v>15858</v>
      </c>
      <c r="W354" s="2"/>
    </row>
    <row r="355">
      <c r="A355" s="2" t="n">
        <v>238</v>
      </c>
      <c r="B355" s="2" t="s">
        <v>22443</v>
      </c>
      <c r="C355" s="2" t="s">
        <v>18133</v>
      </c>
      <c r="D355" s="2" t="n">
        <v>497.14768829</v>
      </c>
      <c r="E355" s="2" t="n">
        <v>6.18285909022329</v>
      </c>
      <c r="F355" s="2" t="s">
        <v>22444</v>
      </c>
      <c r="G355" s="2" t="n">
        <v>63066</v>
      </c>
      <c r="H355" s="3" t="str">
        <f>HYPERLINK("http://funmeta.oebiotech.com/network/63066", "http://funmeta.oebiotech.com/network/63066")</f>
      </c>
      <c r="I355" s="2" t="s">
        <v>22445</v>
      </c>
      <c r="J355" s="2" t="s">
        <v>22446</v>
      </c>
      <c r="K355" s="2"/>
      <c r="L355" s="2"/>
      <c r="M355" s="2"/>
      <c r="N355" s="2" t="s">
        <v>22447</v>
      </c>
      <c r="O355" s="2"/>
      <c r="P355" s="2" t="s">
        <v>22448</v>
      </c>
      <c r="Q355" s="2" t="s">
        <v>22449</v>
      </c>
      <c r="R355" s="2" t="s">
        <v>64</v>
      </c>
      <c r="S355" s="2" t="s">
        <v>65</v>
      </c>
      <c r="T355" s="2" t="s">
        <v>66</v>
      </c>
      <c r="U355" s="2" t="s">
        <v>18134</v>
      </c>
      <c r="V355" s="2" t="s">
        <v>15858</v>
      </c>
      <c r="W355" s="2"/>
    </row>
    <row r="356">
      <c r="A356" s="2" t="n">
        <v>239</v>
      </c>
      <c r="B356" s="2" t="s">
        <v>12134</v>
      </c>
      <c r="C356" s="2" t="s">
        <v>18143</v>
      </c>
      <c r="D356" s="2" t="n">
        <v>497.253924787</v>
      </c>
      <c r="E356" s="2" t="n">
        <v>0.436148406450846</v>
      </c>
      <c r="F356" s="2" t="s">
        <v>18145</v>
      </c>
      <c r="G356" s="2" t="n">
        <v>213166</v>
      </c>
      <c r="H356" s="3" t="str">
        <f>HYPERLINK("http://funmeta.oebiotech.com/network/213166", "http://funmeta.oebiotech.com/network/213166")</f>
      </c>
      <c r="I356" s="2" t="s">
        <v>18147</v>
      </c>
      <c r="J356" s="2"/>
      <c r="K356" s="2"/>
      <c r="L356" s="2"/>
      <c r="M356" s="2"/>
      <c r="N356" s="2"/>
      <c r="O356" s="2"/>
      <c r="P356" s="2" t="s">
        <v>18148</v>
      </c>
      <c r="Q356" s="2" t="s">
        <v>18149</v>
      </c>
      <c r="R356" s="2" t="s">
        <v>502</v>
      </c>
      <c r="S356" s="2" t="s">
        <v>13862</v>
      </c>
      <c r="T356" s="2" t="s">
        <v>205</v>
      </c>
      <c r="U356" s="2" t="s">
        <v>18144</v>
      </c>
      <c r="V356" s="2" t="s">
        <v>15691</v>
      </c>
      <c r="W356" s="2"/>
    </row>
    <row r="357">
      <c r="A357" s="2" t="n">
        <v>240</v>
      </c>
      <c r="B357" s="2" t="s">
        <v>12135</v>
      </c>
      <c r="C357" s="2" t="s">
        <v>18150</v>
      </c>
      <c r="D357" s="2" t="n">
        <v>498.141219806</v>
      </c>
      <c r="E357" s="2" t="n">
        <v>0.0940896204892335</v>
      </c>
      <c r="F357" s="2" t="s">
        <v>18152</v>
      </c>
      <c r="G357" s="2" t="n">
        <v>205775</v>
      </c>
      <c r="H357" s="3" t="str">
        <f>HYPERLINK("http://funmeta.oebiotech.com/network/205775", "http://funmeta.oebiotech.com/network/205775")</f>
      </c>
      <c r="I357" s="2" t="s">
        <v>18154</v>
      </c>
      <c r="J357" s="2" t="s">
        <v>18155</v>
      </c>
      <c r="K357" s="2"/>
      <c r="L357" s="2"/>
      <c r="M357" s="2"/>
      <c r="N357" s="2" t="s">
        <v>18156</v>
      </c>
      <c r="O357" s="2" t="s">
        <v>18157</v>
      </c>
      <c r="P357" s="2" t="s">
        <v>18158</v>
      </c>
      <c r="Q357" s="2" t="s">
        <v>18159</v>
      </c>
      <c r="R357" s="2" t="s">
        <v>502</v>
      </c>
      <c r="S357" s="2" t="s">
        <v>503</v>
      </c>
      <c r="T357" s="2" t="s">
        <v>5166</v>
      </c>
      <c r="U357" s="2" t="s">
        <v>18151</v>
      </c>
      <c r="V357" s="2" t="s">
        <v>15919</v>
      </c>
      <c r="W357" s="2"/>
    </row>
    <row r="358">
      <c r="A358" s="2" t="n">
        <v>241</v>
      </c>
      <c r="B358" s="2" t="s">
        <v>12136</v>
      </c>
      <c r="C358" s="2" t="s">
        <v>18160</v>
      </c>
      <c r="D358" s="2" t="n">
        <v>498.285602671</v>
      </c>
      <c r="E358" s="2" t="n">
        <v>1.80020753446311</v>
      </c>
      <c r="F358" s="2" t="s">
        <v>18162</v>
      </c>
      <c r="G358" s="2" t="n">
        <v>52940</v>
      </c>
      <c r="H358" s="3" t="str">
        <f>HYPERLINK("http://funmeta.oebiotech.com/network/52940", "http://funmeta.oebiotech.com/network/52940")</f>
      </c>
      <c r="I358" s="2" t="s">
        <v>18164</v>
      </c>
      <c r="J358" s="2"/>
      <c r="K358" s="2"/>
      <c r="L358" s="2"/>
      <c r="M358" s="2" t="s">
        <v>18165</v>
      </c>
      <c r="N358" s="2"/>
      <c r="O358" s="2" t="s">
        <v>18166</v>
      </c>
      <c r="P358" s="2" t="s">
        <v>18167</v>
      </c>
      <c r="Q358" s="2" t="s">
        <v>18168</v>
      </c>
      <c r="R358" s="2" t="s">
        <v>502</v>
      </c>
      <c r="S358" s="2" t="s">
        <v>18169</v>
      </c>
      <c r="T358" s="2" t="s">
        <v>205</v>
      </c>
      <c r="U358" s="2" t="s">
        <v>18161</v>
      </c>
      <c r="V358" s="2" t="s">
        <v>15611</v>
      </c>
      <c r="W358" s="2"/>
    </row>
    <row r="359">
      <c r="A359" s="2" t="n">
        <v>242</v>
      </c>
      <c r="B359" s="2" t="s">
        <v>12137</v>
      </c>
      <c r="C359" s="2" t="s">
        <v>18170</v>
      </c>
      <c r="D359" s="2" t="n">
        <v>498.451685384</v>
      </c>
      <c r="E359" s="2" t="n">
        <v>3.69877522356693</v>
      </c>
      <c r="F359" s="2" t="s">
        <v>22450</v>
      </c>
      <c r="G359" s="2" t="n">
        <v>197504</v>
      </c>
      <c r="H359" s="3" t="str">
        <f>HYPERLINK("http://funmeta.oebiotech.com/network/197504", "http://funmeta.oebiotech.com/network/197504")</f>
      </c>
      <c r="I359" s="2" t="s">
        <v>22451</v>
      </c>
      <c r="J359" s="2"/>
      <c r="K359" s="2"/>
      <c r="L359" s="2"/>
      <c r="M359" s="2"/>
      <c r="N359" s="2"/>
      <c r="O359" s="2"/>
      <c r="P359" s="2" t="s">
        <v>22452</v>
      </c>
      <c r="Q359" s="2" t="s">
        <v>22453</v>
      </c>
      <c r="R359" s="2" t="s">
        <v>1490</v>
      </c>
      <c r="S359" s="2" t="s">
        <v>1491</v>
      </c>
      <c r="T359" s="2" t="s">
        <v>3884</v>
      </c>
      <c r="U359" s="2" t="s">
        <v>18171</v>
      </c>
      <c r="V359" s="2" t="s">
        <v>15649</v>
      </c>
      <c r="W359" s="2"/>
    </row>
    <row r="360">
      <c r="A360" s="2" t="n">
        <v>242</v>
      </c>
      <c r="B360" s="2" t="s">
        <v>22454</v>
      </c>
      <c r="C360" s="2" t="s">
        <v>18170</v>
      </c>
      <c r="D360" s="2" t="n">
        <v>498.451685384</v>
      </c>
      <c r="E360" s="2" t="n">
        <v>3.69877522356693</v>
      </c>
      <c r="F360" s="2" t="s">
        <v>22455</v>
      </c>
      <c r="G360" s="2" t="n">
        <v>197505</v>
      </c>
      <c r="H360" s="3" t="str">
        <f>HYPERLINK("http://funmeta.oebiotech.com/network/197505", "http://funmeta.oebiotech.com/network/197505")</f>
      </c>
      <c r="I360" s="2" t="s">
        <v>22456</v>
      </c>
      <c r="J360" s="2"/>
      <c r="K360" s="2"/>
      <c r="L360" s="2"/>
      <c r="M360" s="2"/>
      <c r="N360" s="2"/>
      <c r="O360" s="2"/>
      <c r="P360" s="2" t="s">
        <v>22457</v>
      </c>
      <c r="Q360" s="2" t="s">
        <v>22458</v>
      </c>
      <c r="R360" s="2" t="s">
        <v>1490</v>
      </c>
      <c r="S360" s="2" t="s">
        <v>1491</v>
      </c>
      <c r="T360" s="2" t="s">
        <v>3884</v>
      </c>
      <c r="U360" s="2" t="s">
        <v>18171</v>
      </c>
      <c r="V360" s="2" t="s">
        <v>15649</v>
      </c>
      <c r="W360" s="2"/>
    </row>
    <row r="361">
      <c r="A361" s="2" t="n">
        <v>242</v>
      </c>
      <c r="B361" s="2" t="s">
        <v>22459</v>
      </c>
      <c r="C361" s="2" t="s">
        <v>18170</v>
      </c>
      <c r="D361" s="2" t="n">
        <v>498.451685384</v>
      </c>
      <c r="E361" s="2" t="n">
        <v>3.69877522356693</v>
      </c>
      <c r="F361" s="2" t="s">
        <v>22460</v>
      </c>
      <c r="G361" s="2" t="n">
        <v>197506</v>
      </c>
      <c r="H361" s="3" t="str">
        <f>HYPERLINK("http://funmeta.oebiotech.com/network/197506", "http://funmeta.oebiotech.com/network/197506")</f>
      </c>
      <c r="I361" s="2" t="s">
        <v>22461</v>
      </c>
      <c r="J361" s="2"/>
      <c r="K361" s="2"/>
      <c r="L361" s="2"/>
      <c r="M361" s="2"/>
      <c r="N361" s="2"/>
      <c r="O361" s="2"/>
      <c r="P361" s="2" t="s">
        <v>22462</v>
      </c>
      <c r="Q361" s="2" t="s">
        <v>22463</v>
      </c>
      <c r="R361" s="2" t="s">
        <v>1490</v>
      </c>
      <c r="S361" s="2" t="s">
        <v>1491</v>
      </c>
      <c r="T361" s="2" t="s">
        <v>3884</v>
      </c>
      <c r="U361" s="2" t="s">
        <v>18171</v>
      </c>
      <c r="V361" s="2" t="s">
        <v>15649</v>
      </c>
      <c r="W361" s="2"/>
    </row>
    <row r="362">
      <c r="A362" s="2" t="n">
        <v>243</v>
      </c>
      <c r="B362" s="2" t="s">
        <v>12138</v>
      </c>
      <c r="C362" s="2" t="s">
        <v>18177</v>
      </c>
      <c r="D362" s="2" t="n">
        <v>498.860243</v>
      </c>
      <c r="E362" s="2" t="n">
        <v>0.806502894089605</v>
      </c>
      <c r="F362" s="2" t="s">
        <v>18179</v>
      </c>
      <c r="G362" s="2" t="n">
        <v>200905</v>
      </c>
      <c r="H362" s="3" t="str">
        <f>HYPERLINK("http://funmeta.oebiotech.com/network/200905", "http://funmeta.oebiotech.com/network/200905")</f>
      </c>
      <c r="I362" s="2" t="s">
        <v>18181</v>
      </c>
      <c r="J362" s="2"/>
      <c r="K362" s="2"/>
      <c r="L362" s="2"/>
      <c r="M362" s="2"/>
      <c r="N362" s="2" t="s">
        <v>18182</v>
      </c>
      <c r="O362" s="2"/>
      <c r="P362" s="2" t="s">
        <v>18183</v>
      </c>
      <c r="Q362" s="2" t="s">
        <v>18184</v>
      </c>
      <c r="R362" s="2" t="s">
        <v>502</v>
      </c>
      <c r="S362" s="2" t="s">
        <v>11956</v>
      </c>
      <c r="T362" s="2" t="s">
        <v>205</v>
      </c>
      <c r="U362" s="2" t="s">
        <v>18178</v>
      </c>
      <c r="V362" s="2" t="s">
        <v>17922</v>
      </c>
      <c r="W362" s="2"/>
    </row>
    <row r="363">
      <c r="A363" s="2" t="n">
        <v>244</v>
      </c>
      <c r="B363" s="2" t="s">
        <v>12139</v>
      </c>
      <c r="C363" s="2" t="s">
        <v>18185</v>
      </c>
      <c r="D363" s="2" t="n">
        <v>499.0516909</v>
      </c>
      <c r="E363" s="2" t="n">
        <v>3.16469174455735</v>
      </c>
      <c r="F363" s="2" t="s">
        <v>18187</v>
      </c>
      <c r="G363" s="2" t="n">
        <v>204923</v>
      </c>
      <c r="H363" s="3" t="str">
        <f>HYPERLINK("http://funmeta.oebiotech.com/network/204923", "http://funmeta.oebiotech.com/network/204923")</f>
      </c>
      <c r="I363" s="2" t="s">
        <v>18189</v>
      </c>
      <c r="J363" s="2"/>
      <c r="K363" s="2"/>
      <c r="L363" s="2"/>
      <c r="M363" s="2"/>
      <c r="N363" s="2" t="s">
        <v>18190</v>
      </c>
      <c r="O363" s="2"/>
      <c r="P363" s="2" t="s">
        <v>18191</v>
      </c>
      <c r="Q363" s="2" t="s">
        <v>18192</v>
      </c>
      <c r="R363" s="2" t="s">
        <v>1490</v>
      </c>
      <c r="S363" s="2" t="s">
        <v>1491</v>
      </c>
      <c r="T363" s="2" t="s">
        <v>6523</v>
      </c>
      <c r="U363" s="2" t="s">
        <v>18186</v>
      </c>
      <c r="V363" s="2" t="s">
        <v>15649</v>
      </c>
      <c r="W363" s="2"/>
    </row>
    <row r="364">
      <c r="A364" s="2" t="n">
        <v>245</v>
      </c>
      <c r="B364" s="2" t="s">
        <v>12140</v>
      </c>
      <c r="C364" s="2" t="s">
        <v>18193</v>
      </c>
      <c r="D364" s="2" t="n">
        <v>499.35480353</v>
      </c>
      <c r="E364" s="2" t="n">
        <v>9.7723495479095</v>
      </c>
      <c r="F364" s="2" t="s">
        <v>22464</v>
      </c>
      <c r="G364" s="2" t="n">
        <v>58520</v>
      </c>
      <c r="H364" s="3" t="str">
        <f>HYPERLINK("http://funmeta.oebiotech.com/network/58520", "http://funmeta.oebiotech.com/network/58520")</f>
      </c>
      <c r="I364" s="2" t="s">
        <v>22465</v>
      </c>
      <c r="J364" s="2" t="s">
        <v>22466</v>
      </c>
      <c r="K364" s="2"/>
      <c r="L364" s="2"/>
      <c r="M364" s="2" t="s">
        <v>22467</v>
      </c>
      <c r="N364" s="2" t="s">
        <v>22468</v>
      </c>
      <c r="O364" s="2" t="s">
        <v>22469</v>
      </c>
      <c r="P364" s="2" t="s">
        <v>22470</v>
      </c>
      <c r="Q364" s="2" t="s">
        <v>22471</v>
      </c>
      <c r="R364" s="2" t="s">
        <v>1490</v>
      </c>
      <c r="S364" s="2" t="s">
        <v>4971</v>
      </c>
      <c r="T364" s="2" t="s">
        <v>7445</v>
      </c>
      <c r="U364" s="2" t="s">
        <v>18194</v>
      </c>
      <c r="V364" s="2" t="s">
        <v>15919</v>
      </c>
      <c r="W364" s="2"/>
    </row>
    <row r="365">
      <c r="A365" s="2" t="n">
        <v>245</v>
      </c>
      <c r="B365" s="2" t="s">
        <v>22472</v>
      </c>
      <c r="C365" s="2" t="s">
        <v>18193</v>
      </c>
      <c r="D365" s="2" t="n">
        <v>499.35480353</v>
      </c>
      <c r="E365" s="2" t="n">
        <v>9.7723495479095</v>
      </c>
      <c r="F365" s="2" t="s">
        <v>22473</v>
      </c>
      <c r="G365" s="2" t="n">
        <v>59617</v>
      </c>
      <c r="H365" s="3" t="str">
        <f>HYPERLINK("http://funmeta.oebiotech.com/network/59617", "http://funmeta.oebiotech.com/network/59617")</f>
      </c>
      <c r="I365" s="2" t="s">
        <v>22474</v>
      </c>
      <c r="J365" s="2" t="s">
        <v>22475</v>
      </c>
      <c r="K365" s="2"/>
      <c r="L365" s="2"/>
      <c r="M365" s="2"/>
      <c r="N365" s="2" t="s">
        <v>22476</v>
      </c>
      <c r="O365" s="2"/>
      <c r="P365" s="2" t="s">
        <v>22477</v>
      </c>
      <c r="Q365" s="2" t="s">
        <v>22478</v>
      </c>
      <c r="R365" s="2" t="s">
        <v>1490</v>
      </c>
      <c r="S365" s="2" t="s">
        <v>4971</v>
      </c>
      <c r="T365" s="2" t="s">
        <v>7445</v>
      </c>
      <c r="U365" s="2" t="s">
        <v>18194</v>
      </c>
      <c r="V365" s="2" t="s">
        <v>15919</v>
      </c>
      <c r="W365" s="2"/>
    </row>
    <row r="366">
      <c r="A366" s="2" t="n">
        <v>245</v>
      </c>
      <c r="B366" s="2" t="s">
        <v>22479</v>
      </c>
      <c r="C366" s="2" t="s">
        <v>18193</v>
      </c>
      <c r="D366" s="2" t="n">
        <v>499.35480353</v>
      </c>
      <c r="E366" s="2" t="n">
        <v>9.7723495479095</v>
      </c>
      <c r="F366" s="2" t="s">
        <v>22480</v>
      </c>
      <c r="G366" s="2" t="n">
        <v>59638</v>
      </c>
      <c r="H366" s="3" t="str">
        <f>HYPERLINK("http://funmeta.oebiotech.com/network/59638", "http://funmeta.oebiotech.com/network/59638")</f>
      </c>
      <c r="I366" s="2" t="s">
        <v>22481</v>
      </c>
      <c r="J366" s="2"/>
      <c r="K366" s="2"/>
      <c r="L366" s="2"/>
      <c r="M366" s="2"/>
      <c r="N366" s="2" t="s">
        <v>22482</v>
      </c>
      <c r="O366" s="2" t="s">
        <v>22483</v>
      </c>
      <c r="P366" s="2" t="s">
        <v>22484</v>
      </c>
      <c r="Q366" s="2" t="s">
        <v>22485</v>
      </c>
      <c r="R366" s="2" t="s">
        <v>1490</v>
      </c>
      <c r="S366" s="2" t="s">
        <v>3546</v>
      </c>
      <c r="T366" s="2" t="s">
        <v>14271</v>
      </c>
      <c r="U366" s="2" t="s">
        <v>18194</v>
      </c>
      <c r="V366" s="2" t="s">
        <v>15919</v>
      </c>
      <c r="W366" s="2"/>
    </row>
    <row r="367">
      <c r="A367" s="2" t="n">
        <v>246</v>
      </c>
      <c r="B367" s="2" t="s">
        <v>12141</v>
      </c>
      <c r="C367" s="2" t="s">
        <v>18205</v>
      </c>
      <c r="D367" s="2" t="n">
        <v>500.248106616</v>
      </c>
      <c r="E367" s="2" t="n">
        <v>2.58479240835706</v>
      </c>
      <c r="F367" s="2" t="s">
        <v>18207</v>
      </c>
      <c r="G367" s="2" t="n">
        <v>213032</v>
      </c>
      <c r="H367" s="3" t="str">
        <f>HYPERLINK("http://funmeta.oebiotech.com/network/213032", "http://funmeta.oebiotech.com/network/213032")</f>
      </c>
      <c r="I367" s="2" t="s">
        <v>18209</v>
      </c>
      <c r="J367" s="2"/>
      <c r="K367" s="2"/>
      <c r="L367" s="2"/>
      <c r="M367" s="2"/>
      <c r="N367" s="2" t="s">
        <v>18210</v>
      </c>
      <c r="O367" s="2"/>
      <c r="P367" s="2" t="s">
        <v>18211</v>
      </c>
      <c r="Q367" s="2" t="s">
        <v>18212</v>
      </c>
      <c r="R367" s="2" t="s">
        <v>64</v>
      </c>
      <c r="S367" s="2" t="s">
        <v>65</v>
      </c>
      <c r="T367" s="2" t="s">
        <v>66</v>
      </c>
      <c r="U367" s="2" t="s">
        <v>18206</v>
      </c>
      <c r="V367" s="2" t="s">
        <v>15919</v>
      </c>
      <c r="W367" s="2"/>
    </row>
    <row r="368">
      <c r="A368" s="2" t="n">
        <v>247</v>
      </c>
      <c r="B368" s="2" t="s">
        <v>12142</v>
      </c>
      <c r="C368" s="2" t="s">
        <v>18213</v>
      </c>
      <c r="D368" s="2" t="n">
        <v>500.899659136</v>
      </c>
      <c r="E368" s="2" t="n">
        <v>9.48101883725351</v>
      </c>
      <c r="F368" s="2" t="s">
        <v>18215</v>
      </c>
      <c r="G368" s="2" t="n">
        <v>64290</v>
      </c>
      <c r="H368" s="3" t="str">
        <f>HYPERLINK("http://funmeta.oebiotech.com/network/64290", "http://funmeta.oebiotech.com/network/64290")</f>
      </c>
      <c r="I368" s="2" t="s">
        <v>18217</v>
      </c>
      <c r="J368" s="2" t="s">
        <v>18218</v>
      </c>
      <c r="K368" s="2"/>
      <c r="L368" s="2"/>
      <c r="M368" s="2"/>
      <c r="N368" s="2" t="s">
        <v>18219</v>
      </c>
      <c r="O368" s="2" t="s">
        <v>18220</v>
      </c>
      <c r="P368" s="2" t="s">
        <v>18221</v>
      </c>
      <c r="Q368" s="2" t="s">
        <v>18222</v>
      </c>
      <c r="R368" s="2" t="s">
        <v>638</v>
      </c>
      <c r="S368" s="2" t="s">
        <v>10772</v>
      </c>
      <c r="T368" s="2" t="s">
        <v>10773</v>
      </c>
      <c r="U368" s="2" t="s">
        <v>18214</v>
      </c>
      <c r="V368" s="2" t="s">
        <v>15778</v>
      </c>
      <c r="W368" s="2"/>
    </row>
    <row r="369">
      <c r="A369" s="2" t="n">
        <v>248</v>
      </c>
      <c r="B369" s="2" t="s">
        <v>12143</v>
      </c>
      <c r="C369" s="2" t="s">
        <v>18223</v>
      </c>
      <c r="D369" s="2" t="n">
        <v>501.0080835</v>
      </c>
      <c r="E369" s="2" t="n">
        <v>8.52726924783538</v>
      </c>
      <c r="F369" s="2" t="s">
        <v>18225</v>
      </c>
      <c r="G369" s="2" t="n">
        <v>211147</v>
      </c>
      <c r="H369" s="3" t="str">
        <f>HYPERLINK("http://funmeta.oebiotech.com/network/211147", "http://funmeta.oebiotech.com/network/211147")</f>
      </c>
      <c r="I369" s="2" t="s">
        <v>18227</v>
      </c>
      <c r="J369" s="2"/>
      <c r="K369" s="2"/>
      <c r="L369" s="2"/>
      <c r="M369" s="2" t="s">
        <v>18228</v>
      </c>
      <c r="N369" s="2" t="s">
        <v>18229</v>
      </c>
      <c r="O369" s="2"/>
      <c r="P369" s="2" t="s">
        <v>18230</v>
      </c>
      <c r="Q369" s="2" t="s">
        <v>18231</v>
      </c>
      <c r="R369" s="2" t="s">
        <v>2509</v>
      </c>
      <c r="S369" s="2" t="s">
        <v>4528</v>
      </c>
      <c r="T369" s="2" t="s">
        <v>10024</v>
      </c>
      <c r="U369" s="2" t="s">
        <v>18224</v>
      </c>
      <c r="V369" s="2" t="s">
        <v>15858</v>
      </c>
      <c r="W369" s="2"/>
    </row>
    <row r="370">
      <c r="A370" s="2" t="n">
        <v>249</v>
      </c>
      <c r="B370" s="2" t="s">
        <v>12163</v>
      </c>
      <c r="C370" s="2" t="s">
        <v>18232</v>
      </c>
      <c r="D370" s="2" t="n">
        <v>502.329317062</v>
      </c>
      <c r="E370" s="2" t="n">
        <v>0.202971862546609</v>
      </c>
      <c r="F370" s="2" t="s">
        <v>18234</v>
      </c>
      <c r="G370" s="2" t="n">
        <v>198136</v>
      </c>
      <c r="H370" s="3" t="str">
        <f>HYPERLINK("http://funmeta.oebiotech.com/network/198136", "http://funmeta.oebiotech.com/network/198136")</f>
      </c>
      <c r="I370" s="2" t="s">
        <v>18236</v>
      </c>
      <c r="J370" s="2"/>
      <c r="K370" s="2"/>
      <c r="L370" s="2"/>
      <c r="M370" s="2"/>
      <c r="N370" s="2"/>
      <c r="O370" s="2"/>
      <c r="P370" s="2" t="s">
        <v>18237</v>
      </c>
      <c r="Q370" s="2" t="s">
        <v>18238</v>
      </c>
      <c r="R370" s="2" t="s">
        <v>1490</v>
      </c>
      <c r="S370" s="2" t="s">
        <v>1491</v>
      </c>
      <c r="T370" s="2" t="s">
        <v>3884</v>
      </c>
      <c r="U370" s="2" t="s">
        <v>18233</v>
      </c>
      <c r="V370" s="2" t="s">
        <v>15919</v>
      </c>
      <c r="W370" s="2"/>
    </row>
    <row r="371">
      <c r="A371" s="2" t="n">
        <v>250</v>
      </c>
      <c r="B371" s="2" t="s">
        <v>12164</v>
      </c>
      <c r="C371" s="2" t="s">
        <v>18239</v>
      </c>
      <c r="D371" s="2" t="n">
        <v>502.995275421</v>
      </c>
      <c r="E371" s="2" t="n">
        <v>3.86916015407347</v>
      </c>
      <c r="F371" s="2" t="s">
        <v>22486</v>
      </c>
      <c r="G371" s="2" t="n">
        <v>205906</v>
      </c>
      <c r="H371" s="3" t="str">
        <f>HYPERLINK("http://funmeta.oebiotech.com/network/205906", "http://funmeta.oebiotech.com/network/205906")</f>
      </c>
      <c r="I371" s="2" t="s">
        <v>22487</v>
      </c>
      <c r="J371" s="2"/>
      <c r="K371" s="2"/>
      <c r="L371" s="2"/>
      <c r="M371" s="2"/>
      <c r="N371" s="2" t="s">
        <v>22488</v>
      </c>
      <c r="O371" s="2"/>
      <c r="P371" s="2" t="s">
        <v>22489</v>
      </c>
      <c r="Q371" s="2" t="s">
        <v>22490</v>
      </c>
      <c r="R371" s="2" t="s">
        <v>64</v>
      </c>
      <c r="S371" s="2" t="s">
        <v>65</v>
      </c>
      <c r="T371" s="2" t="s">
        <v>66</v>
      </c>
      <c r="U371" s="2" t="s">
        <v>18240</v>
      </c>
      <c r="V371" s="2" t="s">
        <v>15722</v>
      </c>
      <c r="W371" s="2"/>
    </row>
    <row r="372">
      <c r="A372" s="2" t="n">
        <v>250</v>
      </c>
      <c r="B372" s="2" t="s">
        <v>12173</v>
      </c>
      <c r="C372" s="2" t="s">
        <v>18239</v>
      </c>
      <c r="D372" s="2" t="n">
        <v>502.995275421</v>
      </c>
      <c r="E372" s="2" t="n">
        <v>3.86916015407347</v>
      </c>
      <c r="F372" s="2" t="s">
        <v>22491</v>
      </c>
      <c r="G372" s="2" t="n">
        <v>205907</v>
      </c>
      <c r="H372" s="3" t="str">
        <f>HYPERLINK("http://funmeta.oebiotech.com/network/205907", "http://funmeta.oebiotech.com/network/205907")</f>
      </c>
      <c r="I372" s="2" t="s">
        <v>22492</v>
      </c>
      <c r="J372" s="2"/>
      <c r="K372" s="2"/>
      <c r="L372" s="2"/>
      <c r="M372" s="2"/>
      <c r="N372" s="2" t="s">
        <v>22493</v>
      </c>
      <c r="O372" s="2"/>
      <c r="P372" s="2" t="s">
        <v>22494</v>
      </c>
      <c r="Q372" s="2" t="s">
        <v>22495</v>
      </c>
      <c r="R372" s="2" t="s">
        <v>64</v>
      </c>
      <c r="S372" s="2" t="s">
        <v>65</v>
      </c>
      <c r="T372" s="2" t="s">
        <v>66</v>
      </c>
      <c r="U372" s="2" t="s">
        <v>18240</v>
      </c>
      <c r="V372" s="2" t="s">
        <v>15722</v>
      </c>
      <c r="W372" s="2"/>
    </row>
    <row r="373">
      <c r="A373" s="2" t="n">
        <v>251</v>
      </c>
      <c r="B373" s="2" t="s">
        <v>12187</v>
      </c>
      <c r="C373" s="2" t="s">
        <v>18247</v>
      </c>
      <c r="D373" s="2" t="n">
        <v>503.264532878</v>
      </c>
      <c r="E373" s="2" t="n">
        <v>1.12747628123154</v>
      </c>
      <c r="F373" s="2" t="s">
        <v>22496</v>
      </c>
      <c r="G373" s="2" t="n">
        <v>82124</v>
      </c>
      <c r="H373" s="3" t="str">
        <f>HYPERLINK("http://funmeta.oebiotech.com/network/82124", "http://funmeta.oebiotech.com/network/82124")</f>
      </c>
      <c r="I373" s="2" t="s">
        <v>22497</v>
      </c>
      <c r="J373" s="2"/>
      <c r="K373" s="2"/>
      <c r="L373" s="2"/>
      <c r="M373" s="2"/>
      <c r="N373" s="2" t="s">
        <v>22498</v>
      </c>
      <c r="O373" s="2"/>
      <c r="P373" s="2" t="s">
        <v>22499</v>
      </c>
      <c r="Q373" s="2" t="s">
        <v>22500</v>
      </c>
      <c r="R373" s="2" t="s">
        <v>1490</v>
      </c>
      <c r="S373" s="2" t="s">
        <v>4971</v>
      </c>
      <c r="T373" s="2" t="s">
        <v>5010</v>
      </c>
      <c r="U373" s="2" t="s">
        <v>18248</v>
      </c>
      <c r="V373" s="2" t="s">
        <v>15611</v>
      </c>
      <c r="W373" s="2"/>
    </row>
    <row r="374">
      <c r="A374" s="2" t="n">
        <v>251</v>
      </c>
      <c r="B374" s="2" t="s">
        <v>22501</v>
      </c>
      <c r="C374" s="2" t="s">
        <v>18247</v>
      </c>
      <c r="D374" s="2" t="n">
        <v>503.264532878</v>
      </c>
      <c r="E374" s="2" t="n">
        <v>1.12747628123154</v>
      </c>
      <c r="F374" s="2" t="s">
        <v>22502</v>
      </c>
      <c r="G374" s="2" t="n">
        <v>54950</v>
      </c>
      <c r="H374" s="3" t="str">
        <f>HYPERLINK("http://funmeta.oebiotech.com/network/54950", "http://funmeta.oebiotech.com/network/54950")</f>
      </c>
      <c r="I374" s="2" t="s">
        <v>22503</v>
      </c>
      <c r="J374" s="2"/>
      <c r="K374" s="2"/>
      <c r="L374" s="2"/>
      <c r="M374" s="2"/>
      <c r="N374" s="2" t="s">
        <v>22504</v>
      </c>
      <c r="O374" s="2" t="s">
        <v>22505</v>
      </c>
      <c r="P374" s="2" t="s">
        <v>22506</v>
      </c>
      <c r="Q374" s="2" t="s">
        <v>22507</v>
      </c>
      <c r="R374" s="2" t="s">
        <v>1490</v>
      </c>
      <c r="S374" s="2" t="s">
        <v>3546</v>
      </c>
      <c r="T374" s="2" t="s">
        <v>8600</v>
      </c>
      <c r="U374" s="2" t="s">
        <v>18248</v>
      </c>
      <c r="V374" s="2" t="s">
        <v>15611</v>
      </c>
      <c r="W374" s="2"/>
    </row>
    <row r="375">
      <c r="A375" s="2" t="n">
        <v>252</v>
      </c>
      <c r="B375" s="2" t="s">
        <v>12188</v>
      </c>
      <c r="C375" s="2" t="s">
        <v>18257</v>
      </c>
      <c r="D375" s="2" t="n">
        <v>504.008695223</v>
      </c>
      <c r="E375" s="2" t="n">
        <v>9.59031895695383</v>
      </c>
      <c r="F375" s="2" t="s">
        <v>18259</v>
      </c>
      <c r="G375" s="2" t="n">
        <v>82643</v>
      </c>
      <c r="H375" s="3" t="str">
        <f>HYPERLINK("http://funmeta.oebiotech.com/network/82643", "http://funmeta.oebiotech.com/network/82643")</f>
      </c>
      <c r="I375" s="2" t="s">
        <v>18261</v>
      </c>
      <c r="J375" s="2"/>
      <c r="K375" s="2"/>
      <c r="L375" s="2"/>
      <c r="M375" s="2"/>
      <c r="N375" s="2" t="s">
        <v>18262</v>
      </c>
      <c r="O375" s="2"/>
      <c r="P375" s="2" t="s">
        <v>18263</v>
      </c>
      <c r="Q375" s="2" t="s">
        <v>18264</v>
      </c>
      <c r="R375" s="2" t="s">
        <v>2590</v>
      </c>
      <c r="S375" s="2" t="s">
        <v>6120</v>
      </c>
      <c r="T375" s="2" t="s">
        <v>7366</v>
      </c>
      <c r="U375" s="2" t="s">
        <v>18258</v>
      </c>
      <c r="V375" s="2" t="s">
        <v>15611</v>
      </c>
      <c r="W375" s="2"/>
    </row>
    <row r="376">
      <c r="A376" s="2" t="n">
        <v>253</v>
      </c>
      <c r="B376" s="2" t="s">
        <v>12219</v>
      </c>
      <c r="C376" s="2" t="s">
        <v>18265</v>
      </c>
      <c r="D376" s="2" t="n">
        <v>504.344967126</v>
      </c>
      <c r="E376" s="2" t="n">
        <v>1.12324940147687</v>
      </c>
      <c r="F376" s="2" t="s">
        <v>22508</v>
      </c>
      <c r="G376" s="2" t="n">
        <v>198135</v>
      </c>
      <c r="H376" s="3" t="str">
        <f>HYPERLINK("http://funmeta.oebiotech.com/network/198135", "http://funmeta.oebiotech.com/network/198135")</f>
      </c>
      <c r="I376" s="2" t="s">
        <v>22509</v>
      </c>
      <c r="J376" s="2"/>
      <c r="K376" s="2"/>
      <c r="L376" s="2"/>
      <c r="M376" s="2"/>
      <c r="N376" s="2"/>
      <c r="O376" s="2"/>
      <c r="P376" s="2" t="s">
        <v>22510</v>
      </c>
      <c r="Q376" s="2" t="s">
        <v>22511</v>
      </c>
      <c r="R376" s="2" t="s">
        <v>1490</v>
      </c>
      <c r="S376" s="2" t="s">
        <v>1491</v>
      </c>
      <c r="T376" s="2" t="s">
        <v>3884</v>
      </c>
      <c r="U376" s="2" t="s">
        <v>18266</v>
      </c>
      <c r="V376" s="2" t="s">
        <v>15919</v>
      </c>
      <c r="W376" s="2"/>
    </row>
    <row r="377">
      <c r="A377" s="2" t="n">
        <v>253</v>
      </c>
      <c r="B377" s="2" t="s">
        <v>12228</v>
      </c>
      <c r="C377" s="2" t="s">
        <v>18265</v>
      </c>
      <c r="D377" s="2" t="n">
        <v>504.344967126</v>
      </c>
      <c r="E377" s="2" t="n">
        <v>1.12324940147687</v>
      </c>
      <c r="F377" s="2" t="s">
        <v>22512</v>
      </c>
      <c r="G377" s="2" t="n">
        <v>198134</v>
      </c>
      <c r="H377" s="3" t="str">
        <f>HYPERLINK("http://funmeta.oebiotech.com/network/198134", "http://funmeta.oebiotech.com/network/198134")</f>
      </c>
      <c r="I377" s="2" t="s">
        <v>22513</v>
      </c>
      <c r="J377" s="2"/>
      <c r="K377" s="2"/>
      <c r="L377" s="2"/>
      <c r="M377" s="2"/>
      <c r="N377" s="2"/>
      <c r="O377" s="2"/>
      <c r="P377" s="2" t="s">
        <v>22514</v>
      </c>
      <c r="Q377" s="2" t="s">
        <v>22515</v>
      </c>
      <c r="R377" s="2" t="s">
        <v>1490</v>
      </c>
      <c r="S377" s="2" t="s">
        <v>1491</v>
      </c>
      <c r="T377" s="2" t="s">
        <v>3884</v>
      </c>
      <c r="U377" s="2" t="s">
        <v>18266</v>
      </c>
      <c r="V377" s="2" t="s">
        <v>15919</v>
      </c>
      <c r="W377" s="2"/>
    </row>
    <row r="378">
      <c r="A378" s="2" t="n">
        <v>254</v>
      </c>
      <c r="B378" s="2" t="s">
        <v>12237</v>
      </c>
      <c r="C378" s="2" t="s">
        <v>18272</v>
      </c>
      <c r="D378" s="2" t="n">
        <v>505.28093166</v>
      </c>
      <c r="E378" s="2" t="n">
        <v>4.37040424958608</v>
      </c>
      <c r="F378" s="2" t="s">
        <v>18274</v>
      </c>
      <c r="G378" s="2" t="n">
        <v>54308</v>
      </c>
      <c r="H378" s="3" t="str">
        <f>HYPERLINK("http://funmeta.oebiotech.com/network/54308", "http://funmeta.oebiotech.com/network/54308")</f>
      </c>
      <c r="I378" s="2" t="s">
        <v>18276</v>
      </c>
      <c r="J378" s="2"/>
      <c r="K378" s="2"/>
      <c r="L378" s="2"/>
      <c r="M378" s="2"/>
      <c r="N378" s="2" t="s">
        <v>18277</v>
      </c>
      <c r="O378" s="2" t="s">
        <v>18278</v>
      </c>
      <c r="P378" s="2" t="s">
        <v>18279</v>
      </c>
      <c r="Q378" s="2" t="s">
        <v>18280</v>
      </c>
      <c r="R378" s="2" t="s">
        <v>49</v>
      </c>
      <c r="S378" s="2" t="s">
        <v>165</v>
      </c>
      <c r="T378" s="2" t="s">
        <v>166</v>
      </c>
      <c r="U378" s="2" t="s">
        <v>18273</v>
      </c>
      <c r="V378" s="2" t="s">
        <v>15649</v>
      </c>
      <c r="W378" s="2"/>
    </row>
    <row r="379">
      <c r="A379" s="2" t="n">
        <v>255</v>
      </c>
      <c r="B379" s="2" t="s">
        <v>12250</v>
      </c>
      <c r="C379" s="2" t="s">
        <v>18281</v>
      </c>
      <c r="D379" s="2" t="n">
        <v>506.239795118</v>
      </c>
      <c r="E379" s="2" t="n">
        <v>2.83415311168593</v>
      </c>
      <c r="F379" s="2" t="s">
        <v>18283</v>
      </c>
      <c r="G379" s="2" t="n">
        <v>212627</v>
      </c>
      <c r="H379" s="3" t="str">
        <f>HYPERLINK("http://funmeta.oebiotech.com/network/212627", "http://funmeta.oebiotech.com/network/212627")</f>
      </c>
      <c r="I379" s="2" t="s">
        <v>18285</v>
      </c>
      <c r="J379" s="2"/>
      <c r="K379" s="2"/>
      <c r="L379" s="2"/>
      <c r="M379" s="2"/>
      <c r="N379" s="2" t="s">
        <v>18286</v>
      </c>
      <c r="O379" s="2"/>
      <c r="P379" s="2" t="s">
        <v>18287</v>
      </c>
      <c r="Q379" s="2" t="s">
        <v>18288</v>
      </c>
      <c r="R379" s="2" t="s">
        <v>49</v>
      </c>
      <c r="S379" s="2" t="s">
        <v>165</v>
      </c>
      <c r="T379" s="2" t="s">
        <v>166</v>
      </c>
      <c r="U379" s="2" t="s">
        <v>18282</v>
      </c>
      <c r="V379" s="2" t="s">
        <v>15649</v>
      </c>
      <c r="W379" s="2"/>
    </row>
    <row r="380">
      <c r="A380" s="2" t="n">
        <v>256</v>
      </c>
      <c r="B380" s="2" t="s">
        <v>12251</v>
      </c>
      <c r="C380" s="2" t="s">
        <v>18289</v>
      </c>
      <c r="D380" s="2" t="n">
        <v>506.283826417</v>
      </c>
      <c r="E380" s="2" t="n">
        <v>1.21665872444671</v>
      </c>
      <c r="F380" s="2" t="s">
        <v>18291</v>
      </c>
      <c r="G380" s="2" t="n">
        <v>211086</v>
      </c>
      <c r="H380" s="3" t="str">
        <f>HYPERLINK("http://funmeta.oebiotech.com/network/211086", "http://funmeta.oebiotech.com/network/211086")</f>
      </c>
      <c r="I380" s="2" t="s">
        <v>18293</v>
      </c>
      <c r="J380" s="2" t="s">
        <v>18294</v>
      </c>
      <c r="K380" s="2"/>
      <c r="L380" s="2"/>
      <c r="M380" s="2"/>
      <c r="N380" s="2" t="s">
        <v>18295</v>
      </c>
      <c r="O380" s="2"/>
      <c r="P380" s="2" t="s">
        <v>18296</v>
      </c>
      <c r="Q380" s="2" t="s">
        <v>18297</v>
      </c>
      <c r="R380" s="2" t="s">
        <v>502</v>
      </c>
      <c r="S380" s="2" t="s">
        <v>503</v>
      </c>
      <c r="T380" s="2" t="s">
        <v>5166</v>
      </c>
      <c r="U380" s="2" t="s">
        <v>18290</v>
      </c>
      <c r="V380" s="2" t="s">
        <v>15649</v>
      </c>
      <c r="W380" s="2"/>
    </row>
    <row r="381">
      <c r="A381" s="2" t="n">
        <v>257</v>
      </c>
      <c r="B381" s="2" t="s">
        <v>12252</v>
      </c>
      <c r="C381" s="2" t="s">
        <v>18298</v>
      </c>
      <c r="D381" s="2" t="n">
        <v>506.777301282</v>
      </c>
      <c r="E381" s="2" t="n">
        <v>8.37326083072189</v>
      </c>
      <c r="F381" s="2" t="s">
        <v>18300</v>
      </c>
      <c r="G381" s="2" t="n">
        <v>82270</v>
      </c>
      <c r="H381" s="3" t="str">
        <f>HYPERLINK("http://funmeta.oebiotech.com/network/82270", "http://funmeta.oebiotech.com/network/82270")</f>
      </c>
      <c r="I381" s="2" t="s">
        <v>18302</v>
      </c>
      <c r="J381" s="2" t="s">
        <v>18303</v>
      </c>
      <c r="K381" s="2"/>
      <c r="L381" s="2" t="s">
        <v>18304</v>
      </c>
      <c r="M381" s="2"/>
      <c r="N381" s="2" t="s">
        <v>18305</v>
      </c>
      <c r="O381" s="2"/>
      <c r="P381" s="2" t="s">
        <v>18306</v>
      </c>
      <c r="Q381" s="2" t="s">
        <v>18307</v>
      </c>
      <c r="R381" s="2" t="s">
        <v>1490</v>
      </c>
      <c r="S381" s="2" t="s">
        <v>1491</v>
      </c>
      <c r="T381" s="2" t="s">
        <v>1492</v>
      </c>
      <c r="U381" s="2" t="s">
        <v>18299</v>
      </c>
      <c r="V381" s="2" t="s">
        <v>17922</v>
      </c>
      <c r="W381" s="2" t="s">
        <v>39</v>
      </c>
    </row>
    <row r="382">
      <c r="A382" s="2" t="n">
        <v>258</v>
      </c>
      <c r="B382" s="2" t="s">
        <v>12253</v>
      </c>
      <c r="C382" s="2" t="s">
        <v>18308</v>
      </c>
      <c r="D382" s="2" t="n">
        <v>507.032419354</v>
      </c>
      <c r="E382" s="2" t="n">
        <v>1.77789742717785</v>
      </c>
      <c r="F382" s="2" t="s">
        <v>18310</v>
      </c>
      <c r="G382" s="2" t="n">
        <v>53246</v>
      </c>
      <c r="H382" s="3" t="str">
        <f>HYPERLINK("http://funmeta.oebiotech.com/network/53246", "http://funmeta.oebiotech.com/network/53246")</f>
      </c>
      <c r="I382" s="2" t="s">
        <v>18312</v>
      </c>
      <c r="J382" s="2"/>
      <c r="K382" s="2"/>
      <c r="L382" s="2" t="s">
        <v>18313</v>
      </c>
      <c r="M382" s="2" t="s">
        <v>18314</v>
      </c>
      <c r="N382" s="2" t="s">
        <v>18315</v>
      </c>
      <c r="O382" s="2" t="s">
        <v>18316</v>
      </c>
      <c r="P382" s="2" t="s">
        <v>18317</v>
      </c>
      <c r="Q382" s="2" t="s">
        <v>18318</v>
      </c>
      <c r="R382" s="2" t="s">
        <v>355</v>
      </c>
      <c r="S382" s="2" t="s">
        <v>5537</v>
      </c>
      <c r="T382" s="2" t="s">
        <v>5538</v>
      </c>
      <c r="U382" s="2" t="s">
        <v>18309</v>
      </c>
      <c r="V382" s="2" t="s">
        <v>15919</v>
      </c>
      <c r="W382" s="2" t="s">
        <v>39</v>
      </c>
    </row>
    <row r="383">
      <c r="A383" s="2" t="n">
        <v>259</v>
      </c>
      <c r="B383" s="2" t="s">
        <v>12266</v>
      </c>
      <c r="C383" s="2" t="s">
        <v>18319</v>
      </c>
      <c r="D383" s="2" t="n">
        <v>507.07693126</v>
      </c>
      <c r="E383" s="2" t="n">
        <v>2.96654211152621</v>
      </c>
      <c r="F383" s="2" t="s">
        <v>18321</v>
      </c>
      <c r="G383" s="2" t="n">
        <v>206024</v>
      </c>
      <c r="H383" s="3" t="str">
        <f>HYPERLINK("http://funmeta.oebiotech.com/network/206024", "http://funmeta.oebiotech.com/network/206024")</f>
      </c>
      <c r="I383" s="2" t="s">
        <v>18323</v>
      </c>
      <c r="J383" s="2"/>
      <c r="K383" s="2"/>
      <c r="L383" s="2"/>
      <c r="M383" s="2"/>
      <c r="N383" s="2" t="s">
        <v>18324</v>
      </c>
      <c r="O383" s="2"/>
      <c r="P383" s="2" t="s">
        <v>18325</v>
      </c>
      <c r="Q383" s="2" t="s">
        <v>18326</v>
      </c>
      <c r="R383" s="2" t="s">
        <v>2509</v>
      </c>
      <c r="S383" s="2" t="s">
        <v>4949</v>
      </c>
      <c r="T383" s="2" t="s">
        <v>4950</v>
      </c>
      <c r="U383" s="2" t="s">
        <v>18320</v>
      </c>
      <c r="V383" s="2" t="s">
        <v>15649</v>
      </c>
      <c r="W383" s="2"/>
    </row>
    <row r="384">
      <c r="A384" s="2" t="n">
        <v>260</v>
      </c>
      <c r="B384" s="2" t="s">
        <v>12267</v>
      </c>
      <c r="C384" s="2" t="s">
        <v>18327</v>
      </c>
      <c r="D384" s="2" t="n">
        <v>507.254259738</v>
      </c>
      <c r="E384" s="2" t="n">
        <v>1.73318400631922</v>
      </c>
      <c r="F384" s="2" t="s">
        <v>18329</v>
      </c>
      <c r="G384" s="2" t="n">
        <v>202871</v>
      </c>
      <c r="H384" s="3" t="str">
        <f>HYPERLINK("http://funmeta.oebiotech.com/network/202871", "http://funmeta.oebiotech.com/network/202871")</f>
      </c>
      <c r="I384" s="2" t="s">
        <v>18331</v>
      </c>
      <c r="J384" s="2"/>
      <c r="K384" s="2"/>
      <c r="L384" s="2"/>
      <c r="M384" s="2"/>
      <c r="N384" s="2" t="s">
        <v>18332</v>
      </c>
      <c r="O384" s="2"/>
      <c r="P384" s="2" t="s">
        <v>18333</v>
      </c>
      <c r="Q384" s="2" t="s">
        <v>18334</v>
      </c>
      <c r="R384" s="2" t="s">
        <v>502</v>
      </c>
      <c r="S384" s="2" t="s">
        <v>503</v>
      </c>
      <c r="T384" s="2" t="s">
        <v>1964</v>
      </c>
      <c r="U384" s="2" t="s">
        <v>18328</v>
      </c>
      <c r="V384" s="2" t="s">
        <v>15611</v>
      </c>
      <c r="W384" s="2"/>
    </row>
    <row r="385">
      <c r="A385" s="2" t="n">
        <v>261</v>
      </c>
      <c r="B385" s="2" t="s">
        <v>12268</v>
      </c>
      <c r="C385" s="2" t="s">
        <v>18335</v>
      </c>
      <c r="D385" s="2" t="n">
        <v>507.456631164</v>
      </c>
      <c r="E385" s="2" t="n">
        <v>3.7666291774785</v>
      </c>
      <c r="F385" s="2" t="s">
        <v>22516</v>
      </c>
      <c r="G385" s="2" t="n">
        <v>37418</v>
      </c>
      <c r="H385" s="3" t="str">
        <f>HYPERLINK("http://funmeta.oebiotech.com/network/37418", "http://funmeta.oebiotech.com/network/37418")</f>
      </c>
      <c r="I385" s="2" t="s">
        <v>22517</v>
      </c>
      <c r="J385" s="2" t="s">
        <v>22518</v>
      </c>
      <c r="K385" s="2" t="s">
        <v>22519</v>
      </c>
      <c r="L385" s="2" t="s">
        <v>22520</v>
      </c>
      <c r="M385" s="2" t="s">
        <v>22521</v>
      </c>
      <c r="N385" s="2" t="s">
        <v>22522</v>
      </c>
      <c r="O385" s="2" t="s">
        <v>22523</v>
      </c>
      <c r="P385" s="2" t="s">
        <v>22524</v>
      </c>
      <c r="Q385" s="2" t="s">
        <v>22525</v>
      </c>
      <c r="R385" s="2" t="s">
        <v>1490</v>
      </c>
      <c r="S385" s="2" t="s">
        <v>1491</v>
      </c>
      <c r="T385" s="2" t="s">
        <v>3884</v>
      </c>
      <c r="U385" s="2" t="s">
        <v>18336</v>
      </c>
      <c r="V385" s="2" t="s">
        <v>15611</v>
      </c>
      <c r="W385" s="2" t="s">
        <v>39</v>
      </c>
    </row>
    <row r="386">
      <c r="A386" s="2" t="n">
        <v>261</v>
      </c>
      <c r="B386" s="2" t="s">
        <v>22526</v>
      </c>
      <c r="C386" s="2" t="s">
        <v>18335</v>
      </c>
      <c r="D386" s="2" t="n">
        <v>507.456631164</v>
      </c>
      <c r="E386" s="2" t="n">
        <v>3.7666291774785</v>
      </c>
      <c r="F386" s="2" t="s">
        <v>22527</v>
      </c>
      <c r="G386" s="2" t="n">
        <v>37379</v>
      </c>
      <c r="H386" s="3" t="str">
        <f>HYPERLINK("http://funmeta.oebiotech.com/network/37379", "http://funmeta.oebiotech.com/network/37379")</f>
      </c>
      <c r="I386" s="2" t="s">
        <v>22528</v>
      </c>
      <c r="J386" s="2" t="s">
        <v>22529</v>
      </c>
      <c r="K386" s="2" t="s">
        <v>22530</v>
      </c>
      <c r="L386" s="2" t="s">
        <v>22531</v>
      </c>
      <c r="M386" s="2" t="s">
        <v>22532</v>
      </c>
      <c r="N386" s="2" t="s">
        <v>22533</v>
      </c>
      <c r="O386" s="2" t="s">
        <v>22534</v>
      </c>
      <c r="P386" s="2" t="s">
        <v>22535</v>
      </c>
      <c r="Q386" s="2" t="s">
        <v>22536</v>
      </c>
      <c r="R386" s="2" t="s">
        <v>1490</v>
      </c>
      <c r="S386" s="2" t="s">
        <v>1491</v>
      </c>
      <c r="T386" s="2" t="s">
        <v>3884</v>
      </c>
      <c r="U386" s="2" t="s">
        <v>18336</v>
      </c>
      <c r="V386" s="2" t="s">
        <v>15611</v>
      </c>
      <c r="W386" s="2" t="s">
        <v>39</v>
      </c>
    </row>
    <row r="387">
      <c r="A387" s="2" t="n">
        <v>262</v>
      </c>
      <c r="B387" s="2" t="s">
        <v>12269</v>
      </c>
      <c r="C387" s="2" t="s">
        <v>18348</v>
      </c>
      <c r="D387" s="2" t="n">
        <v>510.270303128</v>
      </c>
      <c r="E387" s="2" t="n">
        <v>0.121563064795777</v>
      </c>
      <c r="F387" s="2" t="s">
        <v>18350</v>
      </c>
      <c r="G387" s="2" t="n">
        <v>198521</v>
      </c>
      <c r="H387" s="3" t="str">
        <f>HYPERLINK("http://funmeta.oebiotech.com/network/198521", "http://funmeta.oebiotech.com/network/198521")</f>
      </c>
      <c r="I387" s="2" t="s">
        <v>18352</v>
      </c>
      <c r="J387" s="2"/>
      <c r="K387" s="2"/>
      <c r="L387" s="2"/>
      <c r="M387" s="2"/>
      <c r="N387" s="2"/>
      <c r="O387" s="2"/>
      <c r="P387" s="2" t="s">
        <v>18353</v>
      </c>
      <c r="Q387" s="2" t="s">
        <v>18354</v>
      </c>
      <c r="R387" s="2" t="s">
        <v>49</v>
      </c>
      <c r="S387" s="2" t="s">
        <v>165</v>
      </c>
      <c r="T387" s="2" t="s">
        <v>166</v>
      </c>
      <c r="U387" s="2" t="s">
        <v>18349</v>
      </c>
      <c r="V387" s="2" t="s">
        <v>15691</v>
      </c>
      <c r="W387" s="2"/>
    </row>
    <row r="388">
      <c r="A388" s="2" t="n">
        <v>263</v>
      </c>
      <c r="B388" s="2" t="s">
        <v>12270</v>
      </c>
      <c r="C388" s="2" t="s">
        <v>18355</v>
      </c>
      <c r="D388" s="2" t="n">
        <v>510.790379424</v>
      </c>
      <c r="E388" s="2" t="n">
        <v>6.93139817281963</v>
      </c>
      <c r="F388" s="2" t="s">
        <v>18357</v>
      </c>
      <c r="G388" s="2" t="n">
        <v>208003</v>
      </c>
      <c r="H388" s="3" t="str">
        <f>HYPERLINK("http://funmeta.oebiotech.com/network/208003", "http://funmeta.oebiotech.com/network/208003")</f>
      </c>
      <c r="I388" s="2" t="s">
        <v>18359</v>
      </c>
      <c r="J388" s="2"/>
      <c r="K388" s="2"/>
      <c r="L388" s="2"/>
      <c r="M388" s="2"/>
      <c r="N388" s="2" t="s">
        <v>18360</v>
      </c>
      <c r="O388" s="2"/>
      <c r="P388" s="2" t="s">
        <v>18361</v>
      </c>
      <c r="Q388" s="2" t="s">
        <v>18362</v>
      </c>
      <c r="R388" s="2" t="s">
        <v>36</v>
      </c>
      <c r="S388" s="2" t="s">
        <v>37</v>
      </c>
      <c r="T388" s="2" t="s">
        <v>18363</v>
      </c>
      <c r="U388" s="2" t="s">
        <v>18356</v>
      </c>
      <c r="V388" s="2" t="s">
        <v>17922</v>
      </c>
      <c r="W388" s="2"/>
    </row>
    <row r="389">
      <c r="A389" s="2" t="n">
        <v>264</v>
      </c>
      <c r="B389" s="2" t="s">
        <v>12271</v>
      </c>
      <c r="C389" s="2" t="s">
        <v>18364</v>
      </c>
      <c r="D389" s="2" t="n">
        <v>510.85862824</v>
      </c>
      <c r="E389" s="2" t="n">
        <v>2.8720933909537</v>
      </c>
      <c r="F389" s="2" t="s">
        <v>18366</v>
      </c>
      <c r="G389" s="2" t="n">
        <v>212588</v>
      </c>
      <c r="H389" s="3" t="str">
        <f>HYPERLINK("http://funmeta.oebiotech.com/network/212588", "http://funmeta.oebiotech.com/network/212588")</f>
      </c>
      <c r="I389" s="2" t="s">
        <v>18368</v>
      </c>
      <c r="J389" s="2" t="s">
        <v>18369</v>
      </c>
      <c r="K389" s="2"/>
      <c r="L389" s="2" t="s">
        <v>18370</v>
      </c>
      <c r="M389" s="2" t="s">
        <v>18371</v>
      </c>
      <c r="N389" s="2" t="s">
        <v>18372</v>
      </c>
      <c r="O389" s="2" t="s">
        <v>18373</v>
      </c>
      <c r="P389" s="2" t="s">
        <v>18374</v>
      </c>
      <c r="Q389" s="2" t="s">
        <v>18375</v>
      </c>
      <c r="R389" s="2" t="s">
        <v>355</v>
      </c>
      <c r="S389" s="2" t="s">
        <v>1316</v>
      </c>
      <c r="T389" s="2" t="s">
        <v>1432</v>
      </c>
      <c r="U389" s="2" t="s">
        <v>18365</v>
      </c>
      <c r="V389" s="2" t="s">
        <v>15778</v>
      </c>
      <c r="W389" s="2" t="s">
        <v>39</v>
      </c>
    </row>
    <row r="390">
      <c r="A390" s="2" t="n">
        <v>265</v>
      </c>
      <c r="B390" s="2" t="s">
        <v>12272</v>
      </c>
      <c r="C390" s="2" t="s">
        <v>18376</v>
      </c>
      <c r="D390" s="2" t="n">
        <v>511.058526</v>
      </c>
      <c r="E390" s="2" t="n">
        <v>1.16157146746186</v>
      </c>
      <c r="F390" s="2" t="s">
        <v>18378</v>
      </c>
      <c r="G390" s="2" t="n">
        <v>207675</v>
      </c>
      <c r="H390" s="3" t="str">
        <f>HYPERLINK("http://funmeta.oebiotech.com/network/207675", "http://funmeta.oebiotech.com/network/207675")</f>
      </c>
      <c r="I390" s="2" t="s">
        <v>18380</v>
      </c>
      <c r="J390" s="2"/>
      <c r="K390" s="2"/>
      <c r="L390" s="2"/>
      <c r="M390" s="2" t="s">
        <v>18381</v>
      </c>
      <c r="N390" s="2" t="s">
        <v>18382</v>
      </c>
      <c r="O390" s="2"/>
      <c r="P390" s="2" t="s">
        <v>18383</v>
      </c>
      <c r="Q390" s="2" t="s">
        <v>18384</v>
      </c>
      <c r="R390" s="2" t="s">
        <v>2590</v>
      </c>
      <c r="S390" s="2" t="s">
        <v>3279</v>
      </c>
      <c r="T390" s="2" t="s">
        <v>205</v>
      </c>
      <c r="U390" s="2" t="s">
        <v>18377</v>
      </c>
      <c r="V390" s="2" t="s">
        <v>15649</v>
      </c>
      <c r="W390" s="2"/>
    </row>
    <row r="391">
      <c r="A391" s="2" t="n">
        <v>266</v>
      </c>
      <c r="B391" s="2" t="s">
        <v>12285</v>
      </c>
      <c r="C391" s="2" t="s">
        <v>18385</v>
      </c>
      <c r="D391" s="2" t="n">
        <v>511.165544156</v>
      </c>
      <c r="E391" s="2" t="n">
        <v>2.16276030821693</v>
      </c>
      <c r="F391" s="2" t="s">
        <v>18387</v>
      </c>
      <c r="G391" s="2" t="n">
        <v>46835</v>
      </c>
      <c r="H391" s="3" t="str">
        <f>HYPERLINK("http://funmeta.oebiotech.com/network/46835", "http://funmeta.oebiotech.com/network/46835")</f>
      </c>
      <c r="I391" s="2" t="s">
        <v>18389</v>
      </c>
      <c r="J391" s="2" t="s">
        <v>18390</v>
      </c>
      <c r="K391" s="2"/>
      <c r="L391" s="2" t="s">
        <v>18391</v>
      </c>
      <c r="M391" s="2" t="s">
        <v>18392</v>
      </c>
      <c r="N391" s="2" t="s">
        <v>18393</v>
      </c>
      <c r="O391" s="2" t="s">
        <v>18394</v>
      </c>
      <c r="P391" s="2" t="s">
        <v>18395</v>
      </c>
      <c r="Q391" s="2" t="s">
        <v>18396</v>
      </c>
      <c r="R391" s="2" t="s">
        <v>355</v>
      </c>
      <c r="S391" s="2" t="s">
        <v>18397</v>
      </c>
      <c r="T391" s="2" t="s">
        <v>205</v>
      </c>
      <c r="U391" s="2" t="s">
        <v>18386</v>
      </c>
      <c r="V391" s="2" t="s">
        <v>17922</v>
      </c>
      <c r="W391" s="2" t="s">
        <v>39</v>
      </c>
    </row>
    <row r="392">
      <c r="A392" s="2" t="n">
        <v>267</v>
      </c>
      <c r="B392" s="2" t="s">
        <v>12286</v>
      </c>
      <c r="C392" s="2" t="s">
        <v>18398</v>
      </c>
      <c r="D392" s="2" t="n">
        <v>511.258482134</v>
      </c>
      <c r="E392" s="2" t="n">
        <v>6.43525922243371</v>
      </c>
      <c r="F392" s="2" t="s">
        <v>18400</v>
      </c>
      <c r="G392" s="2" t="n">
        <v>203930</v>
      </c>
      <c r="H392" s="3" t="str">
        <f>HYPERLINK("http://funmeta.oebiotech.com/network/203930", "http://funmeta.oebiotech.com/network/203930")</f>
      </c>
      <c r="I392" s="2" t="s">
        <v>18402</v>
      </c>
      <c r="J392" s="2"/>
      <c r="K392" s="2"/>
      <c r="L392" s="2"/>
      <c r="M392" s="2"/>
      <c r="N392" s="2" t="s">
        <v>18403</v>
      </c>
      <c r="O392" s="2"/>
      <c r="P392" s="2" t="s">
        <v>18404</v>
      </c>
      <c r="Q392" s="2" t="s">
        <v>18405</v>
      </c>
      <c r="R392" s="2" t="s">
        <v>638</v>
      </c>
      <c r="S392" s="2" t="s">
        <v>3092</v>
      </c>
      <c r="T392" s="2" t="s">
        <v>3093</v>
      </c>
      <c r="U392" s="2" t="s">
        <v>18399</v>
      </c>
      <c r="V392" s="2" t="s">
        <v>15649</v>
      </c>
      <c r="W392" s="2"/>
    </row>
    <row r="393">
      <c r="A393" s="2" t="n">
        <v>268</v>
      </c>
      <c r="B393" s="2" t="s">
        <v>12287</v>
      </c>
      <c r="C393" s="2" t="s">
        <v>18406</v>
      </c>
      <c r="D393" s="2" t="n">
        <v>512.157422783</v>
      </c>
      <c r="E393" s="2" t="n">
        <v>5.82781030330532</v>
      </c>
      <c r="F393" s="2" t="s">
        <v>18408</v>
      </c>
      <c r="G393" s="2" t="n">
        <v>211882</v>
      </c>
      <c r="H393" s="3" t="str">
        <f>HYPERLINK("http://funmeta.oebiotech.com/network/211882", "http://funmeta.oebiotech.com/network/211882")</f>
      </c>
      <c r="I393" s="2" t="s">
        <v>18410</v>
      </c>
      <c r="J393" s="2"/>
      <c r="K393" s="2"/>
      <c r="L393" s="2"/>
      <c r="M393" s="2"/>
      <c r="N393" s="2"/>
      <c r="O393" s="2"/>
      <c r="P393" s="2" t="s">
        <v>18411</v>
      </c>
      <c r="Q393" s="2" t="s">
        <v>18412</v>
      </c>
      <c r="R393" s="2" t="s">
        <v>502</v>
      </c>
      <c r="S393" s="2" t="s">
        <v>503</v>
      </c>
      <c r="T393" s="2" t="s">
        <v>1964</v>
      </c>
      <c r="U393" s="2" t="s">
        <v>18407</v>
      </c>
      <c r="V393" s="2" t="s">
        <v>15858</v>
      </c>
      <c r="W393" s="2"/>
    </row>
    <row r="394">
      <c r="A394" s="2" t="n">
        <v>269</v>
      </c>
      <c r="B394" s="2" t="s">
        <v>12288</v>
      </c>
      <c r="C394" s="2" t="s">
        <v>18413</v>
      </c>
      <c r="D394" s="2" t="n">
        <v>512.285953192</v>
      </c>
      <c r="E394" s="2" t="n">
        <v>7.34698361393586</v>
      </c>
      <c r="F394" s="2" t="s">
        <v>18415</v>
      </c>
      <c r="G394" s="2" t="n">
        <v>209883</v>
      </c>
      <c r="H394" s="3" t="str">
        <f>HYPERLINK("http://funmeta.oebiotech.com/network/209883", "http://funmeta.oebiotech.com/network/209883")</f>
      </c>
      <c r="I394" s="2" t="s">
        <v>18417</v>
      </c>
      <c r="J394" s="2" t="s">
        <v>18418</v>
      </c>
      <c r="K394" s="2"/>
      <c r="L394" s="2" t="s">
        <v>18419</v>
      </c>
      <c r="M394" s="2"/>
      <c r="N394" s="2" t="s">
        <v>18420</v>
      </c>
      <c r="O394" s="2" t="s">
        <v>18421</v>
      </c>
      <c r="P394" s="2" t="s">
        <v>18422</v>
      </c>
      <c r="Q394" s="2" t="s">
        <v>18423</v>
      </c>
      <c r="R394" s="2" t="s">
        <v>502</v>
      </c>
      <c r="S394" s="2" t="s">
        <v>503</v>
      </c>
      <c r="T394" s="2" t="s">
        <v>18424</v>
      </c>
      <c r="U394" s="2" t="s">
        <v>18414</v>
      </c>
      <c r="V394" s="2" t="s">
        <v>15691</v>
      </c>
      <c r="W394" s="2" t="s">
        <v>39</v>
      </c>
    </row>
    <row r="395">
      <c r="A395" s="2" t="n">
        <v>270</v>
      </c>
      <c r="B395" s="2" t="s">
        <v>12305</v>
      </c>
      <c r="C395" s="2" t="s">
        <v>18425</v>
      </c>
      <c r="D395" s="2" t="n">
        <v>514.082430705</v>
      </c>
      <c r="E395" s="2" t="n">
        <v>7.07999415303871</v>
      </c>
      <c r="F395" s="2" t="s">
        <v>18427</v>
      </c>
      <c r="G395" s="2" t="n">
        <v>210025</v>
      </c>
      <c r="H395" s="3" t="str">
        <f>HYPERLINK("http://funmeta.oebiotech.com/network/210025", "http://funmeta.oebiotech.com/network/210025")</f>
      </c>
      <c r="I395" s="2" t="s">
        <v>18429</v>
      </c>
      <c r="J395" s="2" t="s">
        <v>18430</v>
      </c>
      <c r="K395" s="2"/>
      <c r="L395" s="2"/>
      <c r="M395" s="2" t="s">
        <v>18431</v>
      </c>
      <c r="N395" s="2" t="s">
        <v>18432</v>
      </c>
      <c r="O395" s="2"/>
      <c r="P395" s="2" t="s">
        <v>18433</v>
      </c>
      <c r="Q395" s="2" t="s">
        <v>18434</v>
      </c>
      <c r="R395" s="2" t="s">
        <v>36</v>
      </c>
      <c r="S395" s="2" t="s">
        <v>37</v>
      </c>
      <c r="T395" s="2" t="s">
        <v>679</v>
      </c>
      <c r="U395" s="2" t="s">
        <v>18426</v>
      </c>
      <c r="V395" s="2" t="s">
        <v>15722</v>
      </c>
      <c r="W395" s="2"/>
    </row>
    <row r="396">
      <c r="A396" s="2" t="n">
        <v>271</v>
      </c>
      <c r="B396" s="2" t="s">
        <v>12306</v>
      </c>
      <c r="C396" s="2" t="s">
        <v>18435</v>
      </c>
      <c r="D396" s="2" t="n">
        <v>514.271802184</v>
      </c>
      <c r="E396" s="2" t="n">
        <v>1.17140424217199</v>
      </c>
      <c r="F396" s="2" t="s">
        <v>18437</v>
      </c>
      <c r="G396" s="2" t="n">
        <v>8671</v>
      </c>
      <c r="H396" s="3" t="str">
        <f>HYPERLINK("http://funmeta.oebiotech.com/network/8671", "http://funmeta.oebiotech.com/network/8671")</f>
      </c>
      <c r="I396" s="2" t="s">
        <v>18439</v>
      </c>
      <c r="J396" s="2" t="s">
        <v>18440</v>
      </c>
      <c r="K396" s="2" t="s">
        <v>18441</v>
      </c>
      <c r="L396" s="2"/>
      <c r="M396" s="2"/>
      <c r="N396" s="2" t="s">
        <v>18442</v>
      </c>
      <c r="O396" s="2"/>
      <c r="P396" s="2" t="s">
        <v>18443</v>
      </c>
      <c r="Q396" s="2" t="s">
        <v>18444</v>
      </c>
      <c r="R396" s="2" t="s">
        <v>49</v>
      </c>
      <c r="S396" s="2" t="s">
        <v>165</v>
      </c>
      <c r="T396" s="2" t="s">
        <v>166</v>
      </c>
      <c r="U396" s="2" t="s">
        <v>18436</v>
      </c>
      <c r="V396" s="2" t="s">
        <v>15919</v>
      </c>
      <c r="W396" s="2"/>
    </row>
    <row r="397">
      <c r="A397" s="2" t="n">
        <v>272</v>
      </c>
      <c r="B397" s="2" t="s">
        <v>12307</v>
      </c>
      <c r="C397" s="2" t="s">
        <v>18445</v>
      </c>
      <c r="D397" s="2" t="n">
        <v>515.045584728</v>
      </c>
      <c r="E397" s="2" t="n">
        <v>9.26949858664822</v>
      </c>
      <c r="F397" s="2" t="s">
        <v>18447</v>
      </c>
      <c r="G397" s="2" t="n">
        <v>83789</v>
      </c>
      <c r="H397" s="3" t="str">
        <f>HYPERLINK("http://funmeta.oebiotech.com/network/83789", "http://funmeta.oebiotech.com/network/83789")</f>
      </c>
      <c r="I397" s="2" t="s">
        <v>18449</v>
      </c>
      <c r="J397" s="2"/>
      <c r="K397" s="2"/>
      <c r="L397" s="2"/>
      <c r="M397" s="2" t="s">
        <v>18450</v>
      </c>
      <c r="N397" s="2" t="s">
        <v>18451</v>
      </c>
      <c r="O397" s="2"/>
      <c r="P397" s="2" t="s">
        <v>18452</v>
      </c>
      <c r="Q397" s="2" t="s">
        <v>18453</v>
      </c>
      <c r="R397" s="2" t="s">
        <v>49</v>
      </c>
      <c r="S397" s="2" t="s">
        <v>165</v>
      </c>
      <c r="T397" s="2" t="s">
        <v>166</v>
      </c>
      <c r="U397" s="2" t="s">
        <v>18446</v>
      </c>
      <c r="V397" s="2" t="s">
        <v>16225</v>
      </c>
      <c r="W397" s="2"/>
    </row>
    <row r="398">
      <c r="A398" s="2" t="n">
        <v>273</v>
      </c>
      <c r="B398" s="2" t="s">
        <v>12308</v>
      </c>
      <c r="C398" s="2" t="s">
        <v>18454</v>
      </c>
      <c r="D398" s="2" t="n">
        <v>516.255677844</v>
      </c>
      <c r="E398" s="2" t="n">
        <v>3.19081349901999</v>
      </c>
      <c r="F398" s="2" t="s">
        <v>18456</v>
      </c>
      <c r="G398" s="2" t="n">
        <v>202954</v>
      </c>
      <c r="H398" s="3" t="str">
        <f>HYPERLINK("http://funmeta.oebiotech.com/network/202954", "http://funmeta.oebiotech.com/network/202954")</f>
      </c>
      <c r="I398" s="2" t="s">
        <v>18458</v>
      </c>
      <c r="J398" s="2"/>
      <c r="K398" s="2"/>
      <c r="L398" s="2"/>
      <c r="M398" s="2"/>
      <c r="N398" s="2" t="s">
        <v>18459</v>
      </c>
      <c r="O398" s="2"/>
      <c r="P398" s="2" t="s">
        <v>18460</v>
      </c>
      <c r="Q398" s="2" t="s">
        <v>18461</v>
      </c>
      <c r="R398" s="2" t="s">
        <v>355</v>
      </c>
      <c r="S398" s="2" t="s">
        <v>5131</v>
      </c>
      <c r="T398" s="2" t="s">
        <v>5132</v>
      </c>
      <c r="U398" s="2" t="s">
        <v>18455</v>
      </c>
      <c r="V398" s="2" t="s">
        <v>15858</v>
      </c>
      <c r="W398" s="2"/>
    </row>
    <row r="399">
      <c r="A399" s="2" t="n">
        <v>274</v>
      </c>
      <c r="B399" s="2" t="s">
        <v>12322</v>
      </c>
      <c r="C399" s="2" t="s">
        <v>18462</v>
      </c>
      <c r="D399" s="2" t="n">
        <v>517.267567229</v>
      </c>
      <c r="E399" s="2" t="n">
        <v>7.24057095441197</v>
      </c>
      <c r="F399" s="2" t="s">
        <v>18464</v>
      </c>
      <c r="G399" s="2" t="n">
        <v>53356</v>
      </c>
      <c r="H399" s="3" t="str">
        <f>HYPERLINK("http://funmeta.oebiotech.com/network/53356", "http://funmeta.oebiotech.com/network/53356")</f>
      </c>
      <c r="I399" s="2" t="s">
        <v>18466</v>
      </c>
      <c r="J399" s="2" t="s">
        <v>18467</v>
      </c>
      <c r="K399" s="2"/>
      <c r="L399" s="2" t="s">
        <v>18468</v>
      </c>
      <c r="M399" s="2" t="s">
        <v>18469</v>
      </c>
      <c r="N399" s="2" t="s">
        <v>18470</v>
      </c>
      <c r="O399" s="2" t="s">
        <v>18471</v>
      </c>
      <c r="P399" s="2" t="s">
        <v>18472</v>
      </c>
      <c r="Q399" s="2" t="s">
        <v>18473</v>
      </c>
      <c r="R399" s="2" t="s">
        <v>355</v>
      </c>
      <c r="S399" s="2" t="s">
        <v>18474</v>
      </c>
      <c r="T399" s="2" t="s">
        <v>18475</v>
      </c>
      <c r="U399" s="2" t="s">
        <v>18463</v>
      </c>
      <c r="V399" s="2" t="s">
        <v>15624</v>
      </c>
      <c r="W399" s="2" t="s">
        <v>39</v>
      </c>
    </row>
    <row r="400">
      <c r="A400" s="2" t="n">
        <v>275</v>
      </c>
      <c r="B400" s="2" t="s">
        <v>12342</v>
      </c>
      <c r="C400" s="2" t="s">
        <v>18476</v>
      </c>
      <c r="D400" s="2" t="n">
        <v>518.264347343</v>
      </c>
      <c r="E400" s="2" t="n">
        <v>1.9996543694126</v>
      </c>
      <c r="F400" s="2" t="s">
        <v>18478</v>
      </c>
      <c r="G400" s="2" t="n">
        <v>21200</v>
      </c>
      <c r="H400" s="3" t="str">
        <f>HYPERLINK("http://funmeta.oebiotech.com/network/21200", "http://funmeta.oebiotech.com/network/21200")</f>
      </c>
      <c r="I400" s="2" t="s">
        <v>18480</v>
      </c>
      <c r="J400" s="2" t="s">
        <v>18481</v>
      </c>
      <c r="K400" s="2" t="s">
        <v>18482</v>
      </c>
      <c r="L400" s="2"/>
      <c r="M400" s="2"/>
      <c r="N400" s="2" t="s">
        <v>18483</v>
      </c>
      <c r="O400" s="2"/>
      <c r="P400" s="2" t="s">
        <v>18484</v>
      </c>
      <c r="Q400" s="2" t="s">
        <v>18485</v>
      </c>
      <c r="R400" s="2" t="s">
        <v>1490</v>
      </c>
      <c r="S400" s="2" t="s">
        <v>4236</v>
      </c>
      <c r="T400" s="2" t="s">
        <v>5369</v>
      </c>
      <c r="U400" s="2" t="s">
        <v>18477</v>
      </c>
      <c r="V400" s="2" t="s">
        <v>15919</v>
      </c>
      <c r="W400" s="2"/>
    </row>
    <row r="401">
      <c r="A401" s="2" t="n">
        <v>276</v>
      </c>
      <c r="B401" s="2" t="s">
        <v>12343</v>
      </c>
      <c r="C401" s="2" t="s">
        <v>18486</v>
      </c>
      <c r="D401" s="2" t="n">
        <v>519.044375342</v>
      </c>
      <c r="E401" s="2" t="n">
        <v>2.23670295611407</v>
      </c>
      <c r="F401" s="2" t="s">
        <v>18488</v>
      </c>
      <c r="G401" s="2" t="n">
        <v>82730</v>
      </c>
      <c r="H401" s="3" t="str">
        <f>HYPERLINK("http://funmeta.oebiotech.com/network/82730", "http://funmeta.oebiotech.com/network/82730")</f>
      </c>
      <c r="I401" s="2" t="s">
        <v>18490</v>
      </c>
      <c r="J401" s="2"/>
      <c r="K401" s="2"/>
      <c r="L401" s="2"/>
      <c r="M401" s="2"/>
      <c r="N401" s="2" t="s">
        <v>18491</v>
      </c>
      <c r="O401" s="2"/>
      <c r="P401" s="2" t="s">
        <v>18492</v>
      </c>
      <c r="Q401" s="2" t="s">
        <v>18493</v>
      </c>
      <c r="R401" s="2" t="s">
        <v>64</v>
      </c>
      <c r="S401" s="2" t="s">
        <v>65</v>
      </c>
      <c r="T401" s="2" t="s">
        <v>1214</v>
      </c>
      <c r="U401" s="2" t="s">
        <v>18487</v>
      </c>
      <c r="V401" s="2" t="s">
        <v>15919</v>
      </c>
      <c r="W401" s="2"/>
    </row>
    <row r="402">
      <c r="A402" s="2" t="n">
        <v>277</v>
      </c>
      <c r="B402" s="2" t="s">
        <v>12376</v>
      </c>
      <c r="C402" s="2" t="s">
        <v>18494</v>
      </c>
      <c r="D402" s="2" t="n">
        <v>519.549942874</v>
      </c>
      <c r="E402" s="2" t="n">
        <v>3.46389062241211</v>
      </c>
      <c r="F402" s="2" t="s">
        <v>18496</v>
      </c>
      <c r="G402" s="2" t="n">
        <v>209336</v>
      </c>
      <c r="H402" s="3" t="str">
        <f>HYPERLINK("http://funmeta.oebiotech.com/network/209336", "http://funmeta.oebiotech.com/network/209336")</f>
      </c>
      <c r="I402" s="2" t="s">
        <v>18498</v>
      </c>
      <c r="J402" s="2"/>
      <c r="K402" s="2"/>
      <c r="L402" s="2"/>
      <c r="M402" s="2"/>
      <c r="N402" s="2" t="s">
        <v>18499</v>
      </c>
      <c r="O402" s="2"/>
      <c r="P402" s="2" t="s">
        <v>18500</v>
      </c>
      <c r="Q402" s="2" t="s">
        <v>18501</v>
      </c>
      <c r="R402" s="2" t="s">
        <v>64</v>
      </c>
      <c r="S402" s="2" t="s">
        <v>65</v>
      </c>
      <c r="T402" s="2" t="s">
        <v>1214</v>
      </c>
      <c r="U402" s="2" t="s">
        <v>18495</v>
      </c>
      <c r="V402" s="2" t="s">
        <v>15649</v>
      </c>
      <c r="W402" s="2"/>
    </row>
    <row r="403">
      <c r="A403" s="2" t="n">
        <v>278</v>
      </c>
      <c r="B403" s="2" t="s">
        <v>12377</v>
      </c>
      <c r="C403" s="2" t="s">
        <v>18502</v>
      </c>
      <c r="D403" s="2" t="n">
        <v>521.281719504</v>
      </c>
      <c r="E403" s="2" t="n">
        <v>0.698238855658894</v>
      </c>
      <c r="F403" s="2" t="s">
        <v>22537</v>
      </c>
      <c r="G403" s="2" t="n">
        <v>51188</v>
      </c>
      <c r="H403" s="3" t="str">
        <f>HYPERLINK("http://funmeta.oebiotech.com/network/51188", "http://funmeta.oebiotech.com/network/51188")</f>
      </c>
      <c r="I403" s="2" t="s">
        <v>22538</v>
      </c>
      <c r="J403" s="2" t="s">
        <v>22539</v>
      </c>
      <c r="K403" s="2"/>
      <c r="L403" s="2"/>
      <c r="M403" s="2" t="s">
        <v>22540</v>
      </c>
      <c r="N403" s="2" t="s">
        <v>22541</v>
      </c>
      <c r="O403" s="2" t="s">
        <v>22542</v>
      </c>
      <c r="P403" s="2" t="s">
        <v>22543</v>
      </c>
      <c r="Q403" s="2" t="s">
        <v>22544</v>
      </c>
      <c r="R403" s="2" t="s">
        <v>49</v>
      </c>
      <c r="S403" s="2" t="s">
        <v>165</v>
      </c>
      <c r="T403" s="2" t="s">
        <v>166</v>
      </c>
      <c r="U403" s="2" t="s">
        <v>18503</v>
      </c>
      <c r="V403" s="2" t="s">
        <v>15778</v>
      </c>
      <c r="W403" s="2"/>
    </row>
    <row r="404">
      <c r="A404" s="2" t="n">
        <v>278</v>
      </c>
      <c r="B404" s="2" t="s">
        <v>22545</v>
      </c>
      <c r="C404" s="2" t="s">
        <v>18502</v>
      </c>
      <c r="D404" s="2" t="n">
        <v>521.281719504</v>
      </c>
      <c r="E404" s="2" t="n">
        <v>0.698238855658894</v>
      </c>
      <c r="F404" s="2" t="s">
        <v>22546</v>
      </c>
      <c r="G404" s="2" t="n">
        <v>53856</v>
      </c>
      <c r="H404" s="3" t="str">
        <f>HYPERLINK("http://funmeta.oebiotech.com/network/53856", "http://funmeta.oebiotech.com/network/53856")</f>
      </c>
      <c r="I404" s="2" t="s">
        <v>22547</v>
      </c>
      <c r="J404" s="2"/>
      <c r="K404" s="2"/>
      <c r="L404" s="2"/>
      <c r="M404" s="2" t="s">
        <v>22548</v>
      </c>
      <c r="N404" s="2" t="s">
        <v>22549</v>
      </c>
      <c r="O404" s="2" t="s">
        <v>22550</v>
      </c>
      <c r="P404" s="2" t="s">
        <v>22551</v>
      </c>
      <c r="Q404" s="2" t="s">
        <v>22552</v>
      </c>
      <c r="R404" s="2" t="s">
        <v>49</v>
      </c>
      <c r="S404" s="2" t="s">
        <v>165</v>
      </c>
      <c r="T404" s="2" t="s">
        <v>166</v>
      </c>
      <c r="U404" s="2" t="s">
        <v>18503</v>
      </c>
      <c r="V404" s="2" t="s">
        <v>15778</v>
      </c>
      <c r="W404" s="2"/>
    </row>
    <row r="405">
      <c r="A405" s="2" t="n">
        <v>278</v>
      </c>
      <c r="B405" s="2" t="s">
        <v>22553</v>
      </c>
      <c r="C405" s="2" t="s">
        <v>18502</v>
      </c>
      <c r="D405" s="2" t="n">
        <v>521.28171952</v>
      </c>
      <c r="E405" s="2" t="n">
        <v>0.698238855658894</v>
      </c>
      <c r="F405" s="2" t="s">
        <v>22554</v>
      </c>
      <c r="G405" s="2" t="n">
        <v>51189</v>
      </c>
      <c r="H405" s="3" t="str">
        <f>HYPERLINK("http://funmeta.oebiotech.com/network/51189", "http://funmeta.oebiotech.com/network/51189")</f>
      </c>
      <c r="I405" s="2" t="s">
        <v>22555</v>
      </c>
      <c r="J405" s="2" t="s">
        <v>22556</v>
      </c>
      <c r="K405" s="2"/>
      <c r="L405" s="2"/>
      <c r="M405" s="2" t="s">
        <v>22557</v>
      </c>
      <c r="N405" s="2" t="s">
        <v>22558</v>
      </c>
      <c r="O405" s="2" t="s">
        <v>22559</v>
      </c>
      <c r="P405" s="2" t="s">
        <v>22560</v>
      </c>
      <c r="Q405" s="2" t="s">
        <v>22561</v>
      </c>
      <c r="R405" s="2" t="s">
        <v>49</v>
      </c>
      <c r="S405" s="2" t="s">
        <v>165</v>
      </c>
      <c r="T405" s="2" t="s">
        <v>166</v>
      </c>
      <c r="U405" s="2" t="s">
        <v>18503</v>
      </c>
      <c r="V405" s="2" t="s">
        <v>15778</v>
      </c>
      <c r="W405" s="2"/>
    </row>
    <row r="406">
      <c r="A406" s="2" t="n">
        <v>279</v>
      </c>
      <c r="B406" s="2" t="s">
        <v>12378</v>
      </c>
      <c r="C406" s="2" t="s">
        <v>18513</v>
      </c>
      <c r="D406" s="2" t="n">
        <v>521.529796106</v>
      </c>
      <c r="E406" s="2" t="n">
        <v>3.84897708584779</v>
      </c>
      <c r="F406" s="2" t="s">
        <v>18515</v>
      </c>
      <c r="G406" s="2" t="n">
        <v>64188</v>
      </c>
      <c r="H406" s="3" t="str">
        <f>HYPERLINK("http://funmeta.oebiotech.com/network/64188", "http://funmeta.oebiotech.com/network/64188")</f>
      </c>
      <c r="I406" s="2" t="s">
        <v>18517</v>
      </c>
      <c r="J406" s="2" t="s">
        <v>18518</v>
      </c>
      <c r="K406" s="2"/>
      <c r="L406" s="2"/>
      <c r="M406" s="2" t="s">
        <v>18519</v>
      </c>
      <c r="N406" s="2" t="s">
        <v>18520</v>
      </c>
      <c r="O406" s="2" t="s">
        <v>18521</v>
      </c>
      <c r="P406" s="2" t="s">
        <v>18522</v>
      </c>
      <c r="Q406" s="2" t="s">
        <v>18523</v>
      </c>
      <c r="R406" s="2" t="s">
        <v>1490</v>
      </c>
      <c r="S406" s="2" t="s">
        <v>1491</v>
      </c>
      <c r="T406" s="2" t="s">
        <v>3884</v>
      </c>
      <c r="U406" s="2" t="s">
        <v>18514</v>
      </c>
      <c r="V406" s="2" t="s">
        <v>15611</v>
      </c>
      <c r="W406" s="2"/>
    </row>
    <row r="407">
      <c r="A407" s="2" t="n">
        <v>280</v>
      </c>
      <c r="B407" s="2" t="s">
        <v>12379</v>
      </c>
      <c r="C407" s="2" t="s">
        <v>18524</v>
      </c>
      <c r="D407" s="2" t="n">
        <v>522.355415535</v>
      </c>
      <c r="E407" s="2" t="n">
        <v>5.25106217687087</v>
      </c>
      <c r="F407" s="2" t="s">
        <v>18526</v>
      </c>
      <c r="G407" s="2" t="n">
        <v>19837</v>
      </c>
      <c r="H407" s="3" t="str">
        <f>HYPERLINK("http://funmeta.oebiotech.com/network/19837", "http://funmeta.oebiotech.com/network/19837")</f>
      </c>
      <c r="I407" s="2" t="s">
        <v>18528</v>
      </c>
      <c r="J407" s="2" t="s">
        <v>18529</v>
      </c>
      <c r="K407" s="2" t="s">
        <v>18530</v>
      </c>
      <c r="L407" s="2"/>
      <c r="M407" s="2" t="s">
        <v>18531</v>
      </c>
      <c r="N407" s="2" t="s">
        <v>18532</v>
      </c>
      <c r="O407" s="2" t="s">
        <v>18533</v>
      </c>
      <c r="P407" s="2" t="s">
        <v>18534</v>
      </c>
      <c r="Q407" s="2" t="s">
        <v>18535</v>
      </c>
      <c r="R407" s="2" t="s">
        <v>1490</v>
      </c>
      <c r="S407" s="2" t="s">
        <v>4236</v>
      </c>
      <c r="T407" s="2" t="s">
        <v>8613</v>
      </c>
      <c r="U407" s="2" t="s">
        <v>18525</v>
      </c>
      <c r="V407" s="2" t="s">
        <v>15649</v>
      </c>
      <c r="W407" s="2"/>
    </row>
    <row r="408">
      <c r="A408" s="2" t="n">
        <v>281</v>
      </c>
      <c r="B408" s="2" t="s">
        <v>12380</v>
      </c>
      <c r="C408" s="2" t="s">
        <v>18536</v>
      </c>
      <c r="D408" s="2" t="n">
        <v>523.318418024</v>
      </c>
      <c r="E408" s="2" t="n">
        <v>3.3582180468058</v>
      </c>
      <c r="F408" s="2" t="s">
        <v>22562</v>
      </c>
      <c r="G408" s="2" t="n">
        <v>57646</v>
      </c>
      <c r="H408" s="3" t="str">
        <f>HYPERLINK("http://funmeta.oebiotech.com/network/57646", "http://funmeta.oebiotech.com/network/57646")</f>
      </c>
      <c r="I408" s="2" t="s">
        <v>22563</v>
      </c>
      <c r="J408" s="2" t="s">
        <v>22564</v>
      </c>
      <c r="K408" s="2"/>
      <c r="L408" s="2"/>
      <c r="M408" s="2"/>
      <c r="N408" s="2" t="s">
        <v>22565</v>
      </c>
      <c r="O408" s="2" t="s">
        <v>22566</v>
      </c>
      <c r="P408" s="2" t="s">
        <v>22567</v>
      </c>
      <c r="Q408" s="2" t="s">
        <v>22568</v>
      </c>
      <c r="R408" s="2" t="s">
        <v>1490</v>
      </c>
      <c r="S408" s="2" t="s">
        <v>4971</v>
      </c>
      <c r="T408" s="2" t="s">
        <v>7445</v>
      </c>
      <c r="U408" s="2" t="s">
        <v>18537</v>
      </c>
      <c r="V408" s="2" t="s">
        <v>15919</v>
      </c>
      <c r="W408" s="2"/>
    </row>
    <row r="409">
      <c r="A409" s="2" t="n">
        <v>281</v>
      </c>
      <c r="B409" s="2" t="s">
        <v>12387</v>
      </c>
      <c r="C409" s="2" t="s">
        <v>18536</v>
      </c>
      <c r="D409" s="2" t="n">
        <v>523.318418024</v>
      </c>
      <c r="E409" s="2" t="n">
        <v>3.3582180468058</v>
      </c>
      <c r="F409" s="2" t="s">
        <v>22569</v>
      </c>
      <c r="G409" s="2" t="n">
        <v>58516</v>
      </c>
      <c r="H409" s="3" t="str">
        <f>HYPERLINK("http://funmeta.oebiotech.com/network/58516", "http://funmeta.oebiotech.com/network/58516")</f>
      </c>
      <c r="I409" s="2" t="s">
        <v>22570</v>
      </c>
      <c r="J409" s="2" t="s">
        <v>22571</v>
      </c>
      <c r="K409" s="2"/>
      <c r="L409" s="2"/>
      <c r="M409" s="2" t="s">
        <v>22572</v>
      </c>
      <c r="N409" s="2" t="s">
        <v>22573</v>
      </c>
      <c r="O409" s="2" t="s">
        <v>22574</v>
      </c>
      <c r="P409" s="2" t="s">
        <v>22575</v>
      </c>
      <c r="Q409" s="2" t="s">
        <v>22576</v>
      </c>
      <c r="R409" s="2" t="s">
        <v>1490</v>
      </c>
      <c r="S409" s="2" t="s">
        <v>4971</v>
      </c>
      <c r="T409" s="2" t="s">
        <v>7445</v>
      </c>
      <c r="U409" s="2" t="s">
        <v>18537</v>
      </c>
      <c r="V409" s="2" t="s">
        <v>15919</v>
      </c>
      <c r="W409" s="2"/>
    </row>
    <row r="410">
      <c r="A410" s="2" t="n">
        <v>281</v>
      </c>
      <c r="B410" s="2" t="s">
        <v>22577</v>
      </c>
      <c r="C410" s="2" t="s">
        <v>18536</v>
      </c>
      <c r="D410" s="2" t="n">
        <v>523.318418024</v>
      </c>
      <c r="E410" s="2" t="n">
        <v>3.3582180468058</v>
      </c>
      <c r="F410" s="2" t="s">
        <v>22578</v>
      </c>
      <c r="G410" s="2" t="n">
        <v>59141</v>
      </c>
      <c r="H410" s="3" t="str">
        <f>HYPERLINK("http://funmeta.oebiotech.com/network/59141", "http://funmeta.oebiotech.com/network/59141")</f>
      </c>
      <c r="I410" s="2" t="s">
        <v>22579</v>
      </c>
      <c r="J410" s="2" t="s">
        <v>22580</v>
      </c>
      <c r="K410" s="2"/>
      <c r="L410" s="2"/>
      <c r="M410" s="2" t="s">
        <v>22581</v>
      </c>
      <c r="N410" s="2" t="s">
        <v>22582</v>
      </c>
      <c r="O410" s="2" t="s">
        <v>22583</v>
      </c>
      <c r="P410" s="2" t="s">
        <v>22584</v>
      </c>
      <c r="Q410" s="2" t="s">
        <v>22585</v>
      </c>
      <c r="R410" s="2" t="s">
        <v>1490</v>
      </c>
      <c r="S410" s="2" t="s">
        <v>4971</v>
      </c>
      <c r="T410" s="2" t="s">
        <v>7445</v>
      </c>
      <c r="U410" s="2" t="s">
        <v>18537</v>
      </c>
      <c r="V410" s="2" t="s">
        <v>15919</v>
      </c>
      <c r="W410" s="2"/>
    </row>
    <row r="411">
      <c r="A411" s="2" t="n">
        <v>282</v>
      </c>
      <c r="B411" s="2" t="s">
        <v>12395</v>
      </c>
      <c r="C411" s="2" t="s">
        <v>18547</v>
      </c>
      <c r="D411" s="2" t="n">
        <v>524.280498043</v>
      </c>
      <c r="E411" s="2" t="n">
        <v>0.512444747043849</v>
      </c>
      <c r="F411" s="2" t="s">
        <v>18549</v>
      </c>
      <c r="G411" s="2" t="n">
        <v>203780</v>
      </c>
      <c r="H411" s="3" t="str">
        <f>HYPERLINK("http://funmeta.oebiotech.com/network/203780", "http://funmeta.oebiotech.com/network/203780")</f>
      </c>
      <c r="I411" s="2" t="s">
        <v>18551</v>
      </c>
      <c r="J411" s="2" t="s">
        <v>18552</v>
      </c>
      <c r="K411" s="2"/>
      <c r="L411" s="2"/>
      <c r="M411" s="2"/>
      <c r="N411" s="2" t="s">
        <v>18553</v>
      </c>
      <c r="O411" s="2"/>
      <c r="P411" s="2" t="s">
        <v>18554</v>
      </c>
      <c r="Q411" s="2" t="s">
        <v>18555</v>
      </c>
      <c r="R411" s="2" t="s">
        <v>1490</v>
      </c>
      <c r="S411" s="2" t="s">
        <v>4971</v>
      </c>
      <c r="T411" s="2" t="s">
        <v>6636</v>
      </c>
      <c r="U411" s="2" t="s">
        <v>18548</v>
      </c>
      <c r="V411" s="2" t="s">
        <v>15858</v>
      </c>
      <c r="W411" s="2"/>
    </row>
    <row r="412">
      <c r="A412" s="2" t="n">
        <v>283</v>
      </c>
      <c r="B412" s="2" t="s">
        <v>12409</v>
      </c>
      <c r="C412" s="2" t="s">
        <v>18556</v>
      </c>
      <c r="D412" s="2" t="n">
        <v>525.070326102</v>
      </c>
      <c r="E412" s="2" t="n">
        <v>2.60239397627481</v>
      </c>
      <c r="F412" s="2" t="s">
        <v>18558</v>
      </c>
      <c r="G412" s="2" t="n">
        <v>62133</v>
      </c>
      <c r="H412" s="3" t="str">
        <f>HYPERLINK("http://funmeta.oebiotech.com/network/62133", "http://funmeta.oebiotech.com/network/62133")</f>
      </c>
      <c r="I412" s="2" t="s">
        <v>18560</v>
      </c>
      <c r="J412" s="2" t="s">
        <v>18561</v>
      </c>
      <c r="K412" s="2"/>
      <c r="L412" s="2"/>
      <c r="M412" s="2"/>
      <c r="N412" s="2" t="s">
        <v>18562</v>
      </c>
      <c r="O412" s="2" t="s">
        <v>18563</v>
      </c>
      <c r="P412" s="2" t="s">
        <v>18564</v>
      </c>
      <c r="Q412" s="2" t="s">
        <v>18565</v>
      </c>
      <c r="R412" s="2" t="s">
        <v>2509</v>
      </c>
      <c r="S412" s="2" t="s">
        <v>5520</v>
      </c>
      <c r="T412" s="2" t="s">
        <v>5664</v>
      </c>
      <c r="U412" s="2" t="s">
        <v>18557</v>
      </c>
      <c r="V412" s="2" t="s">
        <v>15611</v>
      </c>
      <c r="W412" s="2"/>
    </row>
    <row r="413">
      <c r="A413" s="2" t="n">
        <v>284</v>
      </c>
      <c r="B413" s="2" t="s">
        <v>12410</v>
      </c>
      <c r="C413" s="2" t="s">
        <v>18566</v>
      </c>
      <c r="D413" s="2" t="n">
        <v>525.164711341</v>
      </c>
      <c r="E413" s="2" t="n">
        <v>2.48302149474158</v>
      </c>
      <c r="F413" s="2" t="s">
        <v>18568</v>
      </c>
      <c r="G413" s="2" t="n">
        <v>208980</v>
      </c>
      <c r="H413" s="3" t="str">
        <f>HYPERLINK("http://funmeta.oebiotech.com/network/208980", "http://funmeta.oebiotech.com/network/208980")</f>
      </c>
      <c r="I413" s="2" t="s">
        <v>18570</v>
      </c>
      <c r="J413" s="2"/>
      <c r="K413" s="2"/>
      <c r="L413" s="2"/>
      <c r="M413" s="2"/>
      <c r="N413" s="2" t="s">
        <v>18571</v>
      </c>
      <c r="O413" s="2"/>
      <c r="P413" s="2" t="s">
        <v>18572</v>
      </c>
      <c r="Q413" s="2" t="s">
        <v>18573</v>
      </c>
      <c r="R413" s="2" t="s">
        <v>355</v>
      </c>
      <c r="S413" s="2" t="s">
        <v>466</v>
      </c>
      <c r="T413" s="2" t="s">
        <v>467</v>
      </c>
      <c r="U413" s="2" t="s">
        <v>18567</v>
      </c>
      <c r="V413" s="2" t="s">
        <v>15919</v>
      </c>
      <c r="W413" s="2"/>
    </row>
    <row r="414">
      <c r="A414" s="2" t="n">
        <v>285</v>
      </c>
      <c r="B414" s="2" t="s">
        <v>12411</v>
      </c>
      <c r="C414" s="2" t="s">
        <v>18574</v>
      </c>
      <c r="D414" s="2" t="n">
        <v>525.270760895</v>
      </c>
      <c r="E414" s="2" t="n">
        <v>0.462563755496031</v>
      </c>
      <c r="F414" s="2" t="s">
        <v>18576</v>
      </c>
      <c r="G414" s="2" t="n">
        <v>205205</v>
      </c>
      <c r="H414" s="3" t="str">
        <f>HYPERLINK("http://funmeta.oebiotech.com/network/205205", "http://funmeta.oebiotech.com/network/205205")</f>
      </c>
      <c r="I414" s="2" t="s">
        <v>18578</v>
      </c>
      <c r="J414" s="2"/>
      <c r="K414" s="2"/>
      <c r="L414" s="2"/>
      <c r="M414" s="2"/>
      <c r="N414" s="2" t="s">
        <v>18579</v>
      </c>
      <c r="O414" s="2"/>
      <c r="P414" s="2" t="s">
        <v>18580</v>
      </c>
      <c r="Q414" s="2" t="s">
        <v>18581</v>
      </c>
      <c r="R414" s="2" t="s">
        <v>49</v>
      </c>
      <c r="S414" s="2" t="s">
        <v>165</v>
      </c>
      <c r="T414" s="2" t="s">
        <v>166</v>
      </c>
      <c r="U414" s="2" t="s">
        <v>18575</v>
      </c>
      <c r="V414" s="2" t="s">
        <v>15649</v>
      </c>
      <c r="W414" s="2"/>
    </row>
    <row r="415">
      <c r="A415" s="2" t="n">
        <v>286</v>
      </c>
      <c r="B415" s="2" t="s">
        <v>12412</v>
      </c>
      <c r="C415" s="2" t="s">
        <v>18582</v>
      </c>
      <c r="D415" s="2" t="n">
        <v>527.249276744</v>
      </c>
      <c r="E415" s="2" t="n">
        <v>0.861562857451514</v>
      </c>
      <c r="F415" s="2" t="s">
        <v>18584</v>
      </c>
      <c r="G415" s="2" t="n">
        <v>59061</v>
      </c>
      <c r="H415" s="3" t="str">
        <f>HYPERLINK("http://funmeta.oebiotech.com/network/59061", "http://funmeta.oebiotech.com/network/59061")</f>
      </c>
      <c r="I415" s="2" t="s">
        <v>18586</v>
      </c>
      <c r="J415" s="2" t="s">
        <v>18587</v>
      </c>
      <c r="K415" s="2"/>
      <c r="L415" s="2"/>
      <c r="M415" s="2"/>
      <c r="N415" s="2" t="s">
        <v>18588</v>
      </c>
      <c r="O415" s="2" t="s">
        <v>18589</v>
      </c>
      <c r="P415" s="2" t="s">
        <v>18590</v>
      </c>
      <c r="Q415" s="2" t="s">
        <v>18591</v>
      </c>
      <c r="R415" s="2" t="s">
        <v>1490</v>
      </c>
      <c r="S415" s="2" t="s">
        <v>4971</v>
      </c>
      <c r="T415" s="2" t="s">
        <v>5010</v>
      </c>
      <c r="U415" s="2" t="s">
        <v>18583</v>
      </c>
      <c r="V415" s="2" t="s">
        <v>15611</v>
      </c>
      <c r="W415" s="2"/>
    </row>
    <row r="416">
      <c r="A416" s="2" t="n">
        <v>287</v>
      </c>
      <c r="B416" s="2" t="s">
        <v>12413</v>
      </c>
      <c r="C416" s="2" t="s">
        <v>18592</v>
      </c>
      <c r="D416" s="2" t="n">
        <v>527.292203274</v>
      </c>
      <c r="E416" s="2" t="n">
        <v>3.34664981665935</v>
      </c>
      <c r="F416" s="2" t="s">
        <v>18594</v>
      </c>
      <c r="G416" s="2" t="n">
        <v>60553</v>
      </c>
      <c r="H416" s="3" t="str">
        <f>HYPERLINK("http://funmeta.oebiotech.com/network/60553", "http://funmeta.oebiotech.com/network/60553")</f>
      </c>
      <c r="I416" s="2" t="s">
        <v>18596</v>
      </c>
      <c r="J416" s="2" t="s">
        <v>18597</v>
      </c>
      <c r="K416" s="2"/>
      <c r="L416" s="2"/>
      <c r="M416" s="2" t="s">
        <v>18598</v>
      </c>
      <c r="N416" s="2" t="s">
        <v>18599</v>
      </c>
      <c r="O416" s="2" t="s">
        <v>18600</v>
      </c>
      <c r="P416" s="2" t="s">
        <v>18601</v>
      </c>
      <c r="Q416" s="2" t="s">
        <v>18602</v>
      </c>
      <c r="R416" s="2" t="s">
        <v>1490</v>
      </c>
      <c r="S416" s="2" t="s">
        <v>4971</v>
      </c>
      <c r="T416" s="2" t="s">
        <v>7445</v>
      </c>
      <c r="U416" s="2" t="s">
        <v>18593</v>
      </c>
      <c r="V416" s="2" t="s">
        <v>15919</v>
      </c>
      <c r="W416" s="2"/>
    </row>
    <row r="417">
      <c r="A417" s="2" t="n">
        <v>288</v>
      </c>
      <c r="B417" s="2" t="s">
        <v>12414</v>
      </c>
      <c r="C417" s="2" t="s">
        <v>18603</v>
      </c>
      <c r="D417" s="2" t="n">
        <v>528.258122627</v>
      </c>
      <c r="E417" s="2" t="n">
        <v>3.46603472848937</v>
      </c>
      <c r="F417" s="2" t="s">
        <v>18605</v>
      </c>
      <c r="G417" s="2" t="n">
        <v>204515</v>
      </c>
      <c r="H417" s="3" t="str">
        <f>HYPERLINK("http://funmeta.oebiotech.com/network/204515", "http://funmeta.oebiotech.com/network/204515")</f>
      </c>
      <c r="I417" s="2" t="s">
        <v>18607</v>
      </c>
      <c r="J417" s="2"/>
      <c r="K417" s="2"/>
      <c r="L417" s="2"/>
      <c r="M417" s="2"/>
      <c r="N417" s="2" t="s">
        <v>18608</v>
      </c>
      <c r="O417" s="2"/>
      <c r="P417" s="2" t="s">
        <v>18609</v>
      </c>
      <c r="Q417" s="2" t="s">
        <v>18610</v>
      </c>
      <c r="R417" s="2" t="s">
        <v>49</v>
      </c>
      <c r="S417" s="2" t="s">
        <v>165</v>
      </c>
      <c r="T417" s="2" t="s">
        <v>166</v>
      </c>
      <c r="U417" s="2" t="s">
        <v>18604</v>
      </c>
      <c r="V417" s="2" t="s">
        <v>15858</v>
      </c>
      <c r="W417" s="2"/>
    </row>
    <row r="418">
      <c r="A418" s="2" t="n">
        <v>289</v>
      </c>
      <c r="B418" s="2" t="s">
        <v>12415</v>
      </c>
      <c r="C418" s="2" t="s">
        <v>18611</v>
      </c>
      <c r="D418" s="2" t="n">
        <v>529.074284168</v>
      </c>
      <c r="E418" s="2" t="n">
        <v>7.28231782892251</v>
      </c>
      <c r="F418" s="2" t="s">
        <v>22586</v>
      </c>
      <c r="G418" s="2" t="n">
        <v>31872</v>
      </c>
      <c r="H418" s="3" t="str">
        <f>HYPERLINK("http://funmeta.oebiotech.com/network/31872", "http://funmeta.oebiotech.com/network/31872")</f>
      </c>
      <c r="I418" s="2" t="s">
        <v>22587</v>
      </c>
      <c r="J418" s="2"/>
      <c r="K418" s="2" t="s">
        <v>22588</v>
      </c>
      <c r="L418" s="2"/>
      <c r="M418" s="2"/>
      <c r="N418" s="2" t="s">
        <v>22589</v>
      </c>
      <c r="O418" s="2"/>
      <c r="P418" s="2" t="s">
        <v>22590</v>
      </c>
      <c r="Q418" s="2" t="s">
        <v>22591</v>
      </c>
      <c r="R418" s="2" t="s">
        <v>2509</v>
      </c>
      <c r="S418" s="2" t="s">
        <v>5520</v>
      </c>
      <c r="T418" s="2" t="s">
        <v>5664</v>
      </c>
      <c r="U418" s="2" t="s">
        <v>18612</v>
      </c>
      <c r="V418" s="2" t="s">
        <v>15919</v>
      </c>
      <c r="W418" s="2"/>
    </row>
    <row r="419">
      <c r="A419" s="2" t="n">
        <v>289</v>
      </c>
      <c r="B419" s="2" t="s">
        <v>22592</v>
      </c>
      <c r="C419" s="2" t="s">
        <v>18611</v>
      </c>
      <c r="D419" s="2" t="n">
        <v>529.074284168</v>
      </c>
      <c r="E419" s="2" t="n">
        <v>7.28231782892251</v>
      </c>
      <c r="F419" s="2" t="s">
        <v>22593</v>
      </c>
      <c r="G419" s="2" t="n">
        <v>32342</v>
      </c>
      <c r="H419" s="3" t="str">
        <f>HYPERLINK("http://funmeta.oebiotech.com/network/32342", "http://funmeta.oebiotech.com/network/32342")</f>
      </c>
      <c r="I419" s="2" t="s">
        <v>22594</v>
      </c>
      <c r="J419" s="2"/>
      <c r="K419" s="2" t="s">
        <v>22595</v>
      </c>
      <c r="L419" s="2"/>
      <c r="M419" s="2"/>
      <c r="N419" s="2" t="s">
        <v>22596</v>
      </c>
      <c r="O419" s="2"/>
      <c r="P419" s="2" t="s">
        <v>22597</v>
      </c>
      <c r="Q419" s="2" t="s">
        <v>22598</v>
      </c>
      <c r="R419" s="2" t="s">
        <v>2509</v>
      </c>
      <c r="S419" s="2" t="s">
        <v>5520</v>
      </c>
      <c r="T419" s="2" t="s">
        <v>5664</v>
      </c>
      <c r="U419" s="2" t="s">
        <v>18612</v>
      </c>
      <c r="V419" s="2" t="s">
        <v>15919</v>
      </c>
      <c r="W419" s="2"/>
    </row>
    <row r="420">
      <c r="A420" s="2" t="n">
        <v>289</v>
      </c>
      <c r="B420" s="2" t="s">
        <v>22599</v>
      </c>
      <c r="C420" s="2" t="s">
        <v>18611</v>
      </c>
      <c r="D420" s="2" t="n">
        <v>529.074284168</v>
      </c>
      <c r="E420" s="2" t="n">
        <v>7.28231782892251</v>
      </c>
      <c r="F420" s="2" t="s">
        <v>22600</v>
      </c>
      <c r="G420" s="2" t="n">
        <v>59335</v>
      </c>
      <c r="H420" s="3" t="str">
        <f>HYPERLINK("http://funmeta.oebiotech.com/network/59335", "http://funmeta.oebiotech.com/network/59335")</f>
      </c>
      <c r="I420" s="2" t="s">
        <v>22601</v>
      </c>
      <c r="J420" s="2" t="s">
        <v>22602</v>
      </c>
      <c r="K420" s="2"/>
      <c r="L420" s="2"/>
      <c r="M420" s="2"/>
      <c r="N420" s="2" t="s">
        <v>22603</v>
      </c>
      <c r="O420" s="2"/>
      <c r="P420" s="2" t="s">
        <v>22604</v>
      </c>
      <c r="Q420" s="2" t="s">
        <v>22605</v>
      </c>
      <c r="R420" s="2" t="s">
        <v>2509</v>
      </c>
      <c r="S420" s="2" t="s">
        <v>5520</v>
      </c>
      <c r="T420" s="2" t="s">
        <v>5664</v>
      </c>
      <c r="U420" s="2" t="s">
        <v>18612</v>
      </c>
      <c r="V420" s="2" t="s">
        <v>15919</v>
      </c>
      <c r="W420" s="2"/>
    </row>
    <row r="421">
      <c r="A421" s="2" t="n">
        <v>290</v>
      </c>
      <c r="B421" s="2" t="s">
        <v>12416</v>
      </c>
      <c r="C421" s="2" t="s">
        <v>18621</v>
      </c>
      <c r="D421" s="2" t="n">
        <v>531.046685858</v>
      </c>
      <c r="E421" s="2" t="n">
        <v>2.75575512999042</v>
      </c>
      <c r="F421" s="2" t="s">
        <v>18623</v>
      </c>
      <c r="G421" s="2" t="n">
        <v>209362</v>
      </c>
      <c r="H421" s="3" t="str">
        <f>HYPERLINK("http://funmeta.oebiotech.com/network/209362", "http://funmeta.oebiotech.com/network/209362")</f>
      </c>
      <c r="I421" s="2" t="s">
        <v>18625</v>
      </c>
      <c r="J421" s="2"/>
      <c r="K421" s="2"/>
      <c r="L421" s="2"/>
      <c r="M421" s="2"/>
      <c r="N421" s="2" t="s">
        <v>18626</v>
      </c>
      <c r="O421" s="2"/>
      <c r="P421" s="2" t="s">
        <v>18627</v>
      </c>
      <c r="Q421" s="2" t="s">
        <v>18628</v>
      </c>
      <c r="R421" s="2" t="s">
        <v>49</v>
      </c>
      <c r="S421" s="2" t="s">
        <v>165</v>
      </c>
      <c r="T421" s="2" t="s">
        <v>166</v>
      </c>
      <c r="U421" s="2" t="s">
        <v>18622</v>
      </c>
      <c r="V421" s="2" t="s">
        <v>17922</v>
      </c>
      <c r="W421" s="2"/>
    </row>
    <row r="422">
      <c r="A422" s="2" t="n">
        <v>291</v>
      </c>
      <c r="B422" s="2" t="s">
        <v>12417</v>
      </c>
      <c r="C422" s="2" t="s">
        <v>18629</v>
      </c>
      <c r="D422" s="2" t="n">
        <v>531.125138841</v>
      </c>
      <c r="E422" s="2" t="n">
        <v>9.22775236680769</v>
      </c>
      <c r="F422" s="2" t="s">
        <v>18631</v>
      </c>
      <c r="G422" s="2" t="n">
        <v>54363</v>
      </c>
      <c r="H422" s="3" t="str">
        <f>HYPERLINK("http://funmeta.oebiotech.com/network/54363", "http://funmeta.oebiotech.com/network/54363")</f>
      </c>
      <c r="I422" s="2" t="s">
        <v>18633</v>
      </c>
      <c r="J422" s="2"/>
      <c r="K422" s="2"/>
      <c r="L422" s="2"/>
      <c r="M422" s="2"/>
      <c r="N422" s="2" t="s">
        <v>18634</v>
      </c>
      <c r="O422" s="2" t="s">
        <v>18635</v>
      </c>
      <c r="P422" s="2" t="s">
        <v>18636</v>
      </c>
      <c r="Q422" s="2" t="s">
        <v>18637</v>
      </c>
      <c r="R422" s="2" t="s">
        <v>64</v>
      </c>
      <c r="S422" s="2" t="s">
        <v>65</v>
      </c>
      <c r="T422" s="2" t="s">
        <v>66</v>
      </c>
      <c r="U422" s="2" t="s">
        <v>18630</v>
      </c>
      <c r="V422" s="2" t="s">
        <v>15611</v>
      </c>
      <c r="W422" s="2"/>
    </row>
    <row r="423">
      <c r="A423" s="2" t="n">
        <v>292</v>
      </c>
      <c r="B423" s="2" t="s">
        <v>12439</v>
      </c>
      <c r="C423" s="2" t="s">
        <v>18638</v>
      </c>
      <c r="D423" s="2" t="n">
        <v>534.197649011</v>
      </c>
      <c r="E423" s="2" t="n">
        <v>2.92127416333343</v>
      </c>
      <c r="F423" s="2" t="s">
        <v>18640</v>
      </c>
      <c r="G423" s="2" t="n">
        <v>211843</v>
      </c>
      <c r="H423" s="3" t="str">
        <f>HYPERLINK("http://funmeta.oebiotech.com/network/211843", "http://funmeta.oebiotech.com/network/211843")</f>
      </c>
      <c r="I423" s="2" t="s">
        <v>18642</v>
      </c>
      <c r="J423" s="2"/>
      <c r="K423" s="2"/>
      <c r="L423" s="2"/>
      <c r="M423" s="2"/>
      <c r="N423" s="2" t="s">
        <v>18643</v>
      </c>
      <c r="O423" s="2"/>
      <c r="P423" s="2" t="s">
        <v>18644</v>
      </c>
      <c r="Q423" s="2" t="s">
        <v>18645</v>
      </c>
      <c r="R423" s="2" t="s">
        <v>355</v>
      </c>
      <c r="S423" s="2" t="s">
        <v>2424</v>
      </c>
      <c r="T423" s="2" t="s">
        <v>11439</v>
      </c>
      <c r="U423" s="2" t="s">
        <v>18639</v>
      </c>
      <c r="V423" s="2" t="s">
        <v>15919</v>
      </c>
      <c r="W423" s="2"/>
    </row>
    <row r="424">
      <c r="A424" s="2" t="n">
        <v>293</v>
      </c>
      <c r="B424" s="2" t="s">
        <v>12440</v>
      </c>
      <c r="C424" s="2" t="s">
        <v>18646</v>
      </c>
      <c r="D424" s="2" t="n">
        <v>535.290158942</v>
      </c>
      <c r="E424" s="2" t="n">
        <v>0.702509573948232</v>
      </c>
      <c r="F424" s="2" t="s">
        <v>18648</v>
      </c>
      <c r="G424" s="2" t="n">
        <v>58014</v>
      </c>
      <c r="H424" s="3" t="str">
        <f>HYPERLINK("http://funmeta.oebiotech.com/network/58014", "http://funmeta.oebiotech.com/network/58014")</f>
      </c>
      <c r="I424" s="2" t="s">
        <v>18650</v>
      </c>
      <c r="J424" s="2" t="s">
        <v>18651</v>
      </c>
      <c r="K424" s="2"/>
      <c r="L424" s="2"/>
      <c r="M424" s="2"/>
      <c r="N424" s="2" t="s">
        <v>18652</v>
      </c>
      <c r="O424" s="2" t="s">
        <v>18653</v>
      </c>
      <c r="P424" s="2" t="s">
        <v>18654</v>
      </c>
      <c r="Q424" s="2" t="s">
        <v>18655</v>
      </c>
      <c r="R424" s="2" t="s">
        <v>1490</v>
      </c>
      <c r="S424" s="2" t="s">
        <v>3546</v>
      </c>
      <c r="T424" s="2" t="s">
        <v>8600</v>
      </c>
      <c r="U424" s="2" t="s">
        <v>18647</v>
      </c>
      <c r="V424" s="2" t="s">
        <v>15649</v>
      </c>
      <c r="W424" s="2"/>
    </row>
    <row r="425">
      <c r="A425" s="2" t="n">
        <v>294</v>
      </c>
      <c r="B425" s="2" t="s">
        <v>12441</v>
      </c>
      <c r="C425" s="2" t="s">
        <v>18656</v>
      </c>
      <c r="D425" s="2" t="n">
        <v>535.59247639</v>
      </c>
      <c r="E425" s="2" t="n">
        <v>9.98693791455994</v>
      </c>
      <c r="F425" s="2" t="s">
        <v>18658</v>
      </c>
      <c r="G425" s="2" t="n">
        <v>199895</v>
      </c>
      <c r="H425" s="3" t="str">
        <f>HYPERLINK("http://funmeta.oebiotech.com/network/199895", "http://funmeta.oebiotech.com/network/199895")</f>
      </c>
      <c r="I425" s="2" t="s">
        <v>18660</v>
      </c>
      <c r="J425" s="2"/>
      <c r="K425" s="2"/>
      <c r="L425" s="2"/>
      <c r="M425" s="2"/>
      <c r="N425" s="2" t="s">
        <v>18661</v>
      </c>
      <c r="O425" s="2"/>
      <c r="P425" s="2" t="s">
        <v>18662</v>
      </c>
      <c r="Q425" s="2" t="s">
        <v>18663</v>
      </c>
      <c r="R425" s="2" t="s">
        <v>36</v>
      </c>
      <c r="S425" s="2" t="s">
        <v>37</v>
      </c>
      <c r="T425" s="2" t="s">
        <v>679</v>
      </c>
      <c r="U425" s="2" t="s">
        <v>18657</v>
      </c>
      <c r="V425" s="2" t="s">
        <v>15778</v>
      </c>
      <c r="W425" s="2"/>
    </row>
    <row r="426">
      <c r="A426" s="2" t="n">
        <v>295</v>
      </c>
      <c r="B426" s="2" t="s">
        <v>12442</v>
      </c>
      <c r="C426" s="2" t="s">
        <v>18664</v>
      </c>
      <c r="D426" s="2" t="n">
        <v>536.286745311</v>
      </c>
      <c r="E426" s="2" t="n">
        <v>6.8149536553813</v>
      </c>
      <c r="F426" s="2" t="s">
        <v>22606</v>
      </c>
      <c r="G426" s="2" t="n">
        <v>212994</v>
      </c>
      <c r="H426" s="3" t="str">
        <f>HYPERLINK("http://funmeta.oebiotech.com/network/212994", "http://funmeta.oebiotech.com/network/212994")</f>
      </c>
      <c r="I426" s="2" t="s">
        <v>22607</v>
      </c>
      <c r="J426" s="2"/>
      <c r="K426" s="2"/>
      <c r="L426" s="2"/>
      <c r="M426" s="2"/>
      <c r="N426" s="2"/>
      <c r="O426" s="2"/>
      <c r="P426" s="2" t="s">
        <v>22608</v>
      </c>
      <c r="Q426" s="2" t="s">
        <v>22609</v>
      </c>
      <c r="R426" s="2" t="s">
        <v>49</v>
      </c>
      <c r="S426" s="2" t="s">
        <v>165</v>
      </c>
      <c r="T426" s="2" t="s">
        <v>166</v>
      </c>
      <c r="U426" s="2" t="s">
        <v>18665</v>
      </c>
      <c r="V426" s="2" t="s">
        <v>15649</v>
      </c>
      <c r="W426" s="2"/>
    </row>
    <row r="427">
      <c r="A427" s="2" t="n">
        <v>295</v>
      </c>
      <c r="B427" s="2" t="s">
        <v>22610</v>
      </c>
      <c r="C427" s="2" t="s">
        <v>18664</v>
      </c>
      <c r="D427" s="2" t="n">
        <v>536.286745311</v>
      </c>
      <c r="E427" s="2" t="n">
        <v>6.8149536553813</v>
      </c>
      <c r="F427" s="2" t="s">
        <v>22611</v>
      </c>
      <c r="G427" s="2" t="n">
        <v>197030</v>
      </c>
      <c r="H427" s="3" t="str">
        <f>HYPERLINK("http://funmeta.oebiotech.com/network/197030", "http://funmeta.oebiotech.com/network/197030")</f>
      </c>
      <c r="I427" s="2" t="s">
        <v>22612</v>
      </c>
      <c r="J427" s="2"/>
      <c r="K427" s="2"/>
      <c r="L427" s="2"/>
      <c r="M427" s="2"/>
      <c r="N427" s="2" t="s">
        <v>22613</v>
      </c>
      <c r="O427" s="2"/>
      <c r="P427" s="2" t="s">
        <v>22614</v>
      </c>
      <c r="Q427" s="2" t="s">
        <v>22615</v>
      </c>
      <c r="R427" s="2" t="s">
        <v>4189</v>
      </c>
      <c r="S427" s="2" t="s">
        <v>7252</v>
      </c>
      <c r="T427" s="2" t="s">
        <v>7253</v>
      </c>
      <c r="U427" s="2" t="s">
        <v>18665</v>
      </c>
      <c r="V427" s="2" t="s">
        <v>15649</v>
      </c>
      <c r="W427" s="2"/>
    </row>
    <row r="428">
      <c r="A428" s="2" t="n">
        <v>296</v>
      </c>
      <c r="B428" s="2" t="s">
        <v>12443</v>
      </c>
      <c r="C428" s="2" t="s">
        <v>18675</v>
      </c>
      <c r="D428" s="2" t="n">
        <v>536.332234682</v>
      </c>
      <c r="E428" s="2" t="n">
        <v>9.31607426180794</v>
      </c>
      <c r="F428" s="2" t="s">
        <v>22616</v>
      </c>
      <c r="G428" s="2" t="n">
        <v>198144</v>
      </c>
      <c r="H428" s="3" t="str">
        <f>HYPERLINK("http://funmeta.oebiotech.com/network/198144", "http://funmeta.oebiotech.com/network/198144")</f>
      </c>
      <c r="I428" s="2" t="s">
        <v>22617</v>
      </c>
      <c r="J428" s="2"/>
      <c r="K428" s="2"/>
      <c r="L428" s="2"/>
      <c r="M428" s="2"/>
      <c r="N428" s="2"/>
      <c r="O428" s="2"/>
      <c r="P428" s="2" t="s">
        <v>22618</v>
      </c>
      <c r="Q428" s="2" t="s">
        <v>22619</v>
      </c>
      <c r="R428" s="2" t="s">
        <v>1490</v>
      </c>
      <c r="S428" s="2" t="s">
        <v>1491</v>
      </c>
      <c r="T428" s="2" t="s">
        <v>3884</v>
      </c>
      <c r="U428" s="2" t="s">
        <v>18676</v>
      </c>
      <c r="V428" s="2" t="s">
        <v>15691</v>
      </c>
      <c r="W428" s="2"/>
    </row>
    <row r="429">
      <c r="A429" s="2" t="n">
        <v>296</v>
      </c>
      <c r="B429" s="2" t="s">
        <v>22620</v>
      </c>
      <c r="C429" s="2" t="s">
        <v>18675</v>
      </c>
      <c r="D429" s="2" t="n">
        <v>536.332234682</v>
      </c>
      <c r="E429" s="2" t="n">
        <v>9.31607426180794</v>
      </c>
      <c r="F429" s="2" t="s">
        <v>22621</v>
      </c>
      <c r="G429" s="2" t="n">
        <v>198351</v>
      </c>
      <c r="H429" s="3" t="str">
        <f>HYPERLINK("http://funmeta.oebiotech.com/network/198351", "http://funmeta.oebiotech.com/network/198351")</f>
      </c>
      <c r="I429" s="2" t="s">
        <v>22622</v>
      </c>
      <c r="J429" s="2"/>
      <c r="K429" s="2"/>
      <c r="L429" s="2"/>
      <c r="M429" s="2"/>
      <c r="N429" s="2"/>
      <c r="O429" s="2"/>
      <c r="P429" s="2" t="s">
        <v>22623</v>
      </c>
      <c r="Q429" s="2" t="s">
        <v>22624</v>
      </c>
      <c r="R429" s="2" t="s">
        <v>1490</v>
      </c>
      <c r="S429" s="2" t="s">
        <v>1491</v>
      </c>
      <c r="T429" s="2" t="s">
        <v>3884</v>
      </c>
      <c r="U429" s="2" t="s">
        <v>18676</v>
      </c>
      <c r="V429" s="2" t="s">
        <v>15691</v>
      </c>
      <c r="W429" s="2"/>
    </row>
    <row r="430">
      <c r="A430" s="2" t="n">
        <v>296</v>
      </c>
      <c r="B430" s="2" t="s">
        <v>22625</v>
      </c>
      <c r="C430" s="2" t="s">
        <v>18675</v>
      </c>
      <c r="D430" s="2" t="n">
        <v>536.332234682</v>
      </c>
      <c r="E430" s="2" t="n">
        <v>9.31607426180794</v>
      </c>
      <c r="F430" s="2" t="s">
        <v>22626</v>
      </c>
      <c r="G430" s="2" t="n">
        <v>198355</v>
      </c>
      <c r="H430" s="3" t="str">
        <f>HYPERLINK("http://funmeta.oebiotech.com/network/198355", "http://funmeta.oebiotech.com/network/198355")</f>
      </c>
      <c r="I430" s="2" t="s">
        <v>22627</v>
      </c>
      <c r="J430" s="2"/>
      <c r="K430" s="2"/>
      <c r="L430" s="2"/>
      <c r="M430" s="2"/>
      <c r="N430" s="2"/>
      <c r="O430" s="2"/>
      <c r="P430" s="2" t="s">
        <v>22628</v>
      </c>
      <c r="Q430" s="2" t="s">
        <v>22629</v>
      </c>
      <c r="R430" s="2" t="s">
        <v>1490</v>
      </c>
      <c r="S430" s="2" t="s">
        <v>1491</v>
      </c>
      <c r="T430" s="2" t="s">
        <v>3884</v>
      </c>
      <c r="U430" s="2" t="s">
        <v>18676</v>
      </c>
      <c r="V430" s="2" t="s">
        <v>15691</v>
      </c>
      <c r="W430" s="2"/>
    </row>
    <row r="431">
      <c r="A431" s="2" t="n">
        <v>297</v>
      </c>
      <c r="B431" s="2" t="s">
        <v>12444</v>
      </c>
      <c r="C431" s="2" t="s">
        <v>18682</v>
      </c>
      <c r="D431" s="2" t="n">
        <v>537.029811144</v>
      </c>
      <c r="E431" s="2" t="n">
        <v>8.14980023148601</v>
      </c>
      <c r="F431" s="2" t="s">
        <v>18684</v>
      </c>
      <c r="G431" s="2" t="n">
        <v>209885</v>
      </c>
      <c r="H431" s="3" t="str">
        <f>HYPERLINK("http://funmeta.oebiotech.com/network/209885", "http://funmeta.oebiotech.com/network/209885")</f>
      </c>
      <c r="I431" s="2" t="s">
        <v>18686</v>
      </c>
      <c r="J431" s="2"/>
      <c r="K431" s="2"/>
      <c r="L431" s="2"/>
      <c r="M431" s="2"/>
      <c r="N431" s="2" t="s">
        <v>18687</v>
      </c>
      <c r="O431" s="2"/>
      <c r="P431" s="2" t="s">
        <v>18688</v>
      </c>
      <c r="Q431" s="2" t="s">
        <v>18689</v>
      </c>
      <c r="R431" s="2" t="s">
        <v>2509</v>
      </c>
      <c r="S431" s="2" t="s">
        <v>4367</v>
      </c>
      <c r="T431" s="2" t="s">
        <v>205</v>
      </c>
      <c r="U431" s="2" t="s">
        <v>18683</v>
      </c>
      <c r="V431" s="2" t="s">
        <v>15691</v>
      </c>
      <c r="W431" s="2"/>
    </row>
    <row r="432">
      <c r="A432" s="2" t="n">
        <v>298</v>
      </c>
      <c r="B432" s="2" t="s">
        <v>12474</v>
      </c>
      <c r="C432" s="2" t="s">
        <v>18690</v>
      </c>
      <c r="D432" s="2" t="n">
        <v>539.261691006</v>
      </c>
      <c r="E432" s="2" t="n">
        <v>0.570572983677173</v>
      </c>
      <c r="F432" s="2" t="s">
        <v>18692</v>
      </c>
      <c r="G432" s="2" t="n">
        <v>52771</v>
      </c>
      <c r="H432" s="3" t="str">
        <f>HYPERLINK("http://funmeta.oebiotech.com/network/52771", "http://funmeta.oebiotech.com/network/52771")</f>
      </c>
      <c r="I432" s="2" t="s">
        <v>18694</v>
      </c>
      <c r="J432" s="2" t="s">
        <v>18695</v>
      </c>
      <c r="K432" s="2"/>
      <c r="L432" s="2" t="s">
        <v>18696</v>
      </c>
      <c r="M432" s="2" t="s">
        <v>18697</v>
      </c>
      <c r="N432" s="2" t="s">
        <v>18698</v>
      </c>
      <c r="O432" s="2" t="s">
        <v>18699</v>
      </c>
      <c r="P432" s="2" t="s">
        <v>18700</v>
      </c>
      <c r="Q432" s="2" t="s">
        <v>18701</v>
      </c>
      <c r="R432" s="2" t="s">
        <v>1490</v>
      </c>
      <c r="S432" s="2" t="s">
        <v>1491</v>
      </c>
      <c r="T432" s="2" t="s">
        <v>1492</v>
      </c>
      <c r="U432" s="2" t="s">
        <v>18691</v>
      </c>
      <c r="V432" s="2" t="s">
        <v>15919</v>
      </c>
      <c r="W432" s="2" t="s">
        <v>39</v>
      </c>
    </row>
    <row r="433">
      <c r="A433" s="2" t="n">
        <v>299</v>
      </c>
      <c r="B433" s="2" t="s">
        <v>12475</v>
      </c>
      <c r="C433" s="2" t="s">
        <v>18702</v>
      </c>
      <c r="D433" s="2" t="n">
        <v>540.344967126</v>
      </c>
      <c r="E433" s="2" t="n">
        <v>5.52150068087278</v>
      </c>
      <c r="F433" s="2" t="s">
        <v>18704</v>
      </c>
      <c r="G433" s="2" t="n">
        <v>198171</v>
      </c>
      <c r="H433" s="3" t="str">
        <f>HYPERLINK("http://funmeta.oebiotech.com/network/198171", "http://funmeta.oebiotech.com/network/198171")</f>
      </c>
      <c r="I433" s="2" t="s">
        <v>18706</v>
      </c>
      <c r="J433" s="2"/>
      <c r="K433" s="2"/>
      <c r="L433" s="2"/>
      <c r="M433" s="2"/>
      <c r="N433" s="2"/>
      <c r="O433" s="2"/>
      <c r="P433" s="2" t="s">
        <v>18707</v>
      </c>
      <c r="Q433" s="2" t="s">
        <v>18708</v>
      </c>
      <c r="R433" s="2" t="s">
        <v>1490</v>
      </c>
      <c r="S433" s="2" t="s">
        <v>1491</v>
      </c>
      <c r="T433" s="2" t="s">
        <v>3884</v>
      </c>
      <c r="U433" s="2" t="s">
        <v>18703</v>
      </c>
      <c r="V433" s="2" t="s">
        <v>15919</v>
      </c>
      <c r="W433" s="2"/>
    </row>
    <row r="434">
      <c r="A434" s="2" t="n">
        <v>300</v>
      </c>
      <c r="B434" s="2" t="s">
        <v>12476</v>
      </c>
      <c r="C434" s="2" t="s">
        <v>18709</v>
      </c>
      <c r="D434" s="2" t="n">
        <v>540.535021079</v>
      </c>
      <c r="E434" s="2" t="n">
        <v>1.09054568783635</v>
      </c>
      <c r="F434" s="2" t="s">
        <v>18711</v>
      </c>
      <c r="G434" s="2" t="n">
        <v>39241</v>
      </c>
      <c r="H434" s="3" t="str">
        <f>HYPERLINK("http://funmeta.oebiotech.com/network/39241", "http://funmeta.oebiotech.com/network/39241")</f>
      </c>
      <c r="I434" s="2" t="s">
        <v>18713</v>
      </c>
      <c r="J434" s="2" t="s">
        <v>18714</v>
      </c>
      <c r="K434" s="2" t="s">
        <v>18715</v>
      </c>
      <c r="L434" s="2"/>
      <c r="M434" s="2" t="s">
        <v>18716</v>
      </c>
      <c r="N434" s="2" t="s">
        <v>18717</v>
      </c>
      <c r="O434" s="2" t="s">
        <v>18718</v>
      </c>
      <c r="P434" s="2" t="s">
        <v>18719</v>
      </c>
      <c r="Q434" s="2" t="s">
        <v>18720</v>
      </c>
      <c r="R434" s="2" t="s">
        <v>1490</v>
      </c>
      <c r="S434" s="2" t="s">
        <v>8433</v>
      </c>
      <c r="T434" s="2" t="s">
        <v>18721</v>
      </c>
      <c r="U434" s="2" t="s">
        <v>18710</v>
      </c>
      <c r="V434" s="2" t="s">
        <v>15649</v>
      </c>
      <c r="W434" s="2"/>
    </row>
    <row r="435">
      <c r="A435" s="2" t="n">
        <v>301</v>
      </c>
      <c r="B435" s="2" t="s">
        <v>12477</v>
      </c>
      <c r="C435" s="2" t="s">
        <v>18722</v>
      </c>
      <c r="D435" s="2" t="n">
        <v>541.056309928</v>
      </c>
      <c r="E435" s="2" t="n">
        <v>0.310416322198955</v>
      </c>
      <c r="F435" s="2" t="s">
        <v>18724</v>
      </c>
      <c r="G435" s="2" t="n">
        <v>52907</v>
      </c>
      <c r="H435" s="3" t="str">
        <f>HYPERLINK("http://funmeta.oebiotech.com/network/52907", "http://funmeta.oebiotech.com/network/52907")</f>
      </c>
      <c r="I435" s="2" t="s">
        <v>18726</v>
      </c>
      <c r="J435" s="2" t="s">
        <v>18727</v>
      </c>
      <c r="K435" s="2"/>
      <c r="L435" s="2" t="s">
        <v>18728</v>
      </c>
      <c r="M435" s="2" t="s">
        <v>18729</v>
      </c>
      <c r="N435" s="2" t="s">
        <v>18730</v>
      </c>
      <c r="O435" s="2" t="s">
        <v>18731</v>
      </c>
      <c r="P435" s="2" t="s">
        <v>18732</v>
      </c>
      <c r="Q435" s="2" t="s">
        <v>18733</v>
      </c>
      <c r="R435" s="2" t="s">
        <v>502</v>
      </c>
      <c r="S435" s="2" t="s">
        <v>503</v>
      </c>
      <c r="T435" s="2" t="s">
        <v>1964</v>
      </c>
      <c r="U435" s="2" t="s">
        <v>18723</v>
      </c>
      <c r="V435" s="2" t="s">
        <v>15778</v>
      </c>
      <c r="W435" s="2" t="s">
        <v>39</v>
      </c>
    </row>
    <row r="436">
      <c r="A436" s="2" t="n">
        <v>302</v>
      </c>
      <c r="B436" s="2" t="s">
        <v>12507</v>
      </c>
      <c r="C436" s="2" t="s">
        <v>18734</v>
      </c>
      <c r="D436" s="2" t="n">
        <v>541.280182942</v>
      </c>
      <c r="E436" s="2" t="n">
        <v>8.56515381457271</v>
      </c>
      <c r="F436" s="2" t="s">
        <v>18736</v>
      </c>
      <c r="G436" s="2" t="n">
        <v>60684</v>
      </c>
      <c r="H436" s="3" t="str">
        <f>HYPERLINK("http://funmeta.oebiotech.com/network/60684", "http://funmeta.oebiotech.com/network/60684")</f>
      </c>
      <c r="I436" s="2" t="s">
        <v>18738</v>
      </c>
      <c r="J436" s="2"/>
      <c r="K436" s="2"/>
      <c r="L436" s="2"/>
      <c r="M436" s="2"/>
      <c r="N436" s="2" t="s">
        <v>18739</v>
      </c>
      <c r="O436" s="2" t="s">
        <v>18740</v>
      </c>
      <c r="P436" s="2" t="s">
        <v>18741</v>
      </c>
      <c r="Q436" s="2" t="s">
        <v>18742</v>
      </c>
      <c r="R436" s="2" t="s">
        <v>1490</v>
      </c>
      <c r="S436" s="2" t="s">
        <v>4971</v>
      </c>
      <c r="T436" s="2" t="s">
        <v>5966</v>
      </c>
      <c r="U436" s="2" t="s">
        <v>18735</v>
      </c>
      <c r="V436" s="2" t="s">
        <v>15611</v>
      </c>
      <c r="W436" s="2"/>
    </row>
    <row r="437">
      <c r="A437" s="2" t="n">
        <v>303</v>
      </c>
      <c r="B437" s="2" t="s">
        <v>12508</v>
      </c>
      <c r="C437" s="2" t="s">
        <v>18743</v>
      </c>
      <c r="D437" s="2" t="n">
        <v>542.308820793</v>
      </c>
      <c r="E437" s="2" t="n">
        <v>4.23927541739312</v>
      </c>
      <c r="F437" s="2" t="s">
        <v>18745</v>
      </c>
      <c r="G437" s="2" t="n">
        <v>198150</v>
      </c>
      <c r="H437" s="3" t="str">
        <f>HYPERLINK("http://funmeta.oebiotech.com/network/198150", "http://funmeta.oebiotech.com/network/198150")</f>
      </c>
      <c r="I437" s="2" t="s">
        <v>18747</v>
      </c>
      <c r="J437" s="2"/>
      <c r="K437" s="2"/>
      <c r="L437" s="2"/>
      <c r="M437" s="2"/>
      <c r="N437" s="2"/>
      <c r="O437" s="2"/>
      <c r="P437" s="2" t="s">
        <v>18748</v>
      </c>
      <c r="Q437" s="2" t="s">
        <v>18749</v>
      </c>
      <c r="R437" s="2" t="s">
        <v>1490</v>
      </c>
      <c r="S437" s="2" t="s">
        <v>1491</v>
      </c>
      <c r="T437" s="2" t="s">
        <v>3884</v>
      </c>
      <c r="U437" s="2" t="s">
        <v>18744</v>
      </c>
      <c r="V437" s="2" t="s">
        <v>15858</v>
      </c>
      <c r="W437" s="2"/>
    </row>
    <row r="438">
      <c r="A438" s="2" t="n">
        <v>304</v>
      </c>
      <c r="B438" s="2" t="s">
        <v>12509</v>
      </c>
      <c r="C438" s="2" t="s">
        <v>18750</v>
      </c>
      <c r="D438" s="2" t="n">
        <v>544.8695481</v>
      </c>
      <c r="E438" s="2" t="n">
        <v>0.728670905530084</v>
      </c>
      <c r="F438" s="2" t="s">
        <v>18752</v>
      </c>
      <c r="G438" s="2" t="n">
        <v>206965</v>
      </c>
      <c r="H438" s="3" t="str">
        <f>HYPERLINK("http://funmeta.oebiotech.com/network/206965", "http://funmeta.oebiotech.com/network/206965")</f>
      </c>
      <c r="I438" s="2" t="s">
        <v>18754</v>
      </c>
      <c r="J438" s="2"/>
      <c r="K438" s="2"/>
      <c r="L438" s="2"/>
      <c r="M438" s="2"/>
      <c r="N438" s="2" t="s">
        <v>18755</v>
      </c>
      <c r="O438" s="2"/>
      <c r="P438" s="2" t="s">
        <v>18756</v>
      </c>
      <c r="Q438" s="2" t="s">
        <v>18757</v>
      </c>
      <c r="R438" s="2" t="s">
        <v>502</v>
      </c>
      <c r="S438" s="2" t="s">
        <v>503</v>
      </c>
      <c r="T438" s="2" t="s">
        <v>2174</v>
      </c>
      <c r="U438" s="2" t="s">
        <v>18751</v>
      </c>
      <c r="V438" s="2" t="s">
        <v>15722</v>
      </c>
      <c r="W438" s="2"/>
    </row>
    <row r="439">
      <c r="A439" s="2" t="n">
        <v>305</v>
      </c>
      <c r="B439" s="2" t="s">
        <v>12510</v>
      </c>
      <c r="C439" s="2" t="s">
        <v>18758</v>
      </c>
      <c r="D439" s="2" t="n">
        <v>545.063325552</v>
      </c>
      <c r="E439" s="2" t="n">
        <v>4.15926067244378</v>
      </c>
      <c r="F439" s="2" t="s">
        <v>18760</v>
      </c>
      <c r="G439" s="2" t="n">
        <v>58254</v>
      </c>
      <c r="H439" s="3" t="str">
        <f>HYPERLINK("http://funmeta.oebiotech.com/network/58254", "http://funmeta.oebiotech.com/network/58254")</f>
      </c>
      <c r="I439" s="2" t="s">
        <v>18762</v>
      </c>
      <c r="J439" s="2" t="s">
        <v>18763</v>
      </c>
      <c r="K439" s="2"/>
      <c r="L439" s="2"/>
      <c r="M439" s="2"/>
      <c r="N439" s="2" t="s">
        <v>18764</v>
      </c>
      <c r="O439" s="2" t="s">
        <v>18765</v>
      </c>
      <c r="P439" s="2" t="s">
        <v>18766</v>
      </c>
      <c r="Q439" s="2" t="s">
        <v>18767</v>
      </c>
      <c r="R439" s="2" t="s">
        <v>502</v>
      </c>
      <c r="S439" s="2" t="s">
        <v>18768</v>
      </c>
      <c r="T439" s="2" t="s">
        <v>205</v>
      </c>
      <c r="U439" s="2" t="s">
        <v>18759</v>
      </c>
      <c r="V439" s="2" t="s">
        <v>15919</v>
      </c>
      <c r="W439" s="2"/>
    </row>
    <row r="440">
      <c r="A440" s="2" t="n">
        <v>306</v>
      </c>
      <c r="B440" s="2" t="s">
        <v>12532</v>
      </c>
      <c r="C440" s="2" t="s">
        <v>18769</v>
      </c>
      <c r="D440" s="2" t="n">
        <v>547.084694104</v>
      </c>
      <c r="E440" s="2" t="n">
        <v>1.21987719469681</v>
      </c>
      <c r="F440" s="2" t="s">
        <v>18771</v>
      </c>
      <c r="G440" s="2" t="n">
        <v>56928</v>
      </c>
      <c r="H440" s="3" t="str">
        <f>HYPERLINK("http://funmeta.oebiotech.com/network/56928", "http://funmeta.oebiotech.com/network/56928")</f>
      </c>
      <c r="I440" s="2" t="s">
        <v>18773</v>
      </c>
      <c r="J440" s="2" t="s">
        <v>18774</v>
      </c>
      <c r="K440" s="2"/>
      <c r="L440" s="2" t="s">
        <v>18775</v>
      </c>
      <c r="M440" s="2"/>
      <c r="N440" s="2" t="s">
        <v>18776</v>
      </c>
      <c r="O440" s="2" t="s">
        <v>18777</v>
      </c>
      <c r="P440" s="2" t="s">
        <v>18778</v>
      </c>
      <c r="Q440" s="2" t="s">
        <v>18779</v>
      </c>
      <c r="R440" s="2" t="s">
        <v>502</v>
      </c>
      <c r="S440" s="2" t="s">
        <v>503</v>
      </c>
      <c r="T440" s="2" t="s">
        <v>5917</v>
      </c>
      <c r="U440" s="2" t="s">
        <v>18770</v>
      </c>
      <c r="V440" s="2" t="s">
        <v>17922</v>
      </c>
      <c r="W440" s="2" t="s">
        <v>39</v>
      </c>
    </row>
    <row r="441">
      <c r="A441" s="2" t="n">
        <v>307</v>
      </c>
      <c r="B441" s="2" t="s">
        <v>12533</v>
      </c>
      <c r="C441" s="2" t="s">
        <v>18780</v>
      </c>
      <c r="D441" s="2" t="n">
        <v>547.292085024</v>
      </c>
      <c r="E441" s="2" t="n">
        <v>2.36632575283729</v>
      </c>
      <c r="F441" s="2" t="s">
        <v>18782</v>
      </c>
      <c r="G441" s="2" t="n">
        <v>206158</v>
      </c>
      <c r="H441" s="3" t="str">
        <f>HYPERLINK("http://funmeta.oebiotech.com/network/206158", "http://funmeta.oebiotech.com/network/206158")</f>
      </c>
      <c r="I441" s="2" t="s">
        <v>18784</v>
      </c>
      <c r="J441" s="2"/>
      <c r="K441" s="2"/>
      <c r="L441" s="2"/>
      <c r="M441" s="2"/>
      <c r="N441" s="2" t="s">
        <v>18785</v>
      </c>
      <c r="O441" s="2"/>
      <c r="P441" s="2" t="s">
        <v>18786</v>
      </c>
      <c r="Q441" s="2" t="s">
        <v>18787</v>
      </c>
      <c r="R441" s="2" t="s">
        <v>355</v>
      </c>
      <c r="S441" s="2" t="s">
        <v>4796</v>
      </c>
      <c r="T441" s="2" t="s">
        <v>4797</v>
      </c>
      <c r="U441" s="2" t="s">
        <v>18781</v>
      </c>
      <c r="V441" s="2" t="s">
        <v>15611</v>
      </c>
      <c r="W441" s="2"/>
    </row>
    <row r="442">
      <c r="A442" s="2" t="n">
        <v>308</v>
      </c>
      <c r="B442" s="2" t="s">
        <v>12534</v>
      </c>
      <c r="C442" s="2" t="s">
        <v>18788</v>
      </c>
      <c r="D442" s="2" t="n">
        <v>547.542449548</v>
      </c>
      <c r="E442" s="2" t="n">
        <v>9.61099206145273</v>
      </c>
      <c r="F442" s="2" t="s">
        <v>22630</v>
      </c>
      <c r="G442" s="2" t="n">
        <v>55861</v>
      </c>
      <c r="H442" s="3" t="str">
        <f>HYPERLINK("http://funmeta.oebiotech.com/network/55861", "http://funmeta.oebiotech.com/network/55861")</f>
      </c>
      <c r="I442" s="2" t="s">
        <v>22631</v>
      </c>
      <c r="J442" s="2" t="s">
        <v>22632</v>
      </c>
      <c r="K442" s="2"/>
      <c r="L442" s="2"/>
      <c r="M442" s="2"/>
      <c r="N442" s="2" t="s">
        <v>22633</v>
      </c>
      <c r="O442" s="2" t="s">
        <v>22634</v>
      </c>
      <c r="P442" s="2" t="s">
        <v>22635</v>
      </c>
      <c r="Q442" s="2" t="s">
        <v>22636</v>
      </c>
      <c r="R442" s="2" t="s">
        <v>1490</v>
      </c>
      <c r="S442" s="2" t="s">
        <v>1491</v>
      </c>
      <c r="T442" s="2" t="s">
        <v>6924</v>
      </c>
      <c r="U442" s="2" t="s">
        <v>18789</v>
      </c>
      <c r="V442" s="2" t="s">
        <v>15858</v>
      </c>
      <c r="W442" s="2"/>
    </row>
    <row r="443">
      <c r="A443" s="2" t="n">
        <v>308</v>
      </c>
      <c r="B443" s="2" t="s">
        <v>22637</v>
      </c>
      <c r="C443" s="2" t="s">
        <v>18788</v>
      </c>
      <c r="D443" s="2" t="n">
        <v>547.542449548</v>
      </c>
      <c r="E443" s="2" t="n">
        <v>9.61099206145273</v>
      </c>
      <c r="F443" s="2" t="s">
        <v>22638</v>
      </c>
      <c r="G443" s="2" t="n">
        <v>64182</v>
      </c>
      <c r="H443" s="3" t="str">
        <f>HYPERLINK("http://funmeta.oebiotech.com/network/64182", "http://funmeta.oebiotech.com/network/64182")</f>
      </c>
      <c r="I443" s="2" t="s">
        <v>22639</v>
      </c>
      <c r="J443" s="2" t="s">
        <v>22640</v>
      </c>
      <c r="K443" s="2"/>
      <c r="L443" s="2"/>
      <c r="M443" s="2"/>
      <c r="N443" s="2" t="s">
        <v>22641</v>
      </c>
      <c r="O443" s="2" t="s">
        <v>22642</v>
      </c>
      <c r="P443" s="2" t="s">
        <v>22643</v>
      </c>
      <c r="Q443" s="2" t="s">
        <v>22644</v>
      </c>
      <c r="R443" s="2" t="s">
        <v>1490</v>
      </c>
      <c r="S443" s="2" t="s">
        <v>1491</v>
      </c>
      <c r="T443" s="2" t="s">
        <v>6924</v>
      </c>
      <c r="U443" s="2" t="s">
        <v>18789</v>
      </c>
      <c r="V443" s="2" t="s">
        <v>15858</v>
      </c>
      <c r="W443" s="2"/>
    </row>
    <row r="444">
      <c r="A444" s="2" t="n">
        <v>309</v>
      </c>
      <c r="B444" s="2" t="s">
        <v>12535</v>
      </c>
      <c r="C444" s="2" t="s">
        <v>18799</v>
      </c>
      <c r="D444" s="2" t="n">
        <v>548.049424</v>
      </c>
      <c r="E444" s="2" t="n">
        <v>8.01175248899555</v>
      </c>
      <c r="F444" s="2" t="s">
        <v>18801</v>
      </c>
      <c r="G444" s="2" t="n">
        <v>257608</v>
      </c>
      <c r="H444" s="3" t="str">
        <f>HYPERLINK("http://funmeta.oebiotech.com/network/257608", "http://funmeta.oebiotech.com/network/257608")</f>
      </c>
      <c r="I444" s="2" t="s">
        <v>18803</v>
      </c>
      <c r="J444" s="2"/>
      <c r="K444" s="2"/>
      <c r="L444" s="2"/>
      <c r="M444" s="2"/>
      <c r="N444" s="2"/>
      <c r="O444" s="2"/>
      <c r="P444" s="2" t="s">
        <v>18804</v>
      </c>
      <c r="Q444" s="2" t="s">
        <v>18805</v>
      </c>
      <c r="R444" s="2" t="s">
        <v>355</v>
      </c>
      <c r="S444" s="2" t="s">
        <v>1316</v>
      </c>
      <c r="T444" s="2" t="s">
        <v>4872</v>
      </c>
      <c r="U444" s="2" t="s">
        <v>18800</v>
      </c>
      <c r="V444" s="2" t="s">
        <v>15919</v>
      </c>
      <c r="W444" s="2"/>
    </row>
    <row r="445">
      <c r="A445" s="2" t="n">
        <v>310</v>
      </c>
      <c r="B445" s="2" t="s">
        <v>12536</v>
      </c>
      <c r="C445" s="2" t="s">
        <v>18806</v>
      </c>
      <c r="D445" s="2" t="n">
        <v>548.8032135</v>
      </c>
      <c r="E445" s="2" t="n">
        <v>3.55501860361096</v>
      </c>
      <c r="F445" s="2" t="s">
        <v>18808</v>
      </c>
      <c r="G445" s="2" t="n">
        <v>209354</v>
      </c>
      <c r="H445" s="3" t="str">
        <f>HYPERLINK("http://funmeta.oebiotech.com/network/209354", "http://funmeta.oebiotech.com/network/209354")</f>
      </c>
      <c r="I445" s="2" t="s">
        <v>18810</v>
      </c>
      <c r="J445" s="2"/>
      <c r="K445" s="2"/>
      <c r="L445" s="2"/>
      <c r="M445" s="2"/>
      <c r="N445" s="2" t="s">
        <v>18811</v>
      </c>
      <c r="O445" s="2"/>
      <c r="P445" s="2" t="s">
        <v>18812</v>
      </c>
      <c r="Q445" s="2" t="s">
        <v>18813</v>
      </c>
      <c r="R445" s="2" t="s">
        <v>502</v>
      </c>
      <c r="S445" s="2" t="s">
        <v>503</v>
      </c>
      <c r="T445" s="2" t="s">
        <v>5144</v>
      </c>
      <c r="U445" s="2" t="s">
        <v>18807</v>
      </c>
      <c r="V445" s="2" t="s">
        <v>15722</v>
      </c>
      <c r="W445" s="2"/>
    </row>
    <row r="446">
      <c r="A446" s="2" t="n">
        <v>311</v>
      </c>
      <c r="B446" s="2" t="s">
        <v>12537</v>
      </c>
      <c r="C446" s="2" t="s">
        <v>18814</v>
      </c>
      <c r="D446" s="2" t="n">
        <v>549.286605724</v>
      </c>
      <c r="E446" s="2" t="n">
        <v>2.30058737612952</v>
      </c>
      <c r="F446" s="2" t="s">
        <v>18816</v>
      </c>
      <c r="G446" s="2" t="n">
        <v>47928</v>
      </c>
      <c r="H446" s="3" t="str">
        <f>HYPERLINK("http://funmeta.oebiotech.com/network/47928", "http://funmeta.oebiotech.com/network/47928")</f>
      </c>
      <c r="I446" s="2" t="s">
        <v>18818</v>
      </c>
      <c r="J446" s="2" t="s">
        <v>18819</v>
      </c>
      <c r="K446" s="2"/>
      <c r="L446" s="2"/>
      <c r="M446" s="2"/>
      <c r="N446" s="2"/>
      <c r="O446" s="2" t="s">
        <v>18820</v>
      </c>
      <c r="P446" s="2" t="s">
        <v>18821</v>
      </c>
      <c r="Q446" s="2" t="s">
        <v>18822</v>
      </c>
      <c r="R446" s="2" t="s">
        <v>355</v>
      </c>
      <c r="S446" s="2" t="s">
        <v>14592</v>
      </c>
      <c r="T446" s="2" t="s">
        <v>14593</v>
      </c>
      <c r="U446" s="2" t="s">
        <v>18815</v>
      </c>
      <c r="V446" s="2" t="s">
        <v>15611</v>
      </c>
      <c r="W446" s="2"/>
    </row>
    <row r="447">
      <c r="A447" s="2" t="n">
        <v>312</v>
      </c>
      <c r="B447" s="2" t="s">
        <v>12538</v>
      </c>
      <c r="C447" s="2" t="s">
        <v>18823</v>
      </c>
      <c r="D447" s="2" t="n">
        <v>550.808314754</v>
      </c>
      <c r="E447" s="2" t="n">
        <v>2.19849380036332</v>
      </c>
      <c r="F447" s="2" t="s">
        <v>18825</v>
      </c>
      <c r="G447" s="2" t="n">
        <v>208770</v>
      </c>
      <c r="H447" s="3" t="str">
        <f>HYPERLINK("http://funmeta.oebiotech.com/network/208770", "http://funmeta.oebiotech.com/network/208770")</f>
      </c>
      <c r="I447" s="2" t="s">
        <v>18827</v>
      </c>
      <c r="J447" s="2" t="s">
        <v>18828</v>
      </c>
      <c r="K447" s="2"/>
      <c r="L447" s="2" t="s">
        <v>18829</v>
      </c>
      <c r="M447" s="2" t="s">
        <v>18830</v>
      </c>
      <c r="N447" s="2" t="s">
        <v>18831</v>
      </c>
      <c r="O447" s="2" t="s">
        <v>18832</v>
      </c>
      <c r="P447" s="2" t="s">
        <v>18833</v>
      </c>
      <c r="Q447" s="2" t="s">
        <v>18834</v>
      </c>
      <c r="R447" s="2" t="s">
        <v>49</v>
      </c>
      <c r="S447" s="2" t="s">
        <v>782</v>
      </c>
      <c r="T447" s="2" t="s">
        <v>18835</v>
      </c>
      <c r="U447" s="2" t="s">
        <v>18824</v>
      </c>
      <c r="V447" s="2" t="s">
        <v>16225</v>
      </c>
      <c r="W447" s="2" t="s">
        <v>39</v>
      </c>
    </row>
    <row r="448">
      <c r="A448" s="2" t="n">
        <v>313</v>
      </c>
      <c r="B448" s="2" t="s">
        <v>12539</v>
      </c>
      <c r="C448" s="2" t="s">
        <v>18836</v>
      </c>
      <c r="D448" s="2" t="n">
        <v>553.470069835</v>
      </c>
      <c r="E448" s="2" t="n">
        <v>2.07213486384351</v>
      </c>
      <c r="F448" s="2" t="s">
        <v>18838</v>
      </c>
      <c r="G448" s="2" t="n">
        <v>213229</v>
      </c>
      <c r="H448" s="3" t="str">
        <f>HYPERLINK("http://funmeta.oebiotech.com/network/213229", "http://funmeta.oebiotech.com/network/213229")</f>
      </c>
      <c r="I448" s="2" t="s">
        <v>18840</v>
      </c>
      <c r="J448" s="2"/>
      <c r="K448" s="2"/>
      <c r="L448" s="2"/>
      <c r="M448" s="2"/>
      <c r="N448" s="2" t="s">
        <v>18841</v>
      </c>
      <c r="O448" s="2"/>
      <c r="P448" s="2" t="s">
        <v>18842</v>
      </c>
      <c r="Q448" s="2" t="s">
        <v>18843</v>
      </c>
      <c r="R448" s="2" t="s">
        <v>355</v>
      </c>
      <c r="S448" s="2" t="s">
        <v>5806</v>
      </c>
      <c r="T448" s="2" t="s">
        <v>5807</v>
      </c>
      <c r="U448" s="2" t="s">
        <v>18837</v>
      </c>
      <c r="V448" s="2" t="s">
        <v>15649</v>
      </c>
      <c r="W448" s="2"/>
    </row>
    <row r="449">
      <c r="A449" s="2" t="n">
        <v>314</v>
      </c>
      <c r="B449" s="2" t="s">
        <v>12540</v>
      </c>
      <c r="C449" s="2" t="s">
        <v>18844</v>
      </c>
      <c r="D449" s="2" t="n">
        <v>554.277795443</v>
      </c>
      <c r="E449" s="2" t="n">
        <v>3.64065063681213</v>
      </c>
      <c r="F449" s="2" t="s">
        <v>22645</v>
      </c>
      <c r="G449" s="2" t="n">
        <v>211635</v>
      </c>
      <c r="H449" s="3" t="str">
        <f>HYPERLINK("http://funmeta.oebiotech.com/network/211635", "http://funmeta.oebiotech.com/network/211635")</f>
      </c>
      <c r="I449" s="2" t="s">
        <v>22646</v>
      </c>
      <c r="J449" s="2"/>
      <c r="K449" s="2"/>
      <c r="L449" s="2"/>
      <c r="M449" s="2"/>
      <c r="N449" s="2" t="s">
        <v>22647</v>
      </c>
      <c r="O449" s="2"/>
      <c r="P449" s="2" t="s">
        <v>22648</v>
      </c>
      <c r="Q449" s="2" t="s">
        <v>22649</v>
      </c>
      <c r="R449" s="2" t="s">
        <v>355</v>
      </c>
      <c r="S449" s="2" t="s">
        <v>2424</v>
      </c>
      <c r="T449" s="2" t="s">
        <v>6368</v>
      </c>
      <c r="U449" s="2" t="s">
        <v>18845</v>
      </c>
      <c r="V449" s="2" t="s">
        <v>15858</v>
      </c>
      <c r="W449" s="2"/>
    </row>
    <row r="450">
      <c r="A450" s="2" t="n">
        <v>314</v>
      </c>
      <c r="B450" s="2" t="s">
        <v>12549</v>
      </c>
      <c r="C450" s="2" t="s">
        <v>18844</v>
      </c>
      <c r="D450" s="2" t="n">
        <v>554.277795443</v>
      </c>
      <c r="E450" s="2" t="n">
        <v>3.64065063681213</v>
      </c>
      <c r="F450" s="2" t="s">
        <v>22650</v>
      </c>
      <c r="G450" s="2" t="n">
        <v>212924</v>
      </c>
      <c r="H450" s="3" t="str">
        <f>HYPERLINK("http://funmeta.oebiotech.com/network/212924", "http://funmeta.oebiotech.com/network/212924")</f>
      </c>
      <c r="I450" s="2" t="s">
        <v>22651</v>
      </c>
      <c r="J450" s="2"/>
      <c r="K450" s="2"/>
      <c r="L450" s="2"/>
      <c r="M450" s="2"/>
      <c r="N450" s="2"/>
      <c r="O450" s="2"/>
      <c r="P450" s="2" t="s">
        <v>22652</v>
      </c>
      <c r="Q450" s="2" t="s">
        <v>22653</v>
      </c>
      <c r="R450" s="2" t="s">
        <v>355</v>
      </c>
      <c r="S450" s="2" t="s">
        <v>2424</v>
      </c>
      <c r="T450" s="2" t="s">
        <v>6368</v>
      </c>
      <c r="U450" s="2" t="s">
        <v>18845</v>
      </c>
      <c r="V450" s="2" t="s">
        <v>15858</v>
      </c>
      <c r="W450" s="2"/>
    </row>
    <row r="451">
      <c r="A451" s="2" t="n">
        <v>315</v>
      </c>
      <c r="B451" s="2" t="s">
        <v>12558</v>
      </c>
      <c r="C451" s="2" t="s">
        <v>18854</v>
      </c>
      <c r="D451" s="2" t="n">
        <v>555.05333304</v>
      </c>
      <c r="E451" s="2" t="n">
        <v>9.70005933900069</v>
      </c>
      <c r="F451" s="2" t="s">
        <v>18856</v>
      </c>
      <c r="G451" s="2" t="n">
        <v>53425</v>
      </c>
      <c r="H451" s="3" t="str">
        <f>HYPERLINK("http://funmeta.oebiotech.com/network/53425", "http://funmeta.oebiotech.com/network/53425")</f>
      </c>
      <c r="I451" s="2" t="s">
        <v>18858</v>
      </c>
      <c r="J451" s="2"/>
      <c r="K451" s="2"/>
      <c r="L451" s="2" t="s">
        <v>18859</v>
      </c>
      <c r="M451" s="2" t="s">
        <v>18860</v>
      </c>
      <c r="N451" s="2" t="s">
        <v>18861</v>
      </c>
      <c r="O451" s="2" t="s">
        <v>18862</v>
      </c>
      <c r="P451" s="2" t="s">
        <v>18863</v>
      </c>
      <c r="Q451" s="2" t="s">
        <v>18864</v>
      </c>
      <c r="R451" s="2" t="s">
        <v>355</v>
      </c>
      <c r="S451" s="2" t="s">
        <v>4796</v>
      </c>
      <c r="T451" s="2" t="s">
        <v>4797</v>
      </c>
      <c r="U451" s="2" t="s">
        <v>18855</v>
      </c>
      <c r="V451" s="2" t="s">
        <v>15649</v>
      </c>
      <c r="W451" s="2" t="s">
        <v>39</v>
      </c>
    </row>
    <row r="452">
      <c r="A452" s="2" t="n">
        <v>316</v>
      </c>
      <c r="B452" s="2" t="s">
        <v>12559</v>
      </c>
      <c r="C452" s="2" t="s">
        <v>18865</v>
      </c>
      <c r="D452" s="2" t="n">
        <v>556.162395585</v>
      </c>
      <c r="E452" s="2" t="n">
        <v>0.0679141922449358</v>
      </c>
      <c r="F452" s="2" t="s">
        <v>18867</v>
      </c>
      <c r="G452" s="2" t="n">
        <v>52484</v>
      </c>
      <c r="H452" s="3" t="str">
        <f>HYPERLINK("http://funmeta.oebiotech.com/network/52484", "http://funmeta.oebiotech.com/network/52484")</f>
      </c>
      <c r="I452" s="2" t="s">
        <v>18869</v>
      </c>
      <c r="J452" s="2" t="s">
        <v>18870</v>
      </c>
      <c r="K452" s="2"/>
      <c r="L452" s="2"/>
      <c r="M452" s="2"/>
      <c r="N452" s="2" t="s">
        <v>18871</v>
      </c>
      <c r="O452" s="2"/>
      <c r="P452" s="2" t="s">
        <v>18872</v>
      </c>
      <c r="Q452" s="2" t="s">
        <v>18873</v>
      </c>
      <c r="R452" s="2" t="s">
        <v>502</v>
      </c>
      <c r="S452" s="2" t="s">
        <v>503</v>
      </c>
      <c r="T452" s="2" t="s">
        <v>2651</v>
      </c>
      <c r="U452" s="2" t="s">
        <v>18866</v>
      </c>
      <c r="V452" s="2" t="s">
        <v>15722</v>
      </c>
      <c r="W452" s="2"/>
    </row>
    <row r="453">
      <c r="A453" s="2" t="n">
        <v>317</v>
      </c>
      <c r="B453" s="2" t="s">
        <v>12581</v>
      </c>
      <c r="C453" s="2" t="s">
        <v>18874</v>
      </c>
      <c r="D453" s="2" t="n">
        <v>557.0955474</v>
      </c>
      <c r="E453" s="2" t="n">
        <v>1.24259804296633</v>
      </c>
      <c r="F453" s="2" t="s">
        <v>18876</v>
      </c>
      <c r="G453" s="2" t="n">
        <v>211006</v>
      </c>
      <c r="H453" s="3" t="str">
        <f>HYPERLINK("http://funmeta.oebiotech.com/network/211006", "http://funmeta.oebiotech.com/network/211006")</f>
      </c>
      <c r="I453" s="2" t="s">
        <v>18878</v>
      </c>
      <c r="J453" s="2"/>
      <c r="K453" s="2"/>
      <c r="L453" s="2"/>
      <c r="M453" s="2"/>
      <c r="N453" s="2" t="s">
        <v>18879</v>
      </c>
      <c r="O453" s="2"/>
      <c r="P453" s="2" t="s">
        <v>18880</v>
      </c>
      <c r="Q453" s="2" t="s">
        <v>18881</v>
      </c>
      <c r="R453" s="2" t="s">
        <v>355</v>
      </c>
      <c r="S453" s="2" t="s">
        <v>6332</v>
      </c>
      <c r="T453" s="2" t="s">
        <v>205</v>
      </c>
      <c r="U453" s="2" t="s">
        <v>18875</v>
      </c>
      <c r="V453" s="2" t="s">
        <v>15858</v>
      </c>
      <c r="W453" s="2"/>
    </row>
    <row r="454">
      <c r="A454" s="2" t="n">
        <v>318</v>
      </c>
      <c r="B454" s="2" t="s">
        <v>12582</v>
      </c>
      <c r="C454" s="2" t="s">
        <v>18882</v>
      </c>
      <c r="D454" s="2" t="n">
        <v>558.295647471</v>
      </c>
      <c r="E454" s="2" t="n">
        <v>8.06839434084278</v>
      </c>
      <c r="F454" s="2" t="s">
        <v>18884</v>
      </c>
      <c r="G454" s="2" t="n">
        <v>19839</v>
      </c>
      <c r="H454" s="3" t="str">
        <f>HYPERLINK("http://funmeta.oebiotech.com/network/19839", "http://funmeta.oebiotech.com/network/19839")</f>
      </c>
      <c r="I454" s="2" t="s">
        <v>18886</v>
      </c>
      <c r="J454" s="2" t="s">
        <v>18887</v>
      </c>
      <c r="K454" s="2" t="s">
        <v>18888</v>
      </c>
      <c r="L454" s="2"/>
      <c r="M454" s="2" t="s">
        <v>18889</v>
      </c>
      <c r="N454" s="2" t="s">
        <v>18890</v>
      </c>
      <c r="O454" s="2" t="s">
        <v>18891</v>
      </c>
      <c r="P454" s="2" t="s">
        <v>18892</v>
      </c>
      <c r="Q454" s="2" t="s">
        <v>18893</v>
      </c>
      <c r="R454" s="2" t="s">
        <v>1490</v>
      </c>
      <c r="S454" s="2" t="s">
        <v>4236</v>
      </c>
      <c r="T454" s="2" t="s">
        <v>8613</v>
      </c>
      <c r="U454" s="2" t="s">
        <v>18883</v>
      </c>
      <c r="V454" s="2" t="s">
        <v>15919</v>
      </c>
      <c r="W454" s="2"/>
    </row>
    <row r="455">
      <c r="A455" s="2" t="n">
        <v>319</v>
      </c>
      <c r="B455" s="2" t="s">
        <v>12602</v>
      </c>
      <c r="C455" s="2" t="s">
        <v>18894</v>
      </c>
      <c r="D455" s="2" t="n">
        <v>559.287750997</v>
      </c>
      <c r="E455" s="2" t="n">
        <v>4.40765597190624</v>
      </c>
      <c r="F455" s="2" t="s">
        <v>22654</v>
      </c>
      <c r="G455" s="2" t="n">
        <v>203155</v>
      </c>
      <c r="H455" s="3" t="str">
        <f>HYPERLINK("http://funmeta.oebiotech.com/network/203155", "http://funmeta.oebiotech.com/network/203155")</f>
      </c>
      <c r="I455" s="2" t="s">
        <v>22655</v>
      </c>
      <c r="J455" s="2"/>
      <c r="K455" s="2"/>
      <c r="L455" s="2"/>
      <c r="M455" s="2"/>
      <c r="N455" s="2" t="s">
        <v>22656</v>
      </c>
      <c r="O455" s="2"/>
      <c r="P455" s="2" t="s">
        <v>22657</v>
      </c>
      <c r="Q455" s="2" t="s">
        <v>22658</v>
      </c>
      <c r="R455" s="2" t="s">
        <v>1490</v>
      </c>
      <c r="S455" s="2" t="s">
        <v>3546</v>
      </c>
      <c r="T455" s="2" t="s">
        <v>7355</v>
      </c>
      <c r="U455" s="2" t="s">
        <v>18895</v>
      </c>
      <c r="V455" s="2" t="s">
        <v>15858</v>
      </c>
      <c r="W455" s="2"/>
    </row>
    <row r="456">
      <c r="A456" s="2" t="n">
        <v>319</v>
      </c>
      <c r="B456" s="2" t="s">
        <v>22659</v>
      </c>
      <c r="C456" s="2" t="s">
        <v>18894</v>
      </c>
      <c r="D456" s="2" t="n">
        <v>559.287751006</v>
      </c>
      <c r="E456" s="2" t="n">
        <v>4.40765597190624</v>
      </c>
      <c r="F456" s="2" t="s">
        <v>22660</v>
      </c>
      <c r="G456" s="2" t="n">
        <v>64243</v>
      </c>
      <c r="H456" s="3" t="str">
        <f>HYPERLINK("http://funmeta.oebiotech.com/network/64243", "http://funmeta.oebiotech.com/network/64243")</f>
      </c>
      <c r="I456" s="2" t="s">
        <v>22661</v>
      </c>
      <c r="J456" s="2" t="s">
        <v>22662</v>
      </c>
      <c r="K456" s="2"/>
      <c r="L456" s="2"/>
      <c r="M456" s="2"/>
      <c r="N456" s="2" t="s">
        <v>22663</v>
      </c>
      <c r="O456" s="2" t="s">
        <v>22664</v>
      </c>
      <c r="P456" s="2" t="s">
        <v>22665</v>
      </c>
      <c r="Q456" s="2" t="s">
        <v>22666</v>
      </c>
      <c r="R456" s="2" t="s">
        <v>1490</v>
      </c>
      <c r="S456" s="2" t="s">
        <v>3546</v>
      </c>
      <c r="T456" s="2" t="s">
        <v>8600</v>
      </c>
      <c r="U456" s="2" t="s">
        <v>18895</v>
      </c>
      <c r="V456" s="2" t="s">
        <v>15858</v>
      </c>
      <c r="W456" s="2"/>
    </row>
    <row r="457">
      <c r="A457" s="2" t="n">
        <v>320</v>
      </c>
      <c r="B457" s="2" t="s">
        <v>12603</v>
      </c>
      <c r="C457" s="2" t="s">
        <v>18905</v>
      </c>
      <c r="D457" s="2" t="n">
        <v>562.317277476</v>
      </c>
      <c r="E457" s="2" t="n">
        <v>1.87552216940391</v>
      </c>
      <c r="F457" s="2" t="s">
        <v>18907</v>
      </c>
      <c r="G457" s="2" t="n">
        <v>198835</v>
      </c>
      <c r="H457" s="3" t="str">
        <f>HYPERLINK("http://funmeta.oebiotech.com/network/198835", "http://funmeta.oebiotech.com/network/198835")</f>
      </c>
      <c r="I457" s="2" t="s">
        <v>18909</v>
      </c>
      <c r="J457" s="2"/>
      <c r="K457" s="2"/>
      <c r="L457" s="2"/>
      <c r="M457" s="2"/>
      <c r="N457" s="2" t="s">
        <v>18910</v>
      </c>
      <c r="O457" s="2"/>
      <c r="P457" s="2" t="s">
        <v>18911</v>
      </c>
      <c r="Q457" s="2" t="s">
        <v>18912</v>
      </c>
      <c r="R457" s="2" t="s">
        <v>1490</v>
      </c>
      <c r="S457" s="2" t="s">
        <v>3546</v>
      </c>
      <c r="T457" s="2" t="s">
        <v>9677</v>
      </c>
      <c r="U457" s="2" t="s">
        <v>18906</v>
      </c>
      <c r="V457" s="2" t="s">
        <v>15858</v>
      </c>
      <c r="W457" s="2"/>
    </row>
    <row r="458">
      <c r="A458" s="2" t="n">
        <v>321</v>
      </c>
      <c r="B458" s="2" t="s">
        <v>12604</v>
      </c>
      <c r="C458" s="2" t="s">
        <v>18913</v>
      </c>
      <c r="D458" s="2" t="n">
        <v>563.051028</v>
      </c>
      <c r="E458" s="2" t="n">
        <v>5.40850377869242</v>
      </c>
      <c r="F458" s="2" t="s">
        <v>18915</v>
      </c>
      <c r="G458" s="2" t="n">
        <v>211643</v>
      </c>
      <c r="H458" s="3" t="str">
        <f>HYPERLINK("http://funmeta.oebiotech.com/network/211643", "http://funmeta.oebiotech.com/network/211643")</f>
      </c>
      <c r="I458" s="2" t="s">
        <v>18917</v>
      </c>
      <c r="J458" s="2"/>
      <c r="K458" s="2"/>
      <c r="L458" s="2"/>
      <c r="M458" s="2"/>
      <c r="N458" s="2"/>
      <c r="O458" s="2"/>
      <c r="P458" s="2" t="s">
        <v>18918</v>
      </c>
      <c r="Q458" s="2" t="s">
        <v>18919</v>
      </c>
      <c r="R458" s="2" t="s">
        <v>2590</v>
      </c>
      <c r="S458" s="2" t="s">
        <v>3279</v>
      </c>
      <c r="T458" s="2" t="s">
        <v>205</v>
      </c>
      <c r="U458" s="2" t="s">
        <v>18914</v>
      </c>
      <c r="V458" s="2" t="s">
        <v>15858</v>
      </c>
      <c r="W458" s="2"/>
    </row>
    <row r="459">
      <c r="A459" s="2" t="n">
        <v>322</v>
      </c>
      <c r="B459" s="2" t="s">
        <v>12605</v>
      </c>
      <c r="C459" s="2" t="s">
        <v>18920</v>
      </c>
      <c r="D459" s="2" t="n">
        <v>564.066670339</v>
      </c>
      <c r="E459" s="2" t="n">
        <v>2.54237045123225</v>
      </c>
      <c r="F459" s="2" t="s">
        <v>18922</v>
      </c>
      <c r="G459" s="2" t="n">
        <v>52627</v>
      </c>
      <c r="H459" s="3" t="str">
        <f>HYPERLINK("http://funmeta.oebiotech.com/network/52627", "http://funmeta.oebiotech.com/network/52627")</f>
      </c>
      <c r="I459" s="2" t="s">
        <v>18924</v>
      </c>
      <c r="J459" s="2" t="s">
        <v>18925</v>
      </c>
      <c r="K459" s="2"/>
      <c r="L459" s="2"/>
      <c r="M459" s="2" t="s">
        <v>18926</v>
      </c>
      <c r="N459" s="2" t="s">
        <v>18927</v>
      </c>
      <c r="O459" s="2" t="s">
        <v>18928</v>
      </c>
      <c r="P459" s="2" t="s">
        <v>18929</v>
      </c>
      <c r="Q459" s="2" t="s">
        <v>18930</v>
      </c>
      <c r="R459" s="2" t="s">
        <v>355</v>
      </c>
      <c r="S459" s="2" t="s">
        <v>4796</v>
      </c>
      <c r="T459" s="2" t="s">
        <v>4797</v>
      </c>
      <c r="U459" s="2" t="s">
        <v>18921</v>
      </c>
      <c r="V459" s="2" t="s">
        <v>15919</v>
      </c>
      <c r="W459" s="2"/>
    </row>
    <row r="460">
      <c r="A460" s="2" t="n">
        <v>323</v>
      </c>
      <c r="B460" s="2" t="s">
        <v>12606</v>
      </c>
      <c r="C460" s="2" t="s">
        <v>18931</v>
      </c>
      <c r="D460" s="2" t="n">
        <v>566.550671143</v>
      </c>
      <c r="E460" s="2" t="n">
        <v>4.75421892618213</v>
      </c>
      <c r="F460" s="2" t="s">
        <v>18933</v>
      </c>
      <c r="G460" s="2" t="n">
        <v>39029</v>
      </c>
      <c r="H460" s="3" t="str">
        <f>HYPERLINK("http://funmeta.oebiotech.com/network/39029", "http://funmeta.oebiotech.com/network/39029")</f>
      </c>
      <c r="I460" s="2" t="s">
        <v>18935</v>
      </c>
      <c r="J460" s="2" t="s">
        <v>18936</v>
      </c>
      <c r="K460" s="2" t="s">
        <v>18937</v>
      </c>
      <c r="L460" s="2" t="s">
        <v>18938</v>
      </c>
      <c r="M460" s="2" t="s">
        <v>18939</v>
      </c>
      <c r="N460" s="2" t="s">
        <v>18940</v>
      </c>
      <c r="O460" s="2" t="s">
        <v>18941</v>
      </c>
      <c r="P460" s="2" t="s">
        <v>18942</v>
      </c>
      <c r="Q460" s="2" t="s">
        <v>18943</v>
      </c>
      <c r="R460" s="2" t="s">
        <v>1490</v>
      </c>
      <c r="S460" s="2" t="s">
        <v>8433</v>
      </c>
      <c r="T460" s="2" t="s">
        <v>18721</v>
      </c>
      <c r="U460" s="2" t="s">
        <v>18932</v>
      </c>
      <c r="V460" s="2" t="s">
        <v>15649</v>
      </c>
      <c r="W460" s="2" t="s">
        <v>39</v>
      </c>
    </row>
    <row r="461">
      <c r="A461" s="2" t="n">
        <v>324</v>
      </c>
      <c r="B461" s="2" t="s">
        <v>12626</v>
      </c>
      <c r="C461" s="2" t="s">
        <v>18944</v>
      </c>
      <c r="D461" s="2" t="n">
        <v>568.0969272</v>
      </c>
      <c r="E461" s="2" t="n">
        <v>5.63185877338177</v>
      </c>
      <c r="F461" s="2" t="s">
        <v>18946</v>
      </c>
      <c r="G461" s="2" t="n">
        <v>210993</v>
      </c>
      <c r="H461" s="3" t="str">
        <f>HYPERLINK("http://funmeta.oebiotech.com/network/210993", "http://funmeta.oebiotech.com/network/210993")</f>
      </c>
      <c r="I461" s="2" t="s">
        <v>18948</v>
      </c>
      <c r="J461" s="2" t="s">
        <v>18949</v>
      </c>
      <c r="K461" s="2"/>
      <c r="L461" s="2"/>
      <c r="M461" s="2"/>
      <c r="N461" s="2" t="s">
        <v>18950</v>
      </c>
      <c r="O461" s="2"/>
      <c r="P461" s="2" t="s">
        <v>18951</v>
      </c>
      <c r="Q461" s="2" t="s">
        <v>18952</v>
      </c>
      <c r="R461" s="2" t="s">
        <v>355</v>
      </c>
      <c r="S461" s="2" t="s">
        <v>3869</v>
      </c>
      <c r="T461" s="2" t="s">
        <v>3870</v>
      </c>
      <c r="U461" s="2" t="s">
        <v>18945</v>
      </c>
      <c r="V461" s="2" t="s">
        <v>15858</v>
      </c>
      <c r="W461" s="2"/>
    </row>
    <row r="462">
      <c r="A462" s="2" t="n">
        <v>325</v>
      </c>
      <c r="B462" s="2" t="s">
        <v>12643</v>
      </c>
      <c r="C462" s="2" t="s">
        <v>18953</v>
      </c>
      <c r="D462" s="2" t="n">
        <v>568.306338109</v>
      </c>
      <c r="E462" s="2" t="n">
        <v>0.0601798056599396</v>
      </c>
      <c r="F462" s="2" t="s">
        <v>22667</v>
      </c>
      <c r="G462" s="2" t="n">
        <v>202058</v>
      </c>
      <c r="H462" s="3" t="str">
        <f>HYPERLINK("http://funmeta.oebiotech.com/network/202058", "http://funmeta.oebiotech.com/network/202058")</f>
      </c>
      <c r="I462" s="2" t="s">
        <v>22668</v>
      </c>
      <c r="J462" s="2"/>
      <c r="K462" s="2"/>
      <c r="L462" s="2"/>
      <c r="M462" s="2" t="s">
        <v>22669</v>
      </c>
      <c r="N462" s="2" t="s">
        <v>22670</v>
      </c>
      <c r="O462" s="2"/>
      <c r="P462" s="2" t="s">
        <v>22671</v>
      </c>
      <c r="Q462" s="2" t="s">
        <v>22672</v>
      </c>
      <c r="R462" s="2" t="s">
        <v>355</v>
      </c>
      <c r="S462" s="2" t="s">
        <v>5537</v>
      </c>
      <c r="T462" s="2" t="s">
        <v>5538</v>
      </c>
      <c r="U462" s="2" t="s">
        <v>18954</v>
      </c>
      <c r="V462" s="2" t="s">
        <v>15611</v>
      </c>
      <c r="W462" s="2"/>
    </row>
    <row r="463">
      <c r="A463" s="2" t="n">
        <v>325</v>
      </c>
      <c r="B463" s="2" t="s">
        <v>12654</v>
      </c>
      <c r="C463" s="2" t="s">
        <v>18953</v>
      </c>
      <c r="D463" s="2" t="n">
        <v>568.306338109</v>
      </c>
      <c r="E463" s="2" t="n">
        <v>0.0601798056599396</v>
      </c>
      <c r="F463" s="2" t="s">
        <v>22673</v>
      </c>
      <c r="G463" s="2" t="n">
        <v>203199</v>
      </c>
      <c r="H463" s="3" t="str">
        <f>HYPERLINK("http://funmeta.oebiotech.com/network/203199", "http://funmeta.oebiotech.com/network/203199")</f>
      </c>
      <c r="I463" s="2" t="s">
        <v>22674</v>
      </c>
      <c r="J463" s="2"/>
      <c r="K463" s="2"/>
      <c r="L463" s="2"/>
      <c r="M463" s="2"/>
      <c r="N463" s="2" t="s">
        <v>22675</v>
      </c>
      <c r="O463" s="2"/>
      <c r="P463" s="2" t="s">
        <v>22676</v>
      </c>
      <c r="Q463" s="2" t="s">
        <v>22677</v>
      </c>
      <c r="R463" s="2" t="s">
        <v>355</v>
      </c>
      <c r="S463" s="2" t="s">
        <v>5537</v>
      </c>
      <c r="T463" s="2" t="s">
        <v>5538</v>
      </c>
      <c r="U463" s="2" t="s">
        <v>18954</v>
      </c>
      <c r="V463" s="2" t="s">
        <v>15611</v>
      </c>
      <c r="W463" s="2"/>
    </row>
    <row r="464">
      <c r="A464" s="2" t="n">
        <v>326</v>
      </c>
      <c r="B464" s="2" t="s">
        <v>12664</v>
      </c>
      <c r="C464" s="2" t="s">
        <v>18962</v>
      </c>
      <c r="D464" s="2" t="n">
        <v>569.071451976</v>
      </c>
      <c r="E464" s="2" t="n">
        <v>6.25363026453297</v>
      </c>
      <c r="F464" s="2" t="s">
        <v>18964</v>
      </c>
      <c r="G464" s="2" t="n">
        <v>34968</v>
      </c>
      <c r="H464" s="3" t="str">
        <f>HYPERLINK("http://funmeta.oebiotech.com/network/34968", "http://funmeta.oebiotech.com/network/34968")</f>
      </c>
      <c r="I464" s="2" t="s">
        <v>18966</v>
      </c>
      <c r="J464" s="2" t="s">
        <v>18967</v>
      </c>
      <c r="K464" s="2" t="s">
        <v>18968</v>
      </c>
      <c r="L464" s="2" t="s">
        <v>18969</v>
      </c>
      <c r="M464" s="2"/>
      <c r="N464" s="2" t="s">
        <v>18970</v>
      </c>
      <c r="O464" s="2" t="s">
        <v>18971</v>
      </c>
      <c r="P464" s="2" t="s">
        <v>18972</v>
      </c>
      <c r="Q464" s="2" t="s">
        <v>18973</v>
      </c>
      <c r="R464" s="2" t="s">
        <v>502</v>
      </c>
      <c r="S464" s="2" t="s">
        <v>3913</v>
      </c>
      <c r="T464" s="2" t="s">
        <v>15196</v>
      </c>
      <c r="U464" s="2" t="s">
        <v>18963</v>
      </c>
      <c r="V464" s="2" t="s">
        <v>15778</v>
      </c>
      <c r="W464" s="2" t="s">
        <v>39</v>
      </c>
    </row>
    <row r="465">
      <c r="A465" s="2" t="n">
        <v>327</v>
      </c>
      <c r="B465" s="2" t="s">
        <v>12665</v>
      </c>
      <c r="C465" s="2" t="s">
        <v>18974</v>
      </c>
      <c r="D465" s="2" t="n">
        <v>569.432899108</v>
      </c>
      <c r="E465" s="2" t="n">
        <v>2.10763521671228</v>
      </c>
      <c r="F465" s="2" t="s">
        <v>18976</v>
      </c>
      <c r="G465" s="2" t="n">
        <v>208781</v>
      </c>
      <c r="H465" s="3" t="str">
        <f>HYPERLINK("http://funmeta.oebiotech.com/network/208781", "http://funmeta.oebiotech.com/network/208781")</f>
      </c>
      <c r="I465" s="2" t="s">
        <v>18978</v>
      </c>
      <c r="J465" s="2"/>
      <c r="K465" s="2"/>
      <c r="L465" s="2"/>
      <c r="M465" s="2"/>
      <c r="N465" s="2"/>
      <c r="O465" s="2"/>
      <c r="P465" s="2" t="s">
        <v>18979</v>
      </c>
      <c r="Q465" s="2" t="s">
        <v>18980</v>
      </c>
      <c r="R465" s="2" t="s">
        <v>1490</v>
      </c>
      <c r="S465" s="2" t="s">
        <v>4971</v>
      </c>
      <c r="T465" s="2" t="s">
        <v>7310</v>
      </c>
      <c r="U465" s="2" t="s">
        <v>18975</v>
      </c>
      <c r="V465" s="2" t="s">
        <v>15858</v>
      </c>
      <c r="W465" s="2"/>
    </row>
    <row r="466">
      <c r="A466" s="2" t="n">
        <v>328</v>
      </c>
      <c r="B466" s="2" t="s">
        <v>12678</v>
      </c>
      <c r="C466" s="2" t="s">
        <v>18981</v>
      </c>
      <c r="D466" s="2" t="n">
        <v>576.136968682</v>
      </c>
      <c r="E466" s="2" t="n">
        <v>1.0777350252545</v>
      </c>
      <c r="F466" s="2" t="s">
        <v>22678</v>
      </c>
      <c r="G466" s="2" t="n">
        <v>206653</v>
      </c>
      <c r="H466" s="3" t="str">
        <f>HYPERLINK("http://funmeta.oebiotech.com/network/206653", "http://funmeta.oebiotech.com/network/206653")</f>
      </c>
      <c r="I466" s="2" t="s">
        <v>22679</v>
      </c>
      <c r="J466" s="2"/>
      <c r="K466" s="2"/>
      <c r="L466" s="2"/>
      <c r="M466" s="2"/>
      <c r="N466" s="2" t="s">
        <v>22680</v>
      </c>
      <c r="O466" s="2"/>
      <c r="P466" s="2" t="s">
        <v>22681</v>
      </c>
      <c r="Q466" s="2" t="s">
        <v>22682</v>
      </c>
      <c r="R466" s="2" t="s">
        <v>2590</v>
      </c>
      <c r="S466" s="2" t="s">
        <v>3279</v>
      </c>
      <c r="T466" s="2" t="s">
        <v>205</v>
      </c>
      <c r="U466" s="2" t="s">
        <v>18982</v>
      </c>
      <c r="V466" s="2" t="s">
        <v>15722</v>
      </c>
      <c r="W466" s="2"/>
    </row>
    <row r="467">
      <c r="A467" s="2" t="n">
        <v>328</v>
      </c>
      <c r="B467" s="2" t="s">
        <v>22683</v>
      </c>
      <c r="C467" s="2" t="s">
        <v>18981</v>
      </c>
      <c r="D467" s="2" t="n">
        <v>576.136968682</v>
      </c>
      <c r="E467" s="2" t="n">
        <v>1.0777350252545</v>
      </c>
      <c r="F467" s="2" t="s">
        <v>22684</v>
      </c>
      <c r="G467" s="2" t="n">
        <v>204742</v>
      </c>
      <c r="H467" s="3" t="str">
        <f>HYPERLINK("http://funmeta.oebiotech.com/network/204742", "http://funmeta.oebiotech.com/network/204742")</f>
      </c>
      <c r="I467" s="2" t="s">
        <v>22685</v>
      </c>
      <c r="J467" s="2"/>
      <c r="K467" s="2"/>
      <c r="L467" s="2"/>
      <c r="M467" s="2" t="s">
        <v>22686</v>
      </c>
      <c r="N467" s="2" t="s">
        <v>22687</v>
      </c>
      <c r="O467" s="2"/>
      <c r="P467" s="2" t="s">
        <v>22688</v>
      </c>
      <c r="Q467" s="2" t="s">
        <v>22689</v>
      </c>
      <c r="R467" s="2" t="s">
        <v>2590</v>
      </c>
      <c r="S467" s="2" t="s">
        <v>3279</v>
      </c>
      <c r="T467" s="2" t="s">
        <v>205</v>
      </c>
      <c r="U467" s="2" t="s">
        <v>18982</v>
      </c>
      <c r="V467" s="2" t="s">
        <v>15722</v>
      </c>
      <c r="W467" s="2"/>
    </row>
    <row r="468">
      <c r="A468" s="2" t="n">
        <v>329</v>
      </c>
      <c r="B468" s="2" t="s">
        <v>12679</v>
      </c>
      <c r="C468" s="2" t="s">
        <v>18991</v>
      </c>
      <c r="D468" s="2" t="n">
        <v>579.535275414</v>
      </c>
      <c r="E468" s="2" t="n">
        <v>6.51676361452464</v>
      </c>
      <c r="F468" s="2" t="s">
        <v>18993</v>
      </c>
      <c r="G468" s="2" t="n">
        <v>10901</v>
      </c>
      <c r="H468" s="3" t="str">
        <f>HYPERLINK("http://funmeta.oebiotech.com/network/10901", "http://funmeta.oebiotech.com/network/10901")</f>
      </c>
      <c r="I468" s="2" t="s">
        <v>18995</v>
      </c>
      <c r="J468" s="2" t="s">
        <v>18996</v>
      </c>
      <c r="K468" s="2" t="s">
        <v>18997</v>
      </c>
      <c r="L468" s="2"/>
      <c r="M468" s="2"/>
      <c r="N468" s="2" t="s">
        <v>18998</v>
      </c>
      <c r="O468" s="2"/>
      <c r="P468" s="2" t="s">
        <v>18999</v>
      </c>
      <c r="Q468" s="2" t="s">
        <v>19000</v>
      </c>
      <c r="R468" s="2" t="s">
        <v>1490</v>
      </c>
      <c r="S468" s="2" t="s">
        <v>6728</v>
      </c>
      <c r="T468" s="2" t="s">
        <v>6729</v>
      </c>
      <c r="U468" s="2" t="s">
        <v>18992</v>
      </c>
      <c r="V468" s="2" t="s">
        <v>15611</v>
      </c>
      <c r="W468" s="2"/>
    </row>
    <row r="469">
      <c r="A469" s="2" t="n">
        <v>330</v>
      </c>
      <c r="B469" s="2" t="s">
        <v>12708</v>
      </c>
      <c r="C469" s="2" t="s">
        <v>19001</v>
      </c>
      <c r="D469" s="2" t="n">
        <v>581.081028</v>
      </c>
      <c r="E469" s="2" t="n">
        <v>5.99910442712852</v>
      </c>
      <c r="F469" s="2" t="s">
        <v>19003</v>
      </c>
      <c r="G469" s="2" t="n">
        <v>209947</v>
      </c>
      <c r="H469" s="3" t="str">
        <f>HYPERLINK("http://funmeta.oebiotech.com/network/209947", "http://funmeta.oebiotech.com/network/209947")</f>
      </c>
      <c r="I469" s="2" t="s">
        <v>19005</v>
      </c>
      <c r="J469" s="2" t="s">
        <v>19006</v>
      </c>
      <c r="K469" s="2"/>
      <c r="L469" s="2"/>
      <c r="M469" s="2"/>
      <c r="N469" s="2" t="s">
        <v>19007</v>
      </c>
      <c r="O469" s="2"/>
      <c r="P469" s="2" t="s">
        <v>19008</v>
      </c>
      <c r="Q469" s="2" t="s">
        <v>19009</v>
      </c>
      <c r="R469" s="2" t="s">
        <v>355</v>
      </c>
      <c r="S469" s="2" t="s">
        <v>5131</v>
      </c>
      <c r="T469" s="2" t="s">
        <v>5132</v>
      </c>
      <c r="U469" s="2" t="s">
        <v>19002</v>
      </c>
      <c r="V469" s="2" t="s">
        <v>15919</v>
      </c>
      <c r="W469" s="2"/>
    </row>
    <row r="470">
      <c r="A470" s="2" t="n">
        <v>331</v>
      </c>
      <c r="B470" s="2" t="s">
        <v>12709</v>
      </c>
      <c r="C470" s="2" t="s">
        <v>19010</v>
      </c>
      <c r="D470" s="2" t="n">
        <v>586.326947599</v>
      </c>
      <c r="E470" s="2" t="n">
        <v>4.20220922026063</v>
      </c>
      <c r="F470" s="2" t="s">
        <v>19012</v>
      </c>
      <c r="G470" s="2" t="n">
        <v>19882</v>
      </c>
      <c r="H470" s="3" t="str">
        <f>HYPERLINK("http://funmeta.oebiotech.com/network/19882", "http://funmeta.oebiotech.com/network/19882")</f>
      </c>
      <c r="I470" s="2" t="s">
        <v>19014</v>
      </c>
      <c r="J470" s="2" t="s">
        <v>8889</v>
      </c>
      <c r="K470" s="2" t="s">
        <v>19015</v>
      </c>
      <c r="L470" s="2" t="s">
        <v>17914</v>
      </c>
      <c r="M470" s="2" t="s">
        <v>19016</v>
      </c>
      <c r="N470" s="2" t="s">
        <v>19017</v>
      </c>
      <c r="O470" s="2"/>
      <c r="P470" s="2" t="s">
        <v>19018</v>
      </c>
      <c r="Q470" s="2" t="s">
        <v>19019</v>
      </c>
      <c r="R470" s="2" t="s">
        <v>1490</v>
      </c>
      <c r="S470" s="2" t="s">
        <v>4236</v>
      </c>
      <c r="T470" s="2" t="s">
        <v>8613</v>
      </c>
      <c r="U470" s="2" t="s">
        <v>19011</v>
      </c>
      <c r="V470" s="2" t="s">
        <v>15919</v>
      </c>
      <c r="W470" s="2" t="s">
        <v>39</v>
      </c>
    </row>
    <row r="471">
      <c r="A471" s="2" t="n">
        <v>332</v>
      </c>
      <c r="B471" s="2" t="s">
        <v>12710</v>
      </c>
      <c r="C471" s="2" t="s">
        <v>19020</v>
      </c>
      <c r="D471" s="2" t="n">
        <v>589.42513628</v>
      </c>
      <c r="E471" s="2" t="n">
        <v>0.891708434457844</v>
      </c>
      <c r="F471" s="2" t="s">
        <v>19022</v>
      </c>
      <c r="G471" s="2" t="n">
        <v>63938</v>
      </c>
      <c r="H471" s="3" t="str">
        <f>HYPERLINK("http://funmeta.oebiotech.com/network/63938", "http://funmeta.oebiotech.com/network/63938")</f>
      </c>
      <c r="I471" s="2" t="s">
        <v>19024</v>
      </c>
      <c r="J471" s="2" t="s">
        <v>19025</v>
      </c>
      <c r="K471" s="2"/>
      <c r="L471" s="2"/>
      <c r="M471" s="2"/>
      <c r="N471" s="2" t="s">
        <v>19026</v>
      </c>
      <c r="O471" s="2" t="s">
        <v>19027</v>
      </c>
      <c r="P471" s="2" t="s">
        <v>19028</v>
      </c>
      <c r="Q471" s="2" t="s">
        <v>19029</v>
      </c>
      <c r="R471" s="2" t="s">
        <v>1490</v>
      </c>
      <c r="S471" s="2" t="s">
        <v>3546</v>
      </c>
      <c r="T471" s="2" t="s">
        <v>14183</v>
      </c>
      <c r="U471" s="2" t="s">
        <v>19021</v>
      </c>
      <c r="V471" s="2" t="s">
        <v>15649</v>
      </c>
      <c r="W471" s="2"/>
    </row>
    <row r="472">
      <c r="A472" s="2" t="n">
        <v>333</v>
      </c>
      <c r="B472" s="2" t="s">
        <v>12711</v>
      </c>
      <c r="C472" s="2" t="s">
        <v>19030</v>
      </c>
      <c r="D472" s="2" t="n">
        <v>591.046372576</v>
      </c>
      <c r="E472" s="2" t="n">
        <v>3.60143946480983</v>
      </c>
      <c r="F472" s="2" t="s">
        <v>19032</v>
      </c>
      <c r="G472" s="2" t="n">
        <v>200486</v>
      </c>
      <c r="H472" s="3" t="str">
        <f>HYPERLINK("http://funmeta.oebiotech.com/network/200486", "http://funmeta.oebiotech.com/network/200486")</f>
      </c>
      <c r="I472" s="2" t="s">
        <v>19034</v>
      </c>
      <c r="J472" s="2"/>
      <c r="K472" s="2"/>
      <c r="L472" s="2"/>
      <c r="M472" s="2"/>
      <c r="N472" s="2"/>
      <c r="O472" s="2"/>
      <c r="P472" s="2" t="s">
        <v>19035</v>
      </c>
      <c r="Q472" s="2" t="s">
        <v>19036</v>
      </c>
      <c r="R472" s="2" t="s">
        <v>64</v>
      </c>
      <c r="S472" s="2" t="s">
        <v>65</v>
      </c>
      <c r="T472" s="2" t="s">
        <v>66</v>
      </c>
      <c r="U472" s="2" t="s">
        <v>19031</v>
      </c>
      <c r="V472" s="2" t="s">
        <v>16225</v>
      </c>
      <c r="W472" s="2"/>
    </row>
    <row r="473">
      <c r="A473" s="2" t="n">
        <v>334</v>
      </c>
      <c r="B473" s="2" t="s">
        <v>12712</v>
      </c>
      <c r="C473" s="2" t="s">
        <v>19037</v>
      </c>
      <c r="D473" s="2" t="n">
        <v>591.089934232</v>
      </c>
      <c r="E473" s="2" t="n">
        <v>2.84127383902513</v>
      </c>
      <c r="F473" s="2" t="s">
        <v>19039</v>
      </c>
      <c r="G473" s="2" t="n">
        <v>58580</v>
      </c>
      <c r="H473" s="3" t="str">
        <f>HYPERLINK("http://funmeta.oebiotech.com/network/58580", "http://funmeta.oebiotech.com/network/58580")</f>
      </c>
      <c r="I473" s="2" t="s">
        <v>19041</v>
      </c>
      <c r="J473" s="2" t="s">
        <v>19042</v>
      </c>
      <c r="K473" s="2"/>
      <c r="L473" s="2"/>
      <c r="M473" s="2" t="s">
        <v>19043</v>
      </c>
      <c r="N473" s="2" t="s">
        <v>19044</v>
      </c>
      <c r="O473" s="2" t="s">
        <v>19045</v>
      </c>
      <c r="P473" s="2" t="s">
        <v>19046</v>
      </c>
      <c r="Q473" s="2" t="s">
        <v>19047</v>
      </c>
      <c r="R473" s="2" t="s">
        <v>502</v>
      </c>
      <c r="S473" s="2" t="s">
        <v>503</v>
      </c>
      <c r="T473" s="2" t="s">
        <v>11699</v>
      </c>
      <c r="U473" s="2" t="s">
        <v>19038</v>
      </c>
      <c r="V473" s="2" t="s">
        <v>15919</v>
      </c>
      <c r="W473" s="2"/>
    </row>
    <row r="474">
      <c r="A474" s="2" t="n">
        <v>335</v>
      </c>
      <c r="B474" s="2" t="s">
        <v>12713</v>
      </c>
      <c r="C474" s="2" t="s">
        <v>19048</v>
      </c>
      <c r="D474" s="2" t="n">
        <v>593.171492449</v>
      </c>
      <c r="E474" s="2" t="n">
        <v>3.42473962334896</v>
      </c>
      <c r="F474" s="2" t="s">
        <v>22690</v>
      </c>
      <c r="G474" s="2" t="n">
        <v>208920</v>
      </c>
      <c r="H474" s="3" t="str">
        <f>HYPERLINK("http://funmeta.oebiotech.com/network/208920", "http://funmeta.oebiotech.com/network/208920")</f>
      </c>
      <c r="I474" s="2" t="s">
        <v>22691</v>
      </c>
      <c r="J474" s="2"/>
      <c r="K474" s="2"/>
      <c r="L474" s="2"/>
      <c r="M474" s="2"/>
      <c r="N474" s="2"/>
      <c r="O474" s="2"/>
      <c r="P474" s="2" t="s">
        <v>22692</v>
      </c>
      <c r="Q474" s="2" t="s">
        <v>22693</v>
      </c>
      <c r="R474" s="2" t="s">
        <v>49</v>
      </c>
      <c r="S474" s="2" t="s">
        <v>165</v>
      </c>
      <c r="T474" s="2" t="s">
        <v>166</v>
      </c>
      <c r="U474" s="2" t="s">
        <v>19049</v>
      </c>
      <c r="V474" s="2" t="s">
        <v>15858</v>
      </c>
      <c r="W474" s="2"/>
    </row>
    <row r="475">
      <c r="A475" s="2" t="n">
        <v>335</v>
      </c>
      <c r="B475" s="2" t="s">
        <v>22694</v>
      </c>
      <c r="C475" s="2" t="s">
        <v>19048</v>
      </c>
      <c r="D475" s="2" t="n">
        <v>593.171492449</v>
      </c>
      <c r="E475" s="2" t="n">
        <v>3.42473962334896</v>
      </c>
      <c r="F475" s="2" t="s">
        <v>22695</v>
      </c>
      <c r="G475" s="2" t="n">
        <v>208921</v>
      </c>
      <c r="H475" s="3" t="str">
        <f>HYPERLINK("http://funmeta.oebiotech.com/network/208921", "http://funmeta.oebiotech.com/network/208921")</f>
      </c>
      <c r="I475" s="2" t="s">
        <v>22696</v>
      </c>
      <c r="J475" s="2"/>
      <c r="K475" s="2"/>
      <c r="L475" s="2"/>
      <c r="M475" s="2"/>
      <c r="N475" s="2"/>
      <c r="O475" s="2"/>
      <c r="P475" s="2" t="s">
        <v>22697</v>
      </c>
      <c r="Q475" s="2" t="s">
        <v>22698</v>
      </c>
      <c r="R475" s="2" t="s">
        <v>355</v>
      </c>
      <c r="S475" s="2" t="s">
        <v>1477</v>
      </c>
      <c r="T475" s="2" t="s">
        <v>1478</v>
      </c>
      <c r="U475" s="2" t="s">
        <v>19049</v>
      </c>
      <c r="V475" s="2" t="s">
        <v>15858</v>
      </c>
      <c r="W475" s="2"/>
    </row>
    <row r="476">
      <c r="A476" s="2" t="n">
        <v>335</v>
      </c>
      <c r="B476" s="2" t="s">
        <v>22699</v>
      </c>
      <c r="C476" s="2" t="s">
        <v>19048</v>
      </c>
      <c r="D476" s="2" t="n">
        <v>593.171492449</v>
      </c>
      <c r="E476" s="2" t="n">
        <v>3.42473962334896</v>
      </c>
      <c r="F476" s="2" t="s">
        <v>22700</v>
      </c>
      <c r="G476" s="2" t="n">
        <v>206054</v>
      </c>
      <c r="H476" s="3" t="str">
        <f>HYPERLINK("http://funmeta.oebiotech.com/network/206054", "http://funmeta.oebiotech.com/network/206054")</f>
      </c>
      <c r="I476" s="2" t="s">
        <v>22701</v>
      </c>
      <c r="J476" s="2"/>
      <c r="K476" s="2"/>
      <c r="L476" s="2"/>
      <c r="M476" s="2"/>
      <c r="N476" s="2" t="s">
        <v>22702</v>
      </c>
      <c r="O476" s="2"/>
      <c r="P476" s="2" t="s">
        <v>22703</v>
      </c>
      <c r="Q476" s="2" t="s">
        <v>22704</v>
      </c>
      <c r="R476" s="2" t="s">
        <v>49</v>
      </c>
      <c r="S476" s="2" t="s">
        <v>165</v>
      </c>
      <c r="T476" s="2" t="s">
        <v>166</v>
      </c>
      <c r="U476" s="2" t="s">
        <v>19049</v>
      </c>
      <c r="V476" s="2" t="s">
        <v>15858</v>
      </c>
      <c r="W476" s="2"/>
    </row>
    <row r="477">
      <c r="A477" s="2" t="n">
        <v>336</v>
      </c>
      <c r="B477" s="2" t="s">
        <v>12714</v>
      </c>
      <c r="C477" s="2" t="s">
        <v>19058</v>
      </c>
      <c r="D477" s="2" t="n">
        <v>593.35046777</v>
      </c>
      <c r="E477" s="2" t="n">
        <v>7.25249992852863</v>
      </c>
      <c r="F477" s="2" t="s">
        <v>19060</v>
      </c>
      <c r="G477" s="2" t="n">
        <v>210464</v>
      </c>
      <c r="H477" s="3" t="str">
        <f>HYPERLINK("http://funmeta.oebiotech.com/network/210464", "http://funmeta.oebiotech.com/network/210464")</f>
      </c>
      <c r="I477" s="2" t="s">
        <v>19062</v>
      </c>
      <c r="J477" s="2"/>
      <c r="K477" s="2"/>
      <c r="L477" s="2"/>
      <c r="M477" s="2"/>
      <c r="N477" s="2" t="s">
        <v>19063</v>
      </c>
      <c r="O477" s="2"/>
      <c r="P477" s="2" t="s">
        <v>19064</v>
      </c>
      <c r="Q477" s="2" t="s">
        <v>19065</v>
      </c>
      <c r="R477" s="2" t="s">
        <v>49</v>
      </c>
      <c r="S477" s="2" t="s">
        <v>165</v>
      </c>
      <c r="T477" s="2" t="s">
        <v>166</v>
      </c>
      <c r="U477" s="2" t="s">
        <v>19059</v>
      </c>
      <c r="V477" s="2" t="s">
        <v>15649</v>
      </c>
      <c r="W477" s="2"/>
    </row>
    <row r="478">
      <c r="A478" s="2" t="n">
        <v>337</v>
      </c>
      <c r="B478" s="2" t="s">
        <v>12715</v>
      </c>
      <c r="C478" s="2" t="s">
        <v>19066</v>
      </c>
      <c r="D478" s="2" t="n">
        <v>594.23832978</v>
      </c>
      <c r="E478" s="2" t="n">
        <v>8.39379059639544</v>
      </c>
      <c r="F478" s="2" t="s">
        <v>19068</v>
      </c>
      <c r="G478" s="2" t="n">
        <v>203392</v>
      </c>
      <c r="H478" s="3" t="str">
        <f>HYPERLINK("http://funmeta.oebiotech.com/network/203392", "http://funmeta.oebiotech.com/network/203392")</f>
      </c>
      <c r="I478" s="2" t="s">
        <v>19070</v>
      </c>
      <c r="J478" s="2"/>
      <c r="K478" s="2"/>
      <c r="L478" s="2"/>
      <c r="M478" s="2"/>
      <c r="N478" s="2" t="s">
        <v>19071</v>
      </c>
      <c r="O478" s="2"/>
      <c r="P478" s="2" t="s">
        <v>19072</v>
      </c>
      <c r="Q478" s="2" t="s">
        <v>19073</v>
      </c>
      <c r="R478" s="2" t="s">
        <v>64</v>
      </c>
      <c r="S478" s="2" t="s">
        <v>65</v>
      </c>
      <c r="T478" s="2" t="s">
        <v>66</v>
      </c>
      <c r="U478" s="2" t="s">
        <v>19067</v>
      </c>
      <c r="V478" s="2" t="s">
        <v>15919</v>
      </c>
      <c r="W478" s="2"/>
    </row>
    <row r="479">
      <c r="A479" s="2" t="n">
        <v>338</v>
      </c>
      <c r="B479" s="2" t="s">
        <v>12716</v>
      </c>
      <c r="C479" s="2" t="s">
        <v>19074</v>
      </c>
      <c r="D479" s="2" t="n">
        <v>599.316644198</v>
      </c>
      <c r="E479" s="2" t="n">
        <v>5.04008869039998</v>
      </c>
      <c r="F479" s="2" t="s">
        <v>19076</v>
      </c>
      <c r="G479" s="2" t="n">
        <v>62363</v>
      </c>
      <c r="H479" s="3" t="str">
        <f>HYPERLINK("http://funmeta.oebiotech.com/network/62363", "http://funmeta.oebiotech.com/network/62363")</f>
      </c>
      <c r="I479" s="2" t="s">
        <v>19078</v>
      </c>
      <c r="J479" s="2" t="s">
        <v>19079</v>
      </c>
      <c r="K479" s="2"/>
      <c r="L479" s="2"/>
      <c r="M479" s="2"/>
      <c r="N479" s="2" t="s">
        <v>19080</v>
      </c>
      <c r="O479" s="2" t="s">
        <v>19081</v>
      </c>
      <c r="P479" s="2" t="s">
        <v>19082</v>
      </c>
      <c r="Q479" s="2" t="s">
        <v>19083</v>
      </c>
      <c r="R479" s="2" t="s">
        <v>1490</v>
      </c>
      <c r="S479" s="2" t="s">
        <v>3546</v>
      </c>
      <c r="T479" s="2" t="s">
        <v>7355</v>
      </c>
      <c r="U479" s="2" t="s">
        <v>19075</v>
      </c>
      <c r="V479" s="2" t="s">
        <v>15691</v>
      </c>
      <c r="W479" s="2"/>
    </row>
    <row r="480">
      <c r="A480" s="2" t="n">
        <v>339</v>
      </c>
      <c r="B480" s="2" t="s">
        <v>12717</v>
      </c>
      <c r="C480" s="2" t="s">
        <v>19084</v>
      </c>
      <c r="D480" s="2" t="n">
        <v>601.06123421</v>
      </c>
      <c r="E480" s="2" t="n">
        <v>3.13778896929316</v>
      </c>
      <c r="F480" s="2" t="s">
        <v>19086</v>
      </c>
      <c r="G480" s="2" t="n">
        <v>207406</v>
      </c>
      <c r="H480" s="3" t="str">
        <f>HYPERLINK("http://funmeta.oebiotech.com/network/207406", "http://funmeta.oebiotech.com/network/207406")</f>
      </c>
      <c r="I480" s="2" t="s">
        <v>19088</v>
      </c>
      <c r="J480" s="2"/>
      <c r="K480" s="2"/>
      <c r="L480" s="2"/>
      <c r="M480" s="2"/>
      <c r="N480" s="2" t="s">
        <v>19089</v>
      </c>
      <c r="O480" s="2"/>
      <c r="P480" s="2" t="s">
        <v>19090</v>
      </c>
      <c r="Q480" s="2" t="s">
        <v>19091</v>
      </c>
      <c r="R480" s="2" t="s">
        <v>502</v>
      </c>
      <c r="S480" s="2" t="s">
        <v>1467</v>
      </c>
      <c r="T480" s="2" t="s">
        <v>17568</v>
      </c>
      <c r="U480" s="2" t="s">
        <v>19085</v>
      </c>
      <c r="V480" s="2" t="s">
        <v>17922</v>
      </c>
      <c r="W480" s="2"/>
    </row>
    <row r="481">
      <c r="A481" s="2" t="n">
        <v>340</v>
      </c>
      <c r="B481" s="2" t="s">
        <v>12718</v>
      </c>
      <c r="C481" s="2" t="s">
        <v>19092</v>
      </c>
      <c r="D481" s="2" t="n">
        <v>601.116388162</v>
      </c>
      <c r="E481" s="2" t="n">
        <v>1.61533866048494</v>
      </c>
      <c r="F481" s="2" t="s">
        <v>19094</v>
      </c>
      <c r="G481" s="2" t="n">
        <v>63747</v>
      </c>
      <c r="H481" s="3" t="str">
        <f>HYPERLINK("http://funmeta.oebiotech.com/network/63747", "http://funmeta.oebiotech.com/network/63747")</f>
      </c>
      <c r="I481" s="2" t="s">
        <v>19096</v>
      </c>
      <c r="J481" s="2" t="s">
        <v>19097</v>
      </c>
      <c r="K481" s="2"/>
      <c r="L481" s="2"/>
      <c r="M481" s="2"/>
      <c r="N481" s="2" t="s">
        <v>19098</v>
      </c>
      <c r="O481" s="2" t="s">
        <v>19099</v>
      </c>
      <c r="P481" s="2" t="s">
        <v>19100</v>
      </c>
      <c r="Q481" s="2" t="s">
        <v>19101</v>
      </c>
      <c r="R481" s="2" t="s">
        <v>2509</v>
      </c>
      <c r="S481" s="2" t="s">
        <v>4720</v>
      </c>
      <c r="T481" s="2" t="s">
        <v>7346</v>
      </c>
      <c r="U481" s="2" t="s">
        <v>19093</v>
      </c>
      <c r="V481" s="2" t="s">
        <v>15858</v>
      </c>
      <c r="W481" s="2"/>
    </row>
    <row r="482">
      <c r="A482" s="2" t="n">
        <v>341</v>
      </c>
      <c r="B482" s="2" t="s">
        <v>12719</v>
      </c>
      <c r="C482" s="2" t="s">
        <v>19102</v>
      </c>
      <c r="D482" s="2" t="n">
        <v>601.309455079</v>
      </c>
      <c r="E482" s="2" t="n">
        <v>2.14068316617484</v>
      </c>
      <c r="F482" s="2" t="s">
        <v>19104</v>
      </c>
      <c r="G482" s="2" t="n">
        <v>201514</v>
      </c>
      <c r="H482" s="3" t="str">
        <f>HYPERLINK("http://funmeta.oebiotech.com/network/201514", "http://funmeta.oebiotech.com/network/201514")</f>
      </c>
      <c r="I482" s="2" t="s">
        <v>19106</v>
      </c>
      <c r="J482" s="2"/>
      <c r="K482" s="2"/>
      <c r="L482" s="2"/>
      <c r="M482" s="2"/>
      <c r="N482" s="2" t="s">
        <v>19107</v>
      </c>
      <c r="O482" s="2"/>
      <c r="P482" s="2" t="s">
        <v>19108</v>
      </c>
      <c r="Q482" s="2" t="s">
        <v>19109</v>
      </c>
      <c r="R482" s="2" t="s">
        <v>502</v>
      </c>
      <c r="S482" s="2" t="s">
        <v>503</v>
      </c>
      <c r="T482" s="2" t="s">
        <v>19110</v>
      </c>
      <c r="U482" s="2" t="s">
        <v>19103</v>
      </c>
      <c r="V482" s="2" t="s">
        <v>15649</v>
      </c>
      <c r="W482" s="2"/>
    </row>
    <row r="483">
      <c r="A483" s="2" t="n">
        <v>342</v>
      </c>
      <c r="B483" s="2" t="s">
        <v>12720</v>
      </c>
      <c r="C483" s="2" t="s">
        <v>19111</v>
      </c>
      <c r="D483" s="2" t="n">
        <v>601.422883094</v>
      </c>
      <c r="E483" s="2" t="n">
        <v>0.0351938113135695</v>
      </c>
      <c r="F483" s="2" t="s">
        <v>22705</v>
      </c>
      <c r="G483" s="2" t="n">
        <v>59718</v>
      </c>
      <c r="H483" s="3" t="str">
        <f>HYPERLINK("http://funmeta.oebiotech.com/network/59718", "http://funmeta.oebiotech.com/network/59718")</f>
      </c>
      <c r="I483" s="2" t="s">
        <v>22706</v>
      </c>
      <c r="J483" s="2" t="s">
        <v>22707</v>
      </c>
      <c r="K483" s="2"/>
      <c r="L483" s="2"/>
      <c r="M483" s="2"/>
      <c r="N483" s="2" t="s">
        <v>22708</v>
      </c>
      <c r="O483" s="2"/>
      <c r="P483" s="2" t="s">
        <v>22709</v>
      </c>
      <c r="Q483" s="2" t="s">
        <v>22710</v>
      </c>
      <c r="R483" s="2" t="s">
        <v>1490</v>
      </c>
      <c r="S483" s="2" t="s">
        <v>1491</v>
      </c>
      <c r="T483" s="2" t="s">
        <v>6924</v>
      </c>
      <c r="U483" s="2" t="s">
        <v>19112</v>
      </c>
      <c r="V483" s="2" t="s">
        <v>15919</v>
      </c>
      <c r="W483" s="2"/>
    </row>
    <row r="484">
      <c r="A484" s="2" t="n">
        <v>342</v>
      </c>
      <c r="B484" s="2" t="s">
        <v>22711</v>
      </c>
      <c r="C484" s="2" t="s">
        <v>19111</v>
      </c>
      <c r="D484" s="2" t="n">
        <v>601.422883094</v>
      </c>
      <c r="E484" s="2" t="n">
        <v>0.0351938113135695</v>
      </c>
      <c r="F484" s="2" t="s">
        <v>22712</v>
      </c>
      <c r="G484" s="2" t="n">
        <v>48983</v>
      </c>
      <c r="H484" s="3" t="str">
        <f>HYPERLINK("http://funmeta.oebiotech.com/network/48983", "http://funmeta.oebiotech.com/network/48983")</f>
      </c>
      <c r="I484" s="2" t="s">
        <v>22713</v>
      </c>
      <c r="J484" s="2" t="s">
        <v>22714</v>
      </c>
      <c r="K484" s="2"/>
      <c r="L484" s="2"/>
      <c r="M484" s="2" t="s">
        <v>22715</v>
      </c>
      <c r="N484" s="2" t="s">
        <v>22716</v>
      </c>
      <c r="O484" s="2"/>
      <c r="P484" s="2" t="s">
        <v>22717</v>
      </c>
      <c r="Q484" s="2" t="s">
        <v>22718</v>
      </c>
      <c r="R484" s="2" t="s">
        <v>1490</v>
      </c>
      <c r="S484" s="2" t="s">
        <v>1491</v>
      </c>
      <c r="T484" s="2" t="s">
        <v>3437</v>
      </c>
      <c r="U484" s="2" t="s">
        <v>19112</v>
      </c>
      <c r="V484" s="2" t="s">
        <v>15919</v>
      </c>
      <c r="W484" s="2"/>
    </row>
    <row r="485">
      <c r="A485" s="2" t="n">
        <v>343</v>
      </c>
      <c r="B485" s="2" t="s">
        <v>12721</v>
      </c>
      <c r="C485" s="2" t="s">
        <v>19122</v>
      </c>
      <c r="D485" s="2" t="n">
        <v>602.109536007</v>
      </c>
      <c r="E485" s="2" t="n">
        <v>2.89845062531608</v>
      </c>
      <c r="F485" s="2" t="s">
        <v>19124</v>
      </c>
      <c r="G485" s="2" t="n">
        <v>207371</v>
      </c>
      <c r="H485" s="3" t="str">
        <f>HYPERLINK("http://funmeta.oebiotech.com/network/207371", "http://funmeta.oebiotech.com/network/207371")</f>
      </c>
      <c r="I485" s="2" t="s">
        <v>19126</v>
      </c>
      <c r="J485" s="2"/>
      <c r="K485" s="2"/>
      <c r="L485" s="2"/>
      <c r="M485" s="2"/>
      <c r="N485" s="2" t="s">
        <v>19127</v>
      </c>
      <c r="O485" s="2"/>
      <c r="P485" s="2" t="s">
        <v>19128</v>
      </c>
      <c r="Q485" s="2" t="s">
        <v>19129</v>
      </c>
      <c r="R485" s="2" t="s">
        <v>2590</v>
      </c>
      <c r="S485" s="2" t="s">
        <v>6120</v>
      </c>
      <c r="T485" s="2" t="s">
        <v>12953</v>
      </c>
      <c r="U485" s="2" t="s">
        <v>19123</v>
      </c>
      <c r="V485" s="2" t="s">
        <v>15691</v>
      </c>
      <c r="W485" s="2"/>
    </row>
    <row r="486">
      <c r="A486" s="2" t="n">
        <v>344</v>
      </c>
      <c r="B486" s="2" t="s">
        <v>12722</v>
      </c>
      <c r="C486" s="2" t="s">
        <v>19130</v>
      </c>
      <c r="D486" s="2" t="n">
        <v>603.089934213</v>
      </c>
      <c r="E486" s="2" t="n">
        <v>7.97453725385159</v>
      </c>
      <c r="F486" s="2" t="s">
        <v>22719</v>
      </c>
      <c r="G486" s="2" t="n">
        <v>54434</v>
      </c>
      <c r="H486" s="3" t="str">
        <f>HYPERLINK("http://funmeta.oebiotech.com/network/54434", "http://funmeta.oebiotech.com/network/54434")</f>
      </c>
      <c r="I486" s="2" t="s">
        <v>22720</v>
      </c>
      <c r="J486" s="2"/>
      <c r="K486" s="2"/>
      <c r="L486" s="2"/>
      <c r="M486" s="2"/>
      <c r="N486" s="2" t="s">
        <v>22721</v>
      </c>
      <c r="O486" s="2" t="s">
        <v>22722</v>
      </c>
      <c r="P486" s="2" t="s">
        <v>22723</v>
      </c>
      <c r="Q486" s="2" t="s">
        <v>22724</v>
      </c>
      <c r="R486" s="2" t="s">
        <v>2509</v>
      </c>
      <c r="S486" s="2" t="s">
        <v>5520</v>
      </c>
      <c r="T486" s="2" t="s">
        <v>13396</v>
      </c>
      <c r="U486" s="2" t="s">
        <v>19131</v>
      </c>
      <c r="V486" s="2" t="s">
        <v>15919</v>
      </c>
      <c r="W486" s="2"/>
    </row>
    <row r="487">
      <c r="A487" s="2" t="n">
        <v>344</v>
      </c>
      <c r="B487" s="2" t="s">
        <v>12732</v>
      </c>
      <c r="C487" s="2" t="s">
        <v>19130</v>
      </c>
      <c r="D487" s="2" t="n">
        <v>603.089934232</v>
      </c>
      <c r="E487" s="2" t="n">
        <v>7.97453725385159</v>
      </c>
      <c r="F487" s="2" t="s">
        <v>22725</v>
      </c>
      <c r="G487" s="2" t="n">
        <v>48614</v>
      </c>
      <c r="H487" s="3" t="str">
        <f>HYPERLINK("http://funmeta.oebiotech.com/network/48614", "http://funmeta.oebiotech.com/network/48614")</f>
      </c>
      <c r="I487" s="2" t="s">
        <v>22726</v>
      </c>
      <c r="J487" s="2"/>
      <c r="K487" s="2"/>
      <c r="L487" s="2"/>
      <c r="M487" s="2" t="s">
        <v>22727</v>
      </c>
      <c r="N487" s="2" t="s">
        <v>22728</v>
      </c>
      <c r="O487" s="2" t="s">
        <v>22729</v>
      </c>
      <c r="P487" s="2" t="s">
        <v>22730</v>
      </c>
      <c r="Q487" s="2" t="s">
        <v>22731</v>
      </c>
      <c r="R487" s="2" t="s">
        <v>2509</v>
      </c>
      <c r="S487" s="2" t="s">
        <v>5520</v>
      </c>
      <c r="T487" s="2" t="s">
        <v>13396</v>
      </c>
      <c r="U487" s="2" t="s">
        <v>19131</v>
      </c>
      <c r="V487" s="2" t="s">
        <v>15919</v>
      </c>
      <c r="W487" s="2"/>
    </row>
    <row r="488">
      <c r="A488" s="2" t="n">
        <v>344</v>
      </c>
      <c r="B488" s="2" t="s">
        <v>22732</v>
      </c>
      <c r="C488" s="2" t="s">
        <v>19130</v>
      </c>
      <c r="D488" s="2" t="n">
        <v>603.089934232</v>
      </c>
      <c r="E488" s="2" t="n">
        <v>7.97453725385159</v>
      </c>
      <c r="F488" s="2" t="s">
        <v>22733</v>
      </c>
      <c r="G488" s="2" t="n">
        <v>54232</v>
      </c>
      <c r="H488" s="3" t="str">
        <f>HYPERLINK("http://funmeta.oebiotech.com/network/54232", "http://funmeta.oebiotech.com/network/54232")</f>
      </c>
      <c r="I488" s="2" t="s">
        <v>22734</v>
      </c>
      <c r="J488" s="2" t="s">
        <v>22735</v>
      </c>
      <c r="K488" s="2"/>
      <c r="L488" s="2"/>
      <c r="M488" s="2"/>
      <c r="N488" s="2" t="s">
        <v>22736</v>
      </c>
      <c r="O488" s="2"/>
      <c r="P488" s="2" t="s">
        <v>22737</v>
      </c>
      <c r="Q488" s="2" t="s">
        <v>22738</v>
      </c>
      <c r="R488" s="2" t="s">
        <v>2509</v>
      </c>
      <c r="S488" s="2" t="s">
        <v>5520</v>
      </c>
      <c r="T488" s="2" t="s">
        <v>13396</v>
      </c>
      <c r="U488" s="2" t="s">
        <v>19131</v>
      </c>
      <c r="V488" s="2" t="s">
        <v>15919</v>
      </c>
      <c r="W488" s="2"/>
    </row>
    <row r="489">
      <c r="A489" s="2" t="n">
        <v>345</v>
      </c>
      <c r="B489" s="2" t="s">
        <v>12740</v>
      </c>
      <c r="C489" s="2" t="s">
        <v>19141</v>
      </c>
      <c r="D489" s="2" t="n">
        <v>603.438533158</v>
      </c>
      <c r="E489" s="2" t="n">
        <v>7.6110952147323</v>
      </c>
      <c r="F489" s="2" t="s">
        <v>22739</v>
      </c>
      <c r="G489" s="2" t="n">
        <v>10898</v>
      </c>
      <c r="H489" s="3" t="str">
        <f>HYPERLINK("http://funmeta.oebiotech.com/network/10898", "http://funmeta.oebiotech.com/network/10898")</f>
      </c>
      <c r="I489" s="2" t="s">
        <v>22740</v>
      </c>
      <c r="J489" s="2" t="s">
        <v>22741</v>
      </c>
      <c r="K489" s="2" t="s">
        <v>22742</v>
      </c>
      <c r="L489" s="2"/>
      <c r="M489" s="2" t="s">
        <v>22743</v>
      </c>
      <c r="N489" s="2" t="s">
        <v>22744</v>
      </c>
      <c r="O489" s="2"/>
      <c r="P489" s="2" t="s">
        <v>22745</v>
      </c>
      <c r="Q489" s="2" t="s">
        <v>22746</v>
      </c>
      <c r="R489" s="2" t="s">
        <v>1490</v>
      </c>
      <c r="S489" s="2" t="s">
        <v>1491</v>
      </c>
      <c r="T489" s="2" t="s">
        <v>3437</v>
      </c>
      <c r="U489" s="2" t="s">
        <v>19142</v>
      </c>
      <c r="V489" s="2" t="s">
        <v>15919</v>
      </c>
      <c r="W489" s="2"/>
    </row>
    <row r="490">
      <c r="A490" s="2" t="n">
        <v>345</v>
      </c>
      <c r="B490" s="2" t="s">
        <v>22747</v>
      </c>
      <c r="C490" s="2" t="s">
        <v>19141</v>
      </c>
      <c r="D490" s="2" t="n">
        <v>603.438533158</v>
      </c>
      <c r="E490" s="2" t="n">
        <v>7.6110952147323</v>
      </c>
      <c r="F490" s="2" t="s">
        <v>22748</v>
      </c>
      <c r="G490" s="2" t="n">
        <v>55964</v>
      </c>
      <c r="H490" s="3" t="str">
        <f>HYPERLINK("http://funmeta.oebiotech.com/network/55964", "http://funmeta.oebiotech.com/network/55964")</f>
      </c>
      <c r="I490" s="2" t="s">
        <v>22749</v>
      </c>
      <c r="J490" s="2" t="s">
        <v>22750</v>
      </c>
      <c r="K490" s="2"/>
      <c r="L490" s="2"/>
      <c r="M490" s="2" t="s">
        <v>22751</v>
      </c>
      <c r="N490" s="2" t="s">
        <v>22752</v>
      </c>
      <c r="O490" s="2" t="s">
        <v>22753</v>
      </c>
      <c r="P490" s="2" t="s">
        <v>22754</v>
      </c>
      <c r="Q490" s="2" t="s">
        <v>22755</v>
      </c>
      <c r="R490" s="2" t="s">
        <v>1490</v>
      </c>
      <c r="S490" s="2" t="s">
        <v>1491</v>
      </c>
      <c r="T490" s="2" t="s">
        <v>6924</v>
      </c>
      <c r="U490" s="2" t="s">
        <v>19142</v>
      </c>
      <c r="V490" s="2" t="s">
        <v>15919</v>
      </c>
      <c r="W490" s="2"/>
    </row>
    <row r="491">
      <c r="A491" s="2" t="n">
        <v>345</v>
      </c>
      <c r="B491" s="2" t="s">
        <v>22756</v>
      </c>
      <c r="C491" s="2" t="s">
        <v>19141</v>
      </c>
      <c r="D491" s="2" t="n">
        <v>603.438533158</v>
      </c>
      <c r="E491" s="2" t="n">
        <v>7.6110952147323</v>
      </c>
      <c r="F491" s="2" t="s">
        <v>22757</v>
      </c>
      <c r="G491" s="2" t="n">
        <v>56543</v>
      </c>
      <c r="H491" s="3" t="str">
        <f>HYPERLINK("http://funmeta.oebiotech.com/network/56543", "http://funmeta.oebiotech.com/network/56543")</f>
      </c>
      <c r="I491" s="2" t="s">
        <v>22758</v>
      </c>
      <c r="J491" s="2" t="s">
        <v>22759</v>
      </c>
      <c r="K491" s="2"/>
      <c r="L491" s="2"/>
      <c r="M491" s="2" t="s">
        <v>22760</v>
      </c>
      <c r="N491" s="2" t="s">
        <v>22761</v>
      </c>
      <c r="O491" s="2" t="s">
        <v>22762</v>
      </c>
      <c r="P491" s="2" t="s">
        <v>22763</v>
      </c>
      <c r="Q491" s="2" t="s">
        <v>22764</v>
      </c>
      <c r="R491" s="2" t="s">
        <v>1490</v>
      </c>
      <c r="S491" s="2" t="s">
        <v>1491</v>
      </c>
      <c r="T491" s="2" t="s">
        <v>6924</v>
      </c>
      <c r="U491" s="2" t="s">
        <v>19142</v>
      </c>
      <c r="V491" s="2" t="s">
        <v>15919</v>
      </c>
      <c r="W491" s="2"/>
    </row>
    <row r="492">
      <c r="A492" s="2" t="n">
        <v>346</v>
      </c>
      <c r="B492" s="2" t="s">
        <v>12741</v>
      </c>
      <c r="C492" s="2" t="s">
        <v>19154</v>
      </c>
      <c r="D492" s="2" t="n">
        <v>605.301778344</v>
      </c>
      <c r="E492" s="2" t="n">
        <v>0.919553337518892</v>
      </c>
      <c r="F492" s="2" t="s">
        <v>19156</v>
      </c>
      <c r="G492" s="2" t="n">
        <v>199926</v>
      </c>
      <c r="H492" s="3" t="str">
        <f>HYPERLINK("http://funmeta.oebiotech.com/network/199926", "http://funmeta.oebiotech.com/network/199926")</f>
      </c>
      <c r="I492" s="2" t="s">
        <v>19158</v>
      </c>
      <c r="J492" s="2"/>
      <c r="K492" s="2"/>
      <c r="L492" s="2"/>
      <c r="M492" s="2"/>
      <c r="N492" s="2" t="s">
        <v>19159</v>
      </c>
      <c r="O492" s="2"/>
      <c r="P492" s="2" t="s">
        <v>19160</v>
      </c>
      <c r="Q492" s="2" t="s">
        <v>19161</v>
      </c>
      <c r="R492" s="2" t="s">
        <v>49</v>
      </c>
      <c r="S492" s="2" t="s">
        <v>165</v>
      </c>
      <c r="T492" s="2" t="s">
        <v>166</v>
      </c>
      <c r="U492" s="2" t="s">
        <v>19155</v>
      </c>
      <c r="V492" s="2" t="s">
        <v>15858</v>
      </c>
      <c r="W492" s="2"/>
    </row>
    <row r="493">
      <c r="A493" s="2" t="n">
        <v>347</v>
      </c>
      <c r="B493" s="2" t="s">
        <v>12742</v>
      </c>
      <c r="C493" s="2" t="s">
        <v>19162</v>
      </c>
      <c r="D493" s="2" t="n">
        <v>606.386713697</v>
      </c>
      <c r="E493" s="2" t="n">
        <v>4.69477324125123</v>
      </c>
      <c r="F493" s="2" t="s">
        <v>19164</v>
      </c>
      <c r="G493" s="2" t="n">
        <v>63133</v>
      </c>
      <c r="H493" s="3" t="str">
        <f>HYPERLINK("http://funmeta.oebiotech.com/network/63133", "http://funmeta.oebiotech.com/network/63133")</f>
      </c>
      <c r="I493" s="2" t="s">
        <v>19166</v>
      </c>
      <c r="J493" s="2" t="s">
        <v>19167</v>
      </c>
      <c r="K493" s="2"/>
      <c r="L493" s="2"/>
      <c r="M493" s="2"/>
      <c r="N493" s="2" t="s">
        <v>19168</v>
      </c>
      <c r="O493" s="2"/>
      <c r="P493" s="2" t="s">
        <v>19169</v>
      </c>
      <c r="Q493" s="2" t="s">
        <v>19170</v>
      </c>
      <c r="R493" s="2" t="s">
        <v>49</v>
      </c>
      <c r="S493" s="2" t="s">
        <v>6532</v>
      </c>
      <c r="T493" s="2" t="s">
        <v>7502</v>
      </c>
      <c r="U493" s="2" t="s">
        <v>19163</v>
      </c>
      <c r="V493" s="2" t="s">
        <v>15611</v>
      </c>
      <c r="W493" s="2"/>
    </row>
    <row r="494">
      <c r="A494" s="2" t="n">
        <v>348</v>
      </c>
      <c r="B494" s="2" t="s">
        <v>12743</v>
      </c>
      <c r="C494" s="2" t="s">
        <v>19171</v>
      </c>
      <c r="D494" s="2" t="n">
        <v>607.079009164</v>
      </c>
      <c r="E494" s="2" t="n">
        <v>4.78282035295323</v>
      </c>
      <c r="F494" s="2" t="s">
        <v>22765</v>
      </c>
      <c r="G494" s="2" t="n">
        <v>82651</v>
      </c>
      <c r="H494" s="3" t="str">
        <f>HYPERLINK("http://funmeta.oebiotech.com/network/82651", "http://funmeta.oebiotech.com/network/82651")</f>
      </c>
      <c r="I494" s="2" t="s">
        <v>22766</v>
      </c>
      <c r="J494" s="2" t="s">
        <v>22767</v>
      </c>
      <c r="K494" s="2"/>
      <c r="L494" s="2"/>
      <c r="M494" s="2"/>
      <c r="N494" s="2" t="s">
        <v>22768</v>
      </c>
      <c r="O494" s="2"/>
      <c r="P494" s="2" t="s">
        <v>22769</v>
      </c>
      <c r="Q494" s="2" t="s">
        <v>22770</v>
      </c>
      <c r="R494" s="2" t="s">
        <v>2590</v>
      </c>
      <c r="S494" s="2" t="s">
        <v>3279</v>
      </c>
      <c r="T494" s="2" t="s">
        <v>205</v>
      </c>
      <c r="U494" s="2" t="s">
        <v>19172</v>
      </c>
      <c r="V494" s="2" t="s">
        <v>16225</v>
      </c>
      <c r="W494" s="2"/>
    </row>
    <row r="495">
      <c r="A495" s="2" t="n">
        <v>348</v>
      </c>
      <c r="B495" s="2" t="s">
        <v>22771</v>
      </c>
      <c r="C495" s="2" t="s">
        <v>19171</v>
      </c>
      <c r="D495" s="2" t="n">
        <v>607.079010112</v>
      </c>
      <c r="E495" s="2" t="n">
        <v>4.78282035295323</v>
      </c>
      <c r="F495" s="2" t="s">
        <v>22772</v>
      </c>
      <c r="G495" s="2" t="n">
        <v>209732</v>
      </c>
      <c r="H495" s="3" t="str">
        <f>HYPERLINK("http://funmeta.oebiotech.com/network/209732", "http://funmeta.oebiotech.com/network/209732")</f>
      </c>
      <c r="I495" s="2" t="s">
        <v>22773</v>
      </c>
      <c r="J495" s="2"/>
      <c r="K495" s="2"/>
      <c r="L495" s="2"/>
      <c r="M495" s="2"/>
      <c r="N495" s="2" t="s">
        <v>22774</v>
      </c>
      <c r="O495" s="2"/>
      <c r="P495" s="2" t="s">
        <v>22775</v>
      </c>
      <c r="Q495" s="2" t="s">
        <v>22776</v>
      </c>
      <c r="R495" s="2" t="s">
        <v>2590</v>
      </c>
      <c r="S495" s="2" t="s">
        <v>3279</v>
      </c>
      <c r="T495" s="2" t="s">
        <v>205</v>
      </c>
      <c r="U495" s="2" t="s">
        <v>19172</v>
      </c>
      <c r="V495" s="2" t="s">
        <v>16225</v>
      </c>
      <c r="W495" s="2"/>
    </row>
    <row r="496">
      <c r="A496" s="2" t="n">
        <v>349</v>
      </c>
      <c r="B496" s="2" t="s">
        <v>12744</v>
      </c>
      <c r="C496" s="2" t="s">
        <v>19180</v>
      </c>
      <c r="D496" s="2" t="n">
        <v>607.129949442</v>
      </c>
      <c r="E496" s="2" t="n">
        <v>8.8040322794797</v>
      </c>
      <c r="F496" s="2" t="s">
        <v>22777</v>
      </c>
      <c r="G496" s="2" t="n">
        <v>254980</v>
      </c>
      <c r="H496" s="3" t="str">
        <f>HYPERLINK("http://funmeta.oebiotech.com/network/254980", "http://funmeta.oebiotech.com/network/254980")</f>
      </c>
      <c r="I496" s="2" t="s">
        <v>22778</v>
      </c>
      <c r="J496" s="2" t="s">
        <v>22779</v>
      </c>
      <c r="K496" s="2"/>
      <c r="L496" s="2"/>
      <c r="M496" s="2"/>
      <c r="N496" s="2" t="s">
        <v>22780</v>
      </c>
      <c r="O496" s="2"/>
      <c r="P496" s="2" t="s">
        <v>22781</v>
      </c>
      <c r="Q496" s="2" t="s">
        <v>22782</v>
      </c>
      <c r="R496" s="2" t="s">
        <v>2509</v>
      </c>
      <c r="S496" s="2" t="s">
        <v>5520</v>
      </c>
      <c r="T496" s="2" t="s">
        <v>5664</v>
      </c>
      <c r="U496" s="2" t="s">
        <v>19181</v>
      </c>
      <c r="V496" s="2" t="s">
        <v>15611</v>
      </c>
      <c r="W496" s="2"/>
    </row>
    <row r="497">
      <c r="A497" s="2" t="n">
        <v>349</v>
      </c>
      <c r="B497" s="2" t="s">
        <v>22783</v>
      </c>
      <c r="C497" s="2" t="s">
        <v>19180</v>
      </c>
      <c r="D497" s="2" t="n">
        <v>607.12994947</v>
      </c>
      <c r="E497" s="2" t="n">
        <v>8.8040322794797</v>
      </c>
      <c r="F497" s="2" t="s">
        <v>22784</v>
      </c>
      <c r="G497" s="2" t="n">
        <v>60029</v>
      </c>
      <c r="H497" s="3" t="str">
        <f>HYPERLINK("http://funmeta.oebiotech.com/network/60029", "http://funmeta.oebiotech.com/network/60029")</f>
      </c>
      <c r="I497" s="2" t="s">
        <v>22785</v>
      </c>
      <c r="J497" s="2" t="s">
        <v>22786</v>
      </c>
      <c r="K497" s="2"/>
      <c r="L497" s="2"/>
      <c r="M497" s="2"/>
      <c r="N497" s="2" t="s">
        <v>22787</v>
      </c>
      <c r="O497" s="2"/>
      <c r="P497" s="2" t="s">
        <v>22788</v>
      </c>
      <c r="Q497" s="2" t="s">
        <v>22789</v>
      </c>
      <c r="R497" s="2" t="s">
        <v>2509</v>
      </c>
      <c r="S497" s="2" t="s">
        <v>5520</v>
      </c>
      <c r="T497" s="2" t="s">
        <v>5664</v>
      </c>
      <c r="U497" s="2" t="s">
        <v>19181</v>
      </c>
      <c r="V497" s="2" t="s">
        <v>15611</v>
      </c>
      <c r="W497" s="2"/>
    </row>
    <row r="498">
      <c r="A498" s="2" t="n">
        <v>349</v>
      </c>
      <c r="B498" s="2" t="s">
        <v>22790</v>
      </c>
      <c r="C498" s="2" t="s">
        <v>19180</v>
      </c>
      <c r="D498" s="2" t="n">
        <v>607.12994947</v>
      </c>
      <c r="E498" s="2" t="n">
        <v>8.8040322794797</v>
      </c>
      <c r="F498" s="2" t="s">
        <v>22791</v>
      </c>
      <c r="G498" s="2" t="n">
        <v>62160</v>
      </c>
      <c r="H498" s="3" t="str">
        <f>HYPERLINK("http://funmeta.oebiotech.com/network/62160", "http://funmeta.oebiotech.com/network/62160")</f>
      </c>
      <c r="I498" s="2" t="s">
        <v>22792</v>
      </c>
      <c r="J498" s="2" t="s">
        <v>22793</v>
      </c>
      <c r="K498" s="2"/>
      <c r="L498" s="2"/>
      <c r="M498" s="2"/>
      <c r="N498" s="2" t="s">
        <v>22794</v>
      </c>
      <c r="O498" s="2" t="s">
        <v>22795</v>
      </c>
      <c r="P498" s="2" t="s">
        <v>22796</v>
      </c>
      <c r="Q498" s="2" t="s">
        <v>22797</v>
      </c>
      <c r="R498" s="2" t="s">
        <v>2509</v>
      </c>
      <c r="S498" s="2" t="s">
        <v>5520</v>
      </c>
      <c r="T498" s="2" t="s">
        <v>5664</v>
      </c>
      <c r="U498" s="2" t="s">
        <v>19181</v>
      </c>
      <c r="V498" s="2" t="s">
        <v>15611</v>
      </c>
      <c r="W498" s="2"/>
    </row>
    <row r="499">
      <c r="A499" s="2" t="n">
        <v>350</v>
      </c>
      <c r="B499" s="2" t="s">
        <v>12745</v>
      </c>
      <c r="C499" s="2" t="s">
        <v>19190</v>
      </c>
      <c r="D499" s="2" t="n">
        <v>608.099432297</v>
      </c>
      <c r="E499" s="2" t="n">
        <v>1.7949067819484</v>
      </c>
      <c r="F499" s="2" t="s">
        <v>19192</v>
      </c>
      <c r="G499" s="2" t="n">
        <v>52649</v>
      </c>
      <c r="H499" s="3" t="str">
        <f>HYPERLINK("http://funmeta.oebiotech.com/network/52649", "http://funmeta.oebiotech.com/network/52649")</f>
      </c>
      <c r="I499" s="2" t="s">
        <v>19194</v>
      </c>
      <c r="J499" s="2" t="s">
        <v>19195</v>
      </c>
      <c r="K499" s="2"/>
      <c r="L499" s="2" t="s">
        <v>19196</v>
      </c>
      <c r="M499" s="2" t="s">
        <v>19197</v>
      </c>
      <c r="N499" s="2" t="s">
        <v>19198</v>
      </c>
      <c r="O499" s="2" t="s">
        <v>19199</v>
      </c>
      <c r="P499" s="2" t="s">
        <v>19200</v>
      </c>
      <c r="Q499" s="2" t="s">
        <v>19201</v>
      </c>
      <c r="R499" s="2" t="s">
        <v>355</v>
      </c>
      <c r="S499" s="2" t="s">
        <v>5131</v>
      </c>
      <c r="T499" s="2" t="s">
        <v>5132</v>
      </c>
      <c r="U499" s="2" t="s">
        <v>19191</v>
      </c>
      <c r="V499" s="2" t="s">
        <v>15722</v>
      </c>
      <c r="W499" s="2" t="s">
        <v>39</v>
      </c>
    </row>
    <row r="500">
      <c r="A500" s="2" t="n">
        <v>351</v>
      </c>
      <c r="B500" s="2" t="s">
        <v>12746</v>
      </c>
      <c r="C500" s="2" t="s">
        <v>19202</v>
      </c>
      <c r="D500" s="2" t="n">
        <v>609.35519746</v>
      </c>
      <c r="E500" s="2" t="n">
        <v>2.45248916657912</v>
      </c>
      <c r="F500" s="2" t="s">
        <v>22798</v>
      </c>
      <c r="G500" s="2" t="n">
        <v>62856</v>
      </c>
      <c r="H500" s="3" t="str">
        <f>HYPERLINK("http://funmeta.oebiotech.com/network/62856", "http://funmeta.oebiotech.com/network/62856")</f>
      </c>
      <c r="I500" s="2" t="s">
        <v>22799</v>
      </c>
      <c r="J500" s="2" t="s">
        <v>22800</v>
      </c>
      <c r="K500" s="2"/>
      <c r="L500" s="2"/>
      <c r="M500" s="2" t="s">
        <v>22801</v>
      </c>
      <c r="N500" s="2" t="s">
        <v>22802</v>
      </c>
      <c r="O500" s="2" t="s">
        <v>22803</v>
      </c>
      <c r="P500" s="2" t="s">
        <v>22804</v>
      </c>
      <c r="Q500" s="2" t="s">
        <v>22805</v>
      </c>
      <c r="R500" s="2" t="s">
        <v>355</v>
      </c>
      <c r="S500" s="2" t="s">
        <v>5537</v>
      </c>
      <c r="T500" s="2" t="s">
        <v>5538</v>
      </c>
      <c r="U500" s="2" t="s">
        <v>19203</v>
      </c>
      <c r="V500" s="2" t="s">
        <v>15919</v>
      </c>
      <c r="W500" s="2"/>
    </row>
    <row r="501">
      <c r="A501" s="2" t="n">
        <v>351</v>
      </c>
      <c r="B501" s="2" t="s">
        <v>12755</v>
      </c>
      <c r="C501" s="2" t="s">
        <v>19202</v>
      </c>
      <c r="D501" s="2" t="n">
        <v>609.35519746</v>
      </c>
      <c r="E501" s="2" t="n">
        <v>2.45248916657912</v>
      </c>
      <c r="F501" s="2" t="s">
        <v>22806</v>
      </c>
      <c r="G501" s="2" t="n">
        <v>62439</v>
      </c>
      <c r="H501" s="3" t="str">
        <f>HYPERLINK("http://funmeta.oebiotech.com/network/62439", "http://funmeta.oebiotech.com/network/62439")</f>
      </c>
      <c r="I501" s="2" t="s">
        <v>22807</v>
      </c>
      <c r="J501" s="2" t="s">
        <v>22808</v>
      </c>
      <c r="K501" s="2"/>
      <c r="L501" s="2"/>
      <c r="M501" s="2" t="s">
        <v>22809</v>
      </c>
      <c r="N501" s="2" t="s">
        <v>22810</v>
      </c>
      <c r="O501" s="2" t="s">
        <v>22811</v>
      </c>
      <c r="P501" s="2" t="s">
        <v>22812</v>
      </c>
      <c r="Q501" s="2" t="s">
        <v>22813</v>
      </c>
      <c r="R501" s="2" t="s">
        <v>1490</v>
      </c>
      <c r="S501" s="2" t="s">
        <v>4971</v>
      </c>
      <c r="T501" s="2" t="s">
        <v>6636</v>
      </c>
      <c r="U501" s="2" t="s">
        <v>19203</v>
      </c>
      <c r="V501" s="2" t="s">
        <v>15919</v>
      </c>
      <c r="W501" s="2"/>
    </row>
    <row r="502">
      <c r="A502" s="2" t="n">
        <v>352</v>
      </c>
      <c r="B502" s="2" t="s">
        <v>12761</v>
      </c>
      <c r="C502" s="2" t="s">
        <v>19215</v>
      </c>
      <c r="D502" s="2" t="n">
        <v>612.2445257</v>
      </c>
      <c r="E502" s="2" t="n">
        <v>5.93886578398257</v>
      </c>
      <c r="F502" s="2" t="s">
        <v>19217</v>
      </c>
      <c r="G502" s="2" t="n">
        <v>210417</v>
      </c>
      <c r="H502" s="3" t="str">
        <f>HYPERLINK("http://funmeta.oebiotech.com/network/210417", "http://funmeta.oebiotech.com/network/210417")</f>
      </c>
      <c r="I502" s="2" t="s">
        <v>19219</v>
      </c>
      <c r="J502" s="2"/>
      <c r="K502" s="2"/>
      <c r="L502" s="2"/>
      <c r="M502" s="2"/>
      <c r="N502" s="2"/>
      <c r="O502" s="2"/>
      <c r="P502" s="2" t="s">
        <v>19220</v>
      </c>
      <c r="Q502" s="2" t="s">
        <v>19221</v>
      </c>
      <c r="R502" s="2" t="s">
        <v>2509</v>
      </c>
      <c r="S502" s="2" t="s">
        <v>6605</v>
      </c>
      <c r="T502" s="2" t="s">
        <v>205</v>
      </c>
      <c r="U502" s="2" t="s">
        <v>19216</v>
      </c>
      <c r="V502" s="2" t="s">
        <v>15611</v>
      </c>
      <c r="W502" s="2"/>
    </row>
    <row r="503">
      <c r="A503" s="2" t="n">
        <v>353</v>
      </c>
      <c r="B503" s="2" t="s">
        <v>12762</v>
      </c>
      <c r="C503" s="2" t="s">
        <v>19222</v>
      </c>
      <c r="D503" s="2" t="n">
        <v>613.259244828</v>
      </c>
      <c r="E503" s="2" t="n">
        <v>2.36523020502212</v>
      </c>
      <c r="F503" s="2" t="s">
        <v>19224</v>
      </c>
      <c r="G503" s="2" t="n">
        <v>202557</v>
      </c>
      <c r="H503" s="3" t="str">
        <f>HYPERLINK("http://funmeta.oebiotech.com/network/202557", "http://funmeta.oebiotech.com/network/202557")</f>
      </c>
      <c r="I503" s="2" t="s">
        <v>19226</v>
      </c>
      <c r="J503" s="2"/>
      <c r="K503" s="2"/>
      <c r="L503" s="2"/>
      <c r="M503" s="2"/>
      <c r="N503" s="2" t="s">
        <v>19227</v>
      </c>
      <c r="O503" s="2"/>
      <c r="P503" s="2" t="s">
        <v>19228</v>
      </c>
      <c r="Q503" s="2" t="s">
        <v>19229</v>
      </c>
      <c r="R503" s="2" t="s">
        <v>49</v>
      </c>
      <c r="S503" s="2" t="s">
        <v>165</v>
      </c>
      <c r="T503" s="2" t="s">
        <v>166</v>
      </c>
      <c r="U503" s="2" t="s">
        <v>19223</v>
      </c>
      <c r="V503" s="2" t="s">
        <v>15858</v>
      </c>
      <c r="W503" s="2"/>
    </row>
    <row r="504">
      <c r="A504" s="2" t="n">
        <v>354</v>
      </c>
      <c r="B504" s="2" t="s">
        <v>12763</v>
      </c>
      <c r="C504" s="2" t="s">
        <v>19230</v>
      </c>
      <c r="D504" s="2" t="n">
        <v>615.426118896</v>
      </c>
      <c r="E504" s="2" t="n">
        <v>9.99149452607611</v>
      </c>
      <c r="F504" s="2" t="s">
        <v>22814</v>
      </c>
      <c r="G504" s="2" t="n">
        <v>59653</v>
      </c>
      <c r="H504" s="3" t="str">
        <f>HYPERLINK("http://funmeta.oebiotech.com/network/59653", "http://funmeta.oebiotech.com/network/59653")</f>
      </c>
      <c r="I504" s="2" t="s">
        <v>22815</v>
      </c>
      <c r="J504" s="2"/>
      <c r="K504" s="2"/>
      <c r="L504" s="2"/>
      <c r="M504" s="2"/>
      <c r="N504" s="2" t="s">
        <v>22816</v>
      </c>
      <c r="O504" s="2" t="s">
        <v>22817</v>
      </c>
      <c r="P504" s="2" t="s">
        <v>22818</v>
      </c>
      <c r="Q504" s="2" t="s">
        <v>22819</v>
      </c>
      <c r="R504" s="2" t="s">
        <v>1490</v>
      </c>
      <c r="S504" s="2" t="s">
        <v>3546</v>
      </c>
      <c r="T504" s="2" t="s">
        <v>7355</v>
      </c>
      <c r="U504" s="2" t="s">
        <v>19231</v>
      </c>
      <c r="V504" s="2" t="s">
        <v>15611</v>
      </c>
      <c r="W504" s="2"/>
    </row>
    <row r="505">
      <c r="A505" s="2" t="n">
        <v>354</v>
      </c>
      <c r="B505" s="2" t="s">
        <v>12772</v>
      </c>
      <c r="C505" s="2" t="s">
        <v>19230</v>
      </c>
      <c r="D505" s="2" t="n">
        <v>615.426118896</v>
      </c>
      <c r="E505" s="2" t="n">
        <v>9.99149452607611</v>
      </c>
      <c r="F505" s="2" t="s">
        <v>22820</v>
      </c>
      <c r="G505" s="2" t="n">
        <v>60622</v>
      </c>
      <c r="H505" s="3" t="str">
        <f>HYPERLINK("http://funmeta.oebiotech.com/network/60622", "http://funmeta.oebiotech.com/network/60622")</f>
      </c>
      <c r="I505" s="2" t="s">
        <v>22821</v>
      </c>
      <c r="J505" s="2" t="s">
        <v>22822</v>
      </c>
      <c r="K505" s="2"/>
      <c r="L505" s="2"/>
      <c r="M505" s="2" t="s">
        <v>22823</v>
      </c>
      <c r="N505" s="2" t="s">
        <v>22824</v>
      </c>
      <c r="O505" s="2" t="s">
        <v>22825</v>
      </c>
      <c r="P505" s="2" t="s">
        <v>22826</v>
      </c>
      <c r="Q505" s="2" t="s">
        <v>22827</v>
      </c>
      <c r="R505" s="2" t="s">
        <v>1490</v>
      </c>
      <c r="S505" s="2" t="s">
        <v>4971</v>
      </c>
      <c r="T505" s="2" t="s">
        <v>5010</v>
      </c>
      <c r="U505" s="2" t="s">
        <v>19231</v>
      </c>
      <c r="V505" s="2" t="s">
        <v>15611</v>
      </c>
      <c r="W505" s="2"/>
    </row>
    <row r="506">
      <c r="A506" s="2" t="n">
        <v>355</v>
      </c>
      <c r="B506" s="2" t="s">
        <v>12787</v>
      </c>
      <c r="C506" s="2" t="s">
        <v>19243</v>
      </c>
      <c r="D506" s="2" t="n">
        <v>615.495893286</v>
      </c>
      <c r="E506" s="2" t="n">
        <v>0.0979358445565753</v>
      </c>
      <c r="F506" s="2" t="s">
        <v>22828</v>
      </c>
      <c r="G506" s="2" t="n">
        <v>10903</v>
      </c>
      <c r="H506" s="3" t="str">
        <f>HYPERLINK("http://funmeta.oebiotech.com/network/10903", "http://funmeta.oebiotech.com/network/10903")</f>
      </c>
      <c r="I506" s="2" t="s">
        <v>22829</v>
      </c>
      <c r="J506" s="2" t="s">
        <v>22830</v>
      </c>
      <c r="K506" s="2" t="s">
        <v>22831</v>
      </c>
      <c r="L506" s="2"/>
      <c r="M506" s="2" t="s">
        <v>22832</v>
      </c>
      <c r="N506" s="2" t="s">
        <v>22833</v>
      </c>
      <c r="O506" s="2"/>
      <c r="P506" s="2" t="s">
        <v>22834</v>
      </c>
      <c r="Q506" s="2" t="s">
        <v>22835</v>
      </c>
      <c r="R506" s="2" t="s">
        <v>1490</v>
      </c>
      <c r="S506" s="2" t="s">
        <v>6728</v>
      </c>
      <c r="T506" s="2" t="s">
        <v>6729</v>
      </c>
      <c r="U506" s="2" t="s">
        <v>19244</v>
      </c>
      <c r="V506" s="2" t="s">
        <v>15858</v>
      </c>
      <c r="W506" s="2"/>
    </row>
    <row r="507">
      <c r="A507" s="2" t="n">
        <v>355</v>
      </c>
      <c r="B507" s="2" t="s">
        <v>22836</v>
      </c>
      <c r="C507" s="2" t="s">
        <v>19243</v>
      </c>
      <c r="D507" s="2" t="n">
        <v>615.495893286</v>
      </c>
      <c r="E507" s="2" t="n">
        <v>0.0979358445565753</v>
      </c>
      <c r="F507" s="2" t="s">
        <v>22837</v>
      </c>
      <c r="G507" s="2" t="n">
        <v>56989</v>
      </c>
      <c r="H507" s="3" t="str">
        <f>HYPERLINK("http://funmeta.oebiotech.com/network/56989", "http://funmeta.oebiotech.com/network/56989")</f>
      </c>
      <c r="I507" s="2" t="s">
        <v>22838</v>
      </c>
      <c r="J507" s="2" t="s">
        <v>22839</v>
      </c>
      <c r="K507" s="2"/>
      <c r="L507" s="2"/>
      <c r="M507" s="2" t="s">
        <v>22840</v>
      </c>
      <c r="N507" s="2" t="s">
        <v>22841</v>
      </c>
      <c r="O507" s="2"/>
      <c r="P507" s="2" t="s">
        <v>22842</v>
      </c>
      <c r="Q507" s="2" t="s">
        <v>22843</v>
      </c>
      <c r="R507" s="2" t="s">
        <v>1490</v>
      </c>
      <c r="S507" s="2" t="s">
        <v>1491</v>
      </c>
      <c r="T507" s="2" t="s">
        <v>6924</v>
      </c>
      <c r="U507" s="2" t="s">
        <v>19244</v>
      </c>
      <c r="V507" s="2" t="s">
        <v>15858</v>
      </c>
      <c r="W507" s="2"/>
    </row>
    <row r="508">
      <c r="A508" s="2" t="n">
        <v>355</v>
      </c>
      <c r="B508" s="2" t="s">
        <v>22844</v>
      </c>
      <c r="C508" s="2" t="s">
        <v>19243</v>
      </c>
      <c r="D508" s="2" t="n">
        <v>615.495893286</v>
      </c>
      <c r="E508" s="2" t="n">
        <v>0.0979358445565753</v>
      </c>
      <c r="F508" s="2" t="s">
        <v>22845</v>
      </c>
      <c r="G508" s="2" t="n">
        <v>58347</v>
      </c>
      <c r="H508" s="3" t="str">
        <f>HYPERLINK("http://funmeta.oebiotech.com/network/58347", "http://funmeta.oebiotech.com/network/58347")</f>
      </c>
      <c r="I508" s="2" t="s">
        <v>22846</v>
      </c>
      <c r="J508" s="2" t="s">
        <v>22847</v>
      </c>
      <c r="K508" s="2"/>
      <c r="L508" s="2"/>
      <c r="M508" s="2" t="s">
        <v>22848</v>
      </c>
      <c r="N508" s="2" t="s">
        <v>22849</v>
      </c>
      <c r="O508" s="2" t="s">
        <v>22850</v>
      </c>
      <c r="P508" s="2" t="s">
        <v>22851</v>
      </c>
      <c r="Q508" s="2" t="s">
        <v>22852</v>
      </c>
      <c r="R508" s="2" t="s">
        <v>1490</v>
      </c>
      <c r="S508" s="2" t="s">
        <v>1491</v>
      </c>
      <c r="T508" s="2" t="s">
        <v>6924</v>
      </c>
      <c r="U508" s="2" t="s">
        <v>19244</v>
      </c>
      <c r="V508" s="2" t="s">
        <v>15858</v>
      </c>
      <c r="W508" s="2"/>
    </row>
    <row r="509">
      <c r="A509" s="2" t="n">
        <v>356</v>
      </c>
      <c r="B509" s="2" t="s">
        <v>12788</v>
      </c>
      <c r="C509" s="2" t="s">
        <v>19257</v>
      </c>
      <c r="D509" s="2" t="n">
        <v>616.208928071</v>
      </c>
      <c r="E509" s="2" t="n">
        <v>3.27743891619596</v>
      </c>
      <c r="F509" s="2" t="s">
        <v>22853</v>
      </c>
      <c r="G509" s="2" t="n">
        <v>48780</v>
      </c>
      <c r="H509" s="3" t="str">
        <f>HYPERLINK("http://funmeta.oebiotech.com/network/48780", "http://funmeta.oebiotech.com/network/48780")</f>
      </c>
      <c r="I509" s="2" t="s">
        <v>22854</v>
      </c>
      <c r="J509" s="2" t="s">
        <v>22855</v>
      </c>
      <c r="K509" s="2"/>
      <c r="L509" s="2"/>
      <c r="M509" s="2"/>
      <c r="N509" s="2" t="s">
        <v>22856</v>
      </c>
      <c r="O509" s="2" t="s">
        <v>22857</v>
      </c>
      <c r="P509" s="2" t="s">
        <v>22858</v>
      </c>
      <c r="Q509" s="2" t="s">
        <v>22859</v>
      </c>
      <c r="R509" s="2" t="s">
        <v>64</v>
      </c>
      <c r="S509" s="2" t="s">
        <v>65</v>
      </c>
      <c r="T509" s="2" t="s">
        <v>66</v>
      </c>
      <c r="U509" s="2" t="s">
        <v>19258</v>
      </c>
      <c r="V509" s="2" t="s">
        <v>15611</v>
      </c>
      <c r="W509" s="2"/>
    </row>
    <row r="510">
      <c r="A510" s="2" t="n">
        <v>356</v>
      </c>
      <c r="B510" s="2" t="s">
        <v>22860</v>
      </c>
      <c r="C510" s="2" t="s">
        <v>19257</v>
      </c>
      <c r="D510" s="2" t="n">
        <v>616.208928071</v>
      </c>
      <c r="E510" s="2" t="n">
        <v>3.27743891619596</v>
      </c>
      <c r="F510" s="2" t="s">
        <v>22861</v>
      </c>
      <c r="G510" s="2" t="n">
        <v>209523</v>
      </c>
      <c r="H510" s="3" t="str">
        <f>HYPERLINK("http://funmeta.oebiotech.com/network/209523", "http://funmeta.oebiotech.com/network/209523")</f>
      </c>
      <c r="I510" s="2" t="s">
        <v>22862</v>
      </c>
      <c r="J510" s="2"/>
      <c r="K510" s="2"/>
      <c r="L510" s="2"/>
      <c r="M510" s="2"/>
      <c r="N510" s="2" t="s">
        <v>22863</v>
      </c>
      <c r="O510" s="2"/>
      <c r="P510" s="2" t="s">
        <v>22864</v>
      </c>
      <c r="Q510" s="2" t="s">
        <v>22865</v>
      </c>
      <c r="R510" s="2" t="s">
        <v>64</v>
      </c>
      <c r="S510" s="2" t="s">
        <v>65</v>
      </c>
      <c r="T510" s="2" t="s">
        <v>66</v>
      </c>
      <c r="U510" s="2" t="s">
        <v>19258</v>
      </c>
      <c r="V510" s="2" t="s">
        <v>15611</v>
      </c>
      <c r="W510" s="2"/>
    </row>
    <row r="511">
      <c r="A511" s="2" t="n">
        <v>356</v>
      </c>
      <c r="B511" s="2" t="s">
        <v>22866</v>
      </c>
      <c r="C511" s="2" t="s">
        <v>19257</v>
      </c>
      <c r="D511" s="2" t="n">
        <v>616.208928071</v>
      </c>
      <c r="E511" s="2" t="n">
        <v>3.27743891619596</v>
      </c>
      <c r="F511" s="2" t="s">
        <v>22867</v>
      </c>
      <c r="G511" s="2" t="n">
        <v>47245</v>
      </c>
      <c r="H511" s="3" t="str">
        <f>HYPERLINK("http://funmeta.oebiotech.com/network/47245", "http://funmeta.oebiotech.com/network/47245")</f>
      </c>
      <c r="I511" s="2" t="s">
        <v>22868</v>
      </c>
      <c r="J511" s="2" t="s">
        <v>22869</v>
      </c>
      <c r="K511" s="2"/>
      <c r="L511" s="2"/>
      <c r="M511" s="2"/>
      <c r="N511" s="2" t="s">
        <v>22870</v>
      </c>
      <c r="O511" s="2" t="s">
        <v>22871</v>
      </c>
      <c r="P511" s="2" t="s">
        <v>22872</v>
      </c>
      <c r="Q511" s="2" t="s">
        <v>22873</v>
      </c>
      <c r="R511" s="2" t="s">
        <v>64</v>
      </c>
      <c r="S511" s="2" t="s">
        <v>65</v>
      </c>
      <c r="T511" s="2" t="s">
        <v>66</v>
      </c>
      <c r="U511" s="2" t="s">
        <v>19258</v>
      </c>
      <c r="V511" s="2" t="s">
        <v>15611</v>
      </c>
      <c r="W511" s="2"/>
    </row>
    <row r="512">
      <c r="A512" s="2" t="n">
        <v>357</v>
      </c>
      <c r="B512" s="2" t="s">
        <v>12789</v>
      </c>
      <c r="C512" s="2" t="s">
        <v>19267</v>
      </c>
      <c r="D512" s="2" t="n">
        <v>616.603295408</v>
      </c>
      <c r="E512" s="2" t="n">
        <v>2.18238620549773</v>
      </c>
      <c r="F512" s="2" t="s">
        <v>19269</v>
      </c>
      <c r="G512" s="2" t="n">
        <v>209067</v>
      </c>
      <c r="H512" s="3" t="str">
        <f>HYPERLINK("http://funmeta.oebiotech.com/network/209067", "http://funmeta.oebiotech.com/network/209067")</f>
      </c>
      <c r="I512" s="2" t="s">
        <v>19271</v>
      </c>
      <c r="J512" s="2"/>
      <c r="K512" s="2"/>
      <c r="L512" s="2"/>
      <c r="M512" s="2"/>
      <c r="N512" s="2" t="s">
        <v>19272</v>
      </c>
      <c r="O512" s="2"/>
      <c r="P512" s="2" t="s">
        <v>19273</v>
      </c>
      <c r="Q512" s="2" t="s">
        <v>19274</v>
      </c>
      <c r="R512" s="2" t="s">
        <v>1490</v>
      </c>
      <c r="S512" s="2" t="s">
        <v>8433</v>
      </c>
      <c r="T512" s="2" t="s">
        <v>18721</v>
      </c>
      <c r="U512" s="2" t="s">
        <v>19268</v>
      </c>
      <c r="V512" s="2" t="s">
        <v>15611</v>
      </c>
      <c r="W512" s="2"/>
    </row>
    <row r="513">
      <c r="A513" s="2" t="n">
        <v>358</v>
      </c>
      <c r="B513" s="2" t="s">
        <v>12790</v>
      </c>
      <c r="C513" s="2" t="s">
        <v>19275</v>
      </c>
      <c r="D513" s="2" t="n">
        <v>617.51154335</v>
      </c>
      <c r="E513" s="2" t="n">
        <v>0.398588906126778</v>
      </c>
      <c r="F513" s="2" t="s">
        <v>19277</v>
      </c>
      <c r="G513" s="2" t="n">
        <v>10902</v>
      </c>
      <c r="H513" s="3" t="str">
        <f>HYPERLINK("http://funmeta.oebiotech.com/network/10902", "http://funmeta.oebiotech.com/network/10902")</f>
      </c>
      <c r="I513" s="2" t="s">
        <v>19279</v>
      </c>
      <c r="J513" s="2" t="s">
        <v>19280</v>
      </c>
      <c r="K513" s="2" t="s">
        <v>19281</v>
      </c>
      <c r="L513" s="2"/>
      <c r="M513" s="2"/>
      <c r="N513" s="2" t="s">
        <v>19282</v>
      </c>
      <c r="O513" s="2"/>
      <c r="P513" s="2" t="s">
        <v>19283</v>
      </c>
      <c r="Q513" s="2" t="s">
        <v>19284</v>
      </c>
      <c r="R513" s="2" t="s">
        <v>1490</v>
      </c>
      <c r="S513" s="2" t="s">
        <v>6728</v>
      </c>
      <c r="T513" s="2" t="s">
        <v>6729</v>
      </c>
      <c r="U513" s="2" t="s">
        <v>19276</v>
      </c>
      <c r="V513" s="2" t="s">
        <v>15858</v>
      </c>
      <c r="W513" s="2"/>
    </row>
    <row r="514">
      <c r="A514" s="2" t="n">
        <v>359</v>
      </c>
      <c r="B514" s="2" t="s">
        <v>12791</v>
      </c>
      <c r="C514" s="2" t="s">
        <v>19285</v>
      </c>
      <c r="D514" s="2" t="n">
        <v>618.875882648</v>
      </c>
      <c r="E514" s="2" t="n">
        <v>7.87150757037141</v>
      </c>
      <c r="F514" s="2" t="s">
        <v>19287</v>
      </c>
      <c r="G514" s="2" t="n">
        <v>59957</v>
      </c>
      <c r="H514" s="3" t="str">
        <f>HYPERLINK("http://funmeta.oebiotech.com/network/59957", "http://funmeta.oebiotech.com/network/59957")</f>
      </c>
      <c r="I514" s="2" t="s">
        <v>19289</v>
      </c>
      <c r="J514" s="2" t="s">
        <v>19290</v>
      </c>
      <c r="K514" s="2"/>
      <c r="L514" s="2"/>
      <c r="M514" s="2"/>
      <c r="N514" s="2" t="s">
        <v>19291</v>
      </c>
      <c r="O514" s="2" t="s">
        <v>19292</v>
      </c>
      <c r="P514" s="2" t="s">
        <v>19293</v>
      </c>
      <c r="Q514" s="2" t="s">
        <v>19294</v>
      </c>
      <c r="R514" s="2" t="s">
        <v>355</v>
      </c>
      <c r="S514" s="2" t="s">
        <v>1713</v>
      </c>
      <c r="T514" s="2" t="s">
        <v>205</v>
      </c>
      <c r="U514" s="2" t="s">
        <v>19286</v>
      </c>
      <c r="V514" s="2" t="s">
        <v>16225</v>
      </c>
      <c r="W514" s="2"/>
    </row>
    <row r="515">
      <c r="A515" s="2" t="n">
        <v>360</v>
      </c>
      <c r="B515" s="2" t="s">
        <v>12792</v>
      </c>
      <c r="C515" s="2" t="s">
        <v>19295</v>
      </c>
      <c r="D515" s="2" t="n">
        <v>619.106756925</v>
      </c>
      <c r="E515" s="2" t="n">
        <v>1.30768780459361</v>
      </c>
      <c r="F515" s="2" t="s">
        <v>19297</v>
      </c>
      <c r="G515" s="2" t="n">
        <v>205282</v>
      </c>
      <c r="H515" s="3" t="str">
        <f>HYPERLINK("http://funmeta.oebiotech.com/network/205282", "http://funmeta.oebiotech.com/network/205282")</f>
      </c>
      <c r="I515" s="2" t="s">
        <v>19299</v>
      </c>
      <c r="J515" s="2"/>
      <c r="K515" s="2"/>
      <c r="L515" s="2"/>
      <c r="M515" s="2"/>
      <c r="N515" s="2" t="s">
        <v>19300</v>
      </c>
      <c r="O515" s="2"/>
      <c r="P515" s="2" t="s">
        <v>19301</v>
      </c>
      <c r="Q515" s="2" t="s">
        <v>19302</v>
      </c>
      <c r="R515" s="2" t="s">
        <v>2590</v>
      </c>
      <c r="S515" s="2" t="s">
        <v>14318</v>
      </c>
      <c r="T515" s="2" t="s">
        <v>14319</v>
      </c>
      <c r="U515" s="2" t="s">
        <v>19296</v>
      </c>
      <c r="V515" s="2" t="s">
        <v>15611</v>
      </c>
      <c r="W515" s="2"/>
    </row>
    <row r="516">
      <c r="A516" s="2" t="n">
        <v>361</v>
      </c>
      <c r="B516" s="2" t="s">
        <v>12812</v>
      </c>
      <c r="C516" s="2" t="s">
        <v>19303</v>
      </c>
      <c r="D516" s="2" t="n">
        <v>623.560901478</v>
      </c>
      <c r="E516" s="2" t="n">
        <v>8.20353368701315</v>
      </c>
      <c r="F516" s="2" t="s">
        <v>19305</v>
      </c>
      <c r="G516" s="2" t="n">
        <v>48987</v>
      </c>
      <c r="H516" s="3" t="str">
        <f>HYPERLINK("http://funmeta.oebiotech.com/network/48987", "http://funmeta.oebiotech.com/network/48987")</f>
      </c>
      <c r="I516" s="2" t="s">
        <v>19307</v>
      </c>
      <c r="J516" s="2" t="s">
        <v>19308</v>
      </c>
      <c r="K516" s="2"/>
      <c r="L516" s="2"/>
      <c r="M516" s="2"/>
      <c r="N516" s="2" t="s">
        <v>19309</v>
      </c>
      <c r="O516" s="2"/>
      <c r="P516" s="2" t="s">
        <v>19310</v>
      </c>
      <c r="Q516" s="2" t="s">
        <v>19311</v>
      </c>
      <c r="R516" s="2" t="s">
        <v>1490</v>
      </c>
      <c r="S516" s="2" t="s">
        <v>6728</v>
      </c>
      <c r="T516" s="2" t="s">
        <v>6729</v>
      </c>
      <c r="U516" s="2" t="s">
        <v>19304</v>
      </c>
      <c r="V516" s="2" t="s">
        <v>15649</v>
      </c>
      <c r="W516" s="2"/>
    </row>
    <row r="517">
      <c r="A517" s="2" t="n">
        <v>362</v>
      </c>
      <c r="B517" s="2" t="s">
        <v>12813</v>
      </c>
      <c r="C517" s="2" t="s">
        <v>19312</v>
      </c>
      <c r="D517" s="2" t="n">
        <v>624.087966775</v>
      </c>
      <c r="E517" s="2" t="n">
        <v>2.34754190381803</v>
      </c>
      <c r="F517" s="2" t="s">
        <v>19314</v>
      </c>
      <c r="G517" s="2" t="n">
        <v>61792</v>
      </c>
      <c r="H517" s="3" t="str">
        <f>HYPERLINK("http://funmeta.oebiotech.com/network/61792", "http://funmeta.oebiotech.com/network/61792")</f>
      </c>
      <c r="I517" s="2" t="s">
        <v>19316</v>
      </c>
      <c r="J517" s="2"/>
      <c r="K517" s="2"/>
      <c r="L517" s="2"/>
      <c r="M517" s="2"/>
      <c r="N517" s="2" t="s">
        <v>19317</v>
      </c>
      <c r="O517" s="2" t="s">
        <v>19318</v>
      </c>
      <c r="P517" s="2" t="s">
        <v>19319</v>
      </c>
      <c r="Q517" s="2" t="s">
        <v>19320</v>
      </c>
      <c r="R517" s="2" t="s">
        <v>64</v>
      </c>
      <c r="S517" s="2" t="s">
        <v>65</v>
      </c>
      <c r="T517" s="2" t="s">
        <v>66</v>
      </c>
      <c r="U517" s="2" t="s">
        <v>19313</v>
      </c>
      <c r="V517" s="2" t="s">
        <v>15611</v>
      </c>
      <c r="W517" s="2"/>
    </row>
    <row r="518">
      <c r="A518" s="2" t="n">
        <v>363</v>
      </c>
      <c r="B518" s="2" t="s">
        <v>12814</v>
      </c>
      <c r="C518" s="2" t="s">
        <v>19321</v>
      </c>
      <c r="D518" s="2" t="n">
        <v>625.09541354</v>
      </c>
      <c r="E518" s="2" t="n">
        <v>8.83755826844611</v>
      </c>
      <c r="F518" s="2" t="s">
        <v>19323</v>
      </c>
      <c r="G518" s="2" t="n">
        <v>61118</v>
      </c>
      <c r="H518" s="3" t="str">
        <f>HYPERLINK("http://funmeta.oebiotech.com/network/61118", "http://funmeta.oebiotech.com/network/61118")</f>
      </c>
      <c r="I518" s="2" t="s">
        <v>19325</v>
      </c>
      <c r="J518" s="2"/>
      <c r="K518" s="2"/>
      <c r="L518" s="2"/>
      <c r="M518" s="2"/>
      <c r="N518" s="2" t="s">
        <v>19326</v>
      </c>
      <c r="O518" s="2" t="s">
        <v>19327</v>
      </c>
      <c r="P518" s="2" t="s">
        <v>19328</v>
      </c>
      <c r="Q518" s="2" t="s">
        <v>19329</v>
      </c>
      <c r="R518" s="2" t="s">
        <v>2509</v>
      </c>
      <c r="S518" s="2" t="s">
        <v>5520</v>
      </c>
      <c r="T518" s="2" t="s">
        <v>5664</v>
      </c>
      <c r="U518" s="2" t="s">
        <v>19322</v>
      </c>
      <c r="V518" s="2" t="s">
        <v>15919</v>
      </c>
      <c r="W518" s="2"/>
    </row>
    <row r="519">
      <c r="A519" s="2" t="n">
        <v>364</v>
      </c>
      <c r="B519" s="2" t="s">
        <v>12815</v>
      </c>
      <c r="C519" s="2" t="s">
        <v>19330</v>
      </c>
      <c r="D519" s="2" t="n">
        <v>625.1471294</v>
      </c>
      <c r="E519" s="2" t="n">
        <v>1.4492766448714</v>
      </c>
      <c r="F519" s="2" t="s">
        <v>19332</v>
      </c>
      <c r="G519" s="2" t="n">
        <v>213109</v>
      </c>
      <c r="H519" s="3" t="str">
        <f>HYPERLINK("http://funmeta.oebiotech.com/network/213109", "http://funmeta.oebiotech.com/network/213109")</f>
      </c>
      <c r="I519" s="2" t="s">
        <v>19334</v>
      </c>
      <c r="J519" s="2"/>
      <c r="K519" s="2"/>
      <c r="L519" s="2"/>
      <c r="M519" s="2" t="s">
        <v>19335</v>
      </c>
      <c r="N519" s="2"/>
      <c r="O519" s="2"/>
      <c r="P519" s="2" t="s">
        <v>19336</v>
      </c>
      <c r="Q519" s="2" t="s">
        <v>19337</v>
      </c>
      <c r="R519" s="2" t="s">
        <v>502</v>
      </c>
      <c r="S519" s="2" t="s">
        <v>2413</v>
      </c>
      <c r="T519" s="2" t="s">
        <v>16928</v>
      </c>
      <c r="U519" s="2" t="s">
        <v>19331</v>
      </c>
      <c r="V519" s="2" t="s">
        <v>15778</v>
      </c>
      <c r="W519" s="2"/>
    </row>
    <row r="520">
      <c r="A520" s="2" t="n">
        <v>365</v>
      </c>
      <c r="B520" s="2" t="s">
        <v>12816</v>
      </c>
      <c r="C520" s="2" t="s">
        <v>19338</v>
      </c>
      <c r="D520" s="2" t="n">
        <v>629.084454924</v>
      </c>
      <c r="E520" s="2" t="n">
        <v>2.70472276304648</v>
      </c>
      <c r="F520" s="2" t="s">
        <v>19340</v>
      </c>
      <c r="G520" s="2" t="n">
        <v>57512</v>
      </c>
      <c r="H520" s="3" t="str">
        <f>HYPERLINK("http://funmeta.oebiotech.com/network/57512", "http://funmeta.oebiotech.com/network/57512")</f>
      </c>
      <c r="I520" s="2" t="s">
        <v>19342</v>
      </c>
      <c r="J520" s="2" t="s">
        <v>19343</v>
      </c>
      <c r="K520" s="2"/>
      <c r="L520" s="2"/>
      <c r="M520" s="2"/>
      <c r="N520" s="2" t="s">
        <v>19344</v>
      </c>
      <c r="O520" s="2" t="s">
        <v>19345</v>
      </c>
      <c r="P520" s="2" t="s">
        <v>19346</v>
      </c>
      <c r="Q520" s="2" t="s">
        <v>19347</v>
      </c>
      <c r="R520" s="2" t="s">
        <v>2509</v>
      </c>
      <c r="S520" s="2" t="s">
        <v>6596</v>
      </c>
      <c r="T520" s="2" t="s">
        <v>205</v>
      </c>
      <c r="U520" s="2" t="s">
        <v>19339</v>
      </c>
      <c r="V520" s="2" t="s">
        <v>15919</v>
      </c>
      <c r="W520" s="2"/>
    </row>
    <row r="521">
      <c r="A521" s="2" t="n">
        <v>366</v>
      </c>
      <c r="B521" s="2" t="s">
        <v>12817</v>
      </c>
      <c r="C521" s="2" t="s">
        <v>19348</v>
      </c>
      <c r="D521" s="2" t="n">
        <v>629.454655632</v>
      </c>
      <c r="E521" s="2" t="n">
        <v>3.38210143897301</v>
      </c>
      <c r="F521" s="2" t="s">
        <v>22874</v>
      </c>
      <c r="G521" s="2" t="n">
        <v>55745</v>
      </c>
      <c r="H521" s="3" t="str">
        <f>HYPERLINK("http://funmeta.oebiotech.com/network/55745", "http://funmeta.oebiotech.com/network/55745")</f>
      </c>
      <c r="I521" s="2" t="s">
        <v>22875</v>
      </c>
      <c r="J521" s="2" t="s">
        <v>22876</v>
      </c>
      <c r="K521" s="2"/>
      <c r="L521" s="2"/>
      <c r="M521" s="2" t="s">
        <v>22877</v>
      </c>
      <c r="N521" s="2" t="s">
        <v>22878</v>
      </c>
      <c r="O521" s="2"/>
      <c r="P521" s="2" t="s">
        <v>22879</v>
      </c>
      <c r="Q521" s="2" t="s">
        <v>22880</v>
      </c>
      <c r="R521" s="2" t="s">
        <v>1490</v>
      </c>
      <c r="S521" s="2" t="s">
        <v>4236</v>
      </c>
      <c r="T521" s="2" t="s">
        <v>5175</v>
      </c>
      <c r="U521" s="2" t="s">
        <v>19349</v>
      </c>
      <c r="V521" s="2" t="s">
        <v>15611</v>
      </c>
      <c r="W521" s="2"/>
    </row>
    <row r="522">
      <c r="A522" s="2" t="n">
        <v>366</v>
      </c>
      <c r="B522" s="2" t="s">
        <v>12829</v>
      </c>
      <c r="C522" s="2" t="s">
        <v>19348</v>
      </c>
      <c r="D522" s="2" t="n">
        <v>629.454656115</v>
      </c>
      <c r="E522" s="2" t="n">
        <v>3.38210143897301</v>
      </c>
      <c r="F522" s="2" t="s">
        <v>22881</v>
      </c>
      <c r="G522" s="2" t="n">
        <v>25104</v>
      </c>
      <c r="H522" s="3" t="str">
        <f>HYPERLINK("http://funmeta.oebiotech.com/network/25104", "http://funmeta.oebiotech.com/network/25104")</f>
      </c>
      <c r="I522" s="2" t="s">
        <v>22882</v>
      </c>
      <c r="J522" s="2" t="s">
        <v>22883</v>
      </c>
      <c r="K522" s="2" t="s">
        <v>22884</v>
      </c>
      <c r="L522" s="2"/>
      <c r="M522" s="2"/>
      <c r="N522" s="2" t="s">
        <v>22885</v>
      </c>
      <c r="O522" s="2"/>
      <c r="P522" s="2" t="s">
        <v>22886</v>
      </c>
      <c r="Q522" s="2" t="s">
        <v>22887</v>
      </c>
      <c r="R522" s="2" t="s">
        <v>1490</v>
      </c>
      <c r="S522" s="2" t="s">
        <v>4236</v>
      </c>
      <c r="T522" s="2" t="s">
        <v>5175</v>
      </c>
      <c r="U522" s="2" t="s">
        <v>19349</v>
      </c>
      <c r="V522" s="2" t="s">
        <v>15611</v>
      </c>
      <c r="W522" s="2"/>
    </row>
    <row r="523">
      <c r="A523" s="2" t="n">
        <v>367</v>
      </c>
      <c r="B523" s="2" t="s">
        <v>12840</v>
      </c>
      <c r="C523" s="2" t="s">
        <v>19359</v>
      </c>
      <c r="D523" s="2" t="n">
        <v>630.449904605</v>
      </c>
      <c r="E523" s="2" t="n">
        <v>1.09522546217862</v>
      </c>
      <c r="F523" s="2" t="s">
        <v>19361</v>
      </c>
      <c r="G523" s="2" t="n">
        <v>20114</v>
      </c>
      <c r="H523" s="3" t="str">
        <f>HYPERLINK("http://funmeta.oebiotech.com/network/20114", "http://funmeta.oebiotech.com/network/20114")</f>
      </c>
      <c r="I523" s="2" t="s">
        <v>19363</v>
      </c>
      <c r="J523" s="2" t="s">
        <v>19364</v>
      </c>
      <c r="K523" s="2" t="s">
        <v>19365</v>
      </c>
      <c r="L523" s="2" t="s">
        <v>7680</v>
      </c>
      <c r="M523" s="2"/>
      <c r="N523" s="2" t="s">
        <v>19366</v>
      </c>
      <c r="O523" s="2"/>
      <c r="P523" s="2" t="s">
        <v>19367</v>
      </c>
      <c r="Q523" s="2" t="s">
        <v>19368</v>
      </c>
      <c r="R523" s="2" t="s">
        <v>1490</v>
      </c>
      <c r="S523" s="2" t="s">
        <v>4236</v>
      </c>
      <c r="T523" s="2" t="s">
        <v>5369</v>
      </c>
      <c r="U523" s="2" t="s">
        <v>19360</v>
      </c>
      <c r="V523" s="2" t="s">
        <v>15611</v>
      </c>
      <c r="W523" s="2" t="s">
        <v>39</v>
      </c>
    </row>
    <row r="524">
      <c r="A524" s="2" t="n">
        <v>368</v>
      </c>
      <c r="B524" s="2" t="s">
        <v>12841</v>
      </c>
      <c r="C524" s="2" t="s">
        <v>19369</v>
      </c>
      <c r="D524" s="2" t="n">
        <v>631.107579484</v>
      </c>
      <c r="E524" s="2" t="n">
        <v>9.49263311067974</v>
      </c>
      <c r="F524" s="2" t="s">
        <v>19371</v>
      </c>
      <c r="G524" s="2" t="n">
        <v>54369</v>
      </c>
      <c r="H524" s="3" t="str">
        <f>HYPERLINK("http://funmeta.oebiotech.com/network/54369", "http://funmeta.oebiotech.com/network/54369")</f>
      </c>
      <c r="I524" s="2" t="s">
        <v>19373</v>
      </c>
      <c r="J524" s="2"/>
      <c r="K524" s="2"/>
      <c r="L524" s="2" t="s">
        <v>19374</v>
      </c>
      <c r="M524" s="2"/>
      <c r="N524" s="2" t="s">
        <v>19375</v>
      </c>
      <c r="O524" s="2" t="s">
        <v>19376</v>
      </c>
      <c r="P524" s="2" t="s">
        <v>19377</v>
      </c>
      <c r="Q524" s="2" t="s">
        <v>19378</v>
      </c>
      <c r="R524" s="2" t="s">
        <v>4189</v>
      </c>
      <c r="S524" s="2" t="s">
        <v>15366</v>
      </c>
      <c r="T524" s="2" t="s">
        <v>15367</v>
      </c>
      <c r="U524" s="2" t="s">
        <v>19370</v>
      </c>
      <c r="V524" s="2" t="s">
        <v>15649</v>
      </c>
      <c r="W524" s="2" t="s">
        <v>39</v>
      </c>
    </row>
    <row r="525">
      <c r="A525" s="2" t="n">
        <v>369</v>
      </c>
      <c r="B525" s="2" t="s">
        <v>12842</v>
      </c>
      <c r="C525" s="2" t="s">
        <v>19379</v>
      </c>
      <c r="D525" s="2" t="n">
        <v>631.469401132</v>
      </c>
      <c r="E525" s="2" t="n">
        <v>0.0483149817268604</v>
      </c>
      <c r="F525" s="2" t="s">
        <v>19381</v>
      </c>
      <c r="G525" s="2" t="n">
        <v>209744</v>
      </c>
      <c r="H525" s="3" t="str">
        <f>HYPERLINK("http://funmeta.oebiotech.com/network/209744", "http://funmeta.oebiotech.com/network/209744")</f>
      </c>
      <c r="I525" s="2" t="s">
        <v>19383</v>
      </c>
      <c r="J525" s="2"/>
      <c r="K525" s="2"/>
      <c r="L525" s="2"/>
      <c r="M525" s="2"/>
      <c r="N525" s="2" t="s">
        <v>19384</v>
      </c>
      <c r="O525" s="2"/>
      <c r="P525" s="2" t="s">
        <v>19385</v>
      </c>
      <c r="Q525" s="2" t="s">
        <v>19386</v>
      </c>
      <c r="R525" s="2" t="s">
        <v>502</v>
      </c>
      <c r="S525" s="2" t="s">
        <v>503</v>
      </c>
      <c r="T525" s="2" t="s">
        <v>7641</v>
      </c>
      <c r="U525" s="2" t="s">
        <v>19380</v>
      </c>
      <c r="V525" s="2" t="s">
        <v>15649</v>
      </c>
      <c r="W525" s="2"/>
    </row>
    <row r="526">
      <c r="A526" s="2" t="n">
        <v>370</v>
      </c>
      <c r="B526" s="2" t="s">
        <v>12843</v>
      </c>
      <c r="C526" s="2" t="s">
        <v>19387</v>
      </c>
      <c r="D526" s="2" t="n">
        <v>632.110644593</v>
      </c>
      <c r="E526" s="2" t="n">
        <v>1.7426300325369</v>
      </c>
      <c r="F526" s="2" t="s">
        <v>19389</v>
      </c>
      <c r="G526" s="2" t="n">
        <v>204670</v>
      </c>
      <c r="H526" s="3" t="str">
        <f>HYPERLINK("http://funmeta.oebiotech.com/network/204670", "http://funmeta.oebiotech.com/network/204670")</f>
      </c>
      <c r="I526" s="2" t="s">
        <v>19391</v>
      </c>
      <c r="J526" s="2"/>
      <c r="K526" s="2"/>
      <c r="L526" s="2"/>
      <c r="M526" s="2"/>
      <c r="N526" s="2" t="s">
        <v>19392</v>
      </c>
      <c r="O526" s="2"/>
      <c r="P526" s="2" t="s">
        <v>19393</v>
      </c>
      <c r="Q526" s="2" t="s">
        <v>19394</v>
      </c>
      <c r="R526" s="2" t="s">
        <v>355</v>
      </c>
      <c r="S526" s="2" t="s">
        <v>4796</v>
      </c>
      <c r="T526" s="2" t="s">
        <v>4797</v>
      </c>
      <c r="U526" s="2" t="s">
        <v>19388</v>
      </c>
      <c r="V526" s="2" t="s">
        <v>15919</v>
      </c>
      <c r="W526" s="2"/>
    </row>
    <row r="527">
      <c r="A527" s="2" t="n">
        <v>371</v>
      </c>
      <c r="B527" s="2" t="s">
        <v>12862</v>
      </c>
      <c r="C527" s="2" t="s">
        <v>19395</v>
      </c>
      <c r="D527" s="2" t="n">
        <v>633.109214028</v>
      </c>
      <c r="E527" s="2" t="n">
        <v>8.06351189263807</v>
      </c>
      <c r="F527" s="2" t="s">
        <v>22888</v>
      </c>
      <c r="G527" s="2" t="n">
        <v>62482</v>
      </c>
      <c r="H527" s="3" t="str">
        <f>HYPERLINK("http://funmeta.oebiotech.com/network/62482", "http://funmeta.oebiotech.com/network/62482")</f>
      </c>
      <c r="I527" s="2" t="s">
        <v>22889</v>
      </c>
      <c r="J527" s="2" t="s">
        <v>22890</v>
      </c>
      <c r="K527" s="2"/>
      <c r="L527" s="2"/>
      <c r="M527" s="2"/>
      <c r="N527" s="2" t="s">
        <v>22891</v>
      </c>
      <c r="O527" s="2" t="s">
        <v>22892</v>
      </c>
      <c r="P527" s="2" t="s">
        <v>22893</v>
      </c>
      <c r="Q527" s="2" t="s">
        <v>22894</v>
      </c>
      <c r="R527" s="2" t="s">
        <v>2509</v>
      </c>
      <c r="S527" s="2" t="s">
        <v>4949</v>
      </c>
      <c r="T527" s="2" t="s">
        <v>205</v>
      </c>
      <c r="U527" s="2" t="s">
        <v>19396</v>
      </c>
      <c r="V527" s="2" t="s">
        <v>15611</v>
      </c>
      <c r="W527" s="2"/>
    </row>
    <row r="528">
      <c r="A528" s="2" t="n">
        <v>371</v>
      </c>
      <c r="B528" s="2" t="s">
        <v>22895</v>
      </c>
      <c r="C528" s="2" t="s">
        <v>19395</v>
      </c>
      <c r="D528" s="2" t="n">
        <v>633.109214028</v>
      </c>
      <c r="E528" s="2" t="n">
        <v>8.06351189263807</v>
      </c>
      <c r="F528" s="2" t="s">
        <v>22896</v>
      </c>
      <c r="G528" s="2" t="n">
        <v>62483</v>
      </c>
      <c r="H528" s="3" t="str">
        <f>HYPERLINK("http://funmeta.oebiotech.com/network/62483", "http://funmeta.oebiotech.com/network/62483")</f>
      </c>
      <c r="I528" s="2" t="s">
        <v>22897</v>
      </c>
      <c r="J528" s="2" t="s">
        <v>22898</v>
      </c>
      <c r="K528" s="2"/>
      <c r="L528" s="2"/>
      <c r="M528" s="2"/>
      <c r="N528" s="2" t="s">
        <v>22899</v>
      </c>
      <c r="O528" s="2"/>
      <c r="P528" s="2" t="s">
        <v>22900</v>
      </c>
      <c r="Q528" s="2" t="s">
        <v>22901</v>
      </c>
      <c r="R528" s="2" t="s">
        <v>502</v>
      </c>
      <c r="S528" s="2" t="s">
        <v>503</v>
      </c>
      <c r="T528" s="2" t="s">
        <v>2174</v>
      </c>
      <c r="U528" s="2" t="s">
        <v>19396</v>
      </c>
      <c r="V528" s="2" t="s">
        <v>15611</v>
      </c>
      <c r="W528" s="2"/>
    </row>
    <row r="529">
      <c r="A529" s="2" t="n">
        <v>372</v>
      </c>
      <c r="B529" s="2" t="s">
        <v>12863</v>
      </c>
      <c r="C529" s="2" t="s">
        <v>19406</v>
      </c>
      <c r="D529" s="2" t="n">
        <v>635.110154542</v>
      </c>
      <c r="E529" s="2" t="n">
        <v>1.4829860624291</v>
      </c>
      <c r="F529" s="2" t="s">
        <v>19408</v>
      </c>
      <c r="G529" s="2" t="n">
        <v>52788</v>
      </c>
      <c r="H529" s="3" t="str">
        <f>HYPERLINK("http://funmeta.oebiotech.com/network/52788", "http://funmeta.oebiotech.com/network/52788")</f>
      </c>
      <c r="I529" s="2" t="s">
        <v>19410</v>
      </c>
      <c r="J529" s="2" t="s">
        <v>19411</v>
      </c>
      <c r="K529" s="2"/>
      <c r="L529" s="2" t="s">
        <v>19412</v>
      </c>
      <c r="M529" s="2" t="s">
        <v>19413</v>
      </c>
      <c r="N529" s="2" t="s">
        <v>19414</v>
      </c>
      <c r="O529" s="2" t="s">
        <v>19415</v>
      </c>
      <c r="P529" s="2" t="s">
        <v>19416</v>
      </c>
      <c r="Q529" s="2" t="s">
        <v>19417</v>
      </c>
      <c r="R529" s="2" t="s">
        <v>49</v>
      </c>
      <c r="S529" s="2" t="s">
        <v>165</v>
      </c>
      <c r="T529" s="2" t="s">
        <v>166</v>
      </c>
      <c r="U529" s="2" t="s">
        <v>19407</v>
      </c>
      <c r="V529" s="2" t="s">
        <v>15858</v>
      </c>
      <c r="W529" s="2" t="s">
        <v>39</v>
      </c>
    </row>
    <row r="530">
      <c r="A530" s="2" t="n">
        <v>373</v>
      </c>
      <c r="B530" s="2" t="s">
        <v>12864</v>
      </c>
      <c r="C530" s="2" t="s">
        <v>19418</v>
      </c>
      <c r="D530" s="2" t="n">
        <v>635.539772114</v>
      </c>
      <c r="E530" s="2" t="n">
        <v>7.40897258175342</v>
      </c>
      <c r="F530" s="2" t="s">
        <v>22902</v>
      </c>
      <c r="G530" s="2" t="n">
        <v>132632</v>
      </c>
      <c r="H530" s="3" t="str">
        <f>HYPERLINK("http://funmeta.oebiotech.com/network/132632", "http://funmeta.oebiotech.com/network/132632")</f>
      </c>
      <c r="I530" s="2" t="s">
        <v>22903</v>
      </c>
      <c r="J530" s="2"/>
      <c r="K530" s="2"/>
      <c r="L530" s="2"/>
      <c r="M530" s="2"/>
      <c r="N530" s="2" t="s">
        <v>22904</v>
      </c>
      <c r="O530" s="2"/>
      <c r="P530" s="2" t="s">
        <v>22905</v>
      </c>
      <c r="Q530" s="2" t="s">
        <v>22906</v>
      </c>
      <c r="R530" s="2" t="s">
        <v>1490</v>
      </c>
      <c r="S530" s="2" t="s">
        <v>3546</v>
      </c>
      <c r="T530" s="2" t="s">
        <v>14544</v>
      </c>
      <c r="U530" s="2" t="s">
        <v>19419</v>
      </c>
      <c r="V530" s="2" t="s">
        <v>15649</v>
      </c>
      <c r="W530" s="2"/>
    </row>
    <row r="531">
      <c r="A531" s="2" t="n">
        <v>373</v>
      </c>
      <c r="B531" s="2" t="s">
        <v>22907</v>
      </c>
      <c r="C531" s="2" t="s">
        <v>19418</v>
      </c>
      <c r="D531" s="2" t="n">
        <v>635.539772114</v>
      </c>
      <c r="E531" s="2" t="n">
        <v>7.40897258175342</v>
      </c>
      <c r="F531" s="2" t="s">
        <v>22908</v>
      </c>
      <c r="G531" s="2" t="n">
        <v>132635</v>
      </c>
      <c r="H531" s="3" t="str">
        <f>HYPERLINK("http://funmeta.oebiotech.com/network/132635", "http://funmeta.oebiotech.com/network/132635")</f>
      </c>
      <c r="I531" s="2" t="s">
        <v>22909</v>
      </c>
      <c r="J531" s="2"/>
      <c r="K531" s="2"/>
      <c r="L531" s="2"/>
      <c r="M531" s="2"/>
      <c r="N531" s="2" t="s">
        <v>22910</v>
      </c>
      <c r="O531" s="2"/>
      <c r="P531" s="2" t="s">
        <v>22911</v>
      </c>
      <c r="Q531" s="2" t="s">
        <v>22912</v>
      </c>
      <c r="R531" s="2" t="s">
        <v>1490</v>
      </c>
      <c r="S531" s="2" t="s">
        <v>3546</v>
      </c>
      <c r="T531" s="2" t="s">
        <v>14544</v>
      </c>
      <c r="U531" s="2" t="s">
        <v>19419</v>
      </c>
      <c r="V531" s="2" t="s">
        <v>15649</v>
      </c>
      <c r="W531" s="2"/>
    </row>
    <row r="532">
      <c r="A532" s="2" t="n">
        <v>373</v>
      </c>
      <c r="B532" s="2" t="s">
        <v>22913</v>
      </c>
      <c r="C532" s="2" t="s">
        <v>19418</v>
      </c>
      <c r="D532" s="2" t="n">
        <v>635.539772114</v>
      </c>
      <c r="E532" s="2" t="n">
        <v>7.40897258175342</v>
      </c>
      <c r="F532" s="2" t="s">
        <v>22914</v>
      </c>
      <c r="G532" s="2" t="n">
        <v>132636</v>
      </c>
      <c r="H532" s="3" t="str">
        <f>HYPERLINK("http://funmeta.oebiotech.com/network/132636", "http://funmeta.oebiotech.com/network/132636")</f>
      </c>
      <c r="I532" s="2" t="s">
        <v>22915</v>
      </c>
      <c r="J532" s="2"/>
      <c r="K532" s="2"/>
      <c r="L532" s="2"/>
      <c r="M532" s="2"/>
      <c r="N532" s="2" t="s">
        <v>22916</v>
      </c>
      <c r="O532" s="2"/>
      <c r="P532" s="2" t="s">
        <v>22917</v>
      </c>
      <c r="Q532" s="2" t="s">
        <v>22918</v>
      </c>
      <c r="R532" s="2" t="s">
        <v>1490</v>
      </c>
      <c r="S532" s="2" t="s">
        <v>3546</v>
      </c>
      <c r="T532" s="2" t="s">
        <v>14544</v>
      </c>
      <c r="U532" s="2" t="s">
        <v>19419</v>
      </c>
      <c r="V532" s="2" t="s">
        <v>15649</v>
      </c>
      <c r="W532" s="2"/>
    </row>
    <row r="533">
      <c r="A533" s="2" t="n">
        <v>374</v>
      </c>
      <c r="B533" s="2" t="s">
        <v>12865</v>
      </c>
      <c r="C533" s="2" t="s">
        <v>19427</v>
      </c>
      <c r="D533" s="2" t="n">
        <v>640.9093682</v>
      </c>
      <c r="E533" s="2" t="n">
        <v>7.15056676474121</v>
      </c>
      <c r="F533" s="2" t="s">
        <v>19429</v>
      </c>
      <c r="G533" s="2" t="n">
        <v>206347</v>
      </c>
      <c r="H533" s="3" t="str">
        <f>HYPERLINK("http://funmeta.oebiotech.com/network/206347", "http://funmeta.oebiotech.com/network/206347")</f>
      </c>
      <c r="I533" s="2" t="s">
        <v>19431</v>
      </c>
      <c r="J533" s="2"/>
      <c r="K533" s="2"/>
      <c r="L533" s="2"/>
      <c r="M533" s="2"/>
      <c r="N533" s="2"/>
      <c r="O533" s="2"/>
      <c r="P533" s="2" t="s">
        <v>19432</v>
      </c>
      <c r="Q533" s="2" t="s">
        <v>19433</v>
      </c>
      <c r="R533" s="2" t="s">
        <v>502</v>
      </c>
      <c r="S533" s="2" t="s">
        <v>503</v>
      </c>
      <c r="T533" s="2" t="s">
        <v>2313</v>
      </c>
      <c r="U533" s="2" t="s">
        <v>19428</v>
      </c>
      <c r="V533" s="2" t="s">
        <v>16225</v>
      </c>
      <c r="W533" s="2"/>
    </row>
    <row r="534">
      <c r="A534" s="2" t="n">
        <v>375</v>
      </c>
      <c r="B534" s="2" t="s">
        <v>12866</v>
      </c>
      <c r="C534" s="2" t="s">
        <v>19434</v>
      </c>
      <c r="D534" s="2" t="n">
        <v>645.158013775</v>
      </c>
      <c r="E534" s="2" t="n">
        <v>1.13354542619319</v>
      </c>
      <c r="F534" s="2" t="s">
        <v>19436</v>
      </c>
      <c r="G534" s="2" t="n">
        <v>202728</v>
      </c>
      <c r="H534" s="3" t="str">
        <f>HYPERLINK("http://funmeta.oebiotech.com/network/202728", "http://funmeta.oebiotech.com/network/202728")</f>
      </c>
      <c r="I534" s="2" t="s">
        <v>19438</v>
      </c>
      <c r="J534" s="2"/>
      <c r="K534" s="2"/>
      <c r="L534" s="2"/>
      <c r="M534" s="2"/>
      <c r="N534" s="2" t="s">
        <v>19439</v>
      </c>
      <c r="O534" s="2"/>
      <c r="P534" s="2" t="s">
        <v>19440</v>
      </c>
      <c r="Q534" s="2" t="s">
        <v>19441</v>
      </c>
      <c r="R534" s="2" t="s">
        <v>64</v>
      </c>
      <c r="S534" s="2" t="s">
        <v>65</v>
      </c>
      <c r="T534" s="2" t="s">
        <v>66</v>
      </c>
      <c r="U534" s="2" t="s">
        <v>19435</v>
      </c>
      <c r="V534" s="2" t="s">
        <v>15919</v>
      </c>
      <c r="W534" s="2"/>
    </row>
    <row r="535">
      <c r="A535" s="2" t="n">
        <v>376</v>
      </c>
      <c r="B535" s="2" t="s">
        <v>12884</v>
      </c>
      <c r="C535" s="2" t="s">
        <v>19442</v>
      </c>
      <c r="D535" s="2" t="n">
        <v>645.332811616</v>
      </c>
      <c r="E535" s="2" t="n">
        <v>1.05032673124665</v>
      </c>
      <c r="F535" s="2" t="s">
        <v>19444</v>
      </c>
      <c r="G535" s="2" t="n">
        <v>56175</v>
      </c>
      <c r="H535" s="3" t="str">
        <f>HYPERLINK("http://funmeta.oebiotech.com/network/56175", "http://funmeta.oebiotech.com/network/56175")</f>
      </c>
      <c r="I535" s="2" t="s">
        <v>19446</v>
      </c>
      <c r="J535" s="2" t="s">
        <v>19447</v>
      </c>
      <c r="K535" s="2"/>
      <c r="L535" s="2"/>
      <c r="M535" s="2" t="s">
        <v>19448</v>
      </c>
      <c r="N535" s="2" t="s">
        <v>19449</v>
      </c>
      <c r="O535" s="2"/>
      <c r="P535" s="2" t="s">
        <v>19450</v>
      </c>
      <c r="Q535" s="2" t="s">
        <v>19451</v>
      </c>
      <c r="R535" s="2" t="s">
        <v>1490</v>
      </c>
      <c r="S535" s="2" t="s">
        <v>1491</v>
      </c>
      <c r="T535" s="2" t="s">
        <v>6523</v>
      </c>
      <c r="U535" s="2" t="s">
        <v>19443</v>
      </c>
      <c r="V535" s="2" t="s">
        <v>15778</v>
      </c>
      <c r="W535" s="2"/>
    </row>
    <row r="536">
      <c r="A536" s="2" t="n">
        <v>377</v>
      </c>
      <c r="B536" s="2" t="s">
        <v>12885</v>
      </c>
      <c r="C536" s="2" t="s">
        <v>19452</v>
      </c>
      <c r="D536" s="2" t="n">
        <v>645.448982051</v>
      </c>
      <c r="E536" s="2" t="n">
        <v>7.85145503589444</v>
      </c>
      <c r="F536" s="2" t="s">
        <v>19454</v>
      </c>
      <c r="G536" s="2" t="n">
        <v>25828</v>
      </c>
      <c r="H536" s="3" t="str">
        <f>HYPERLINK("http://funmeta.oebiotech.com/network/25828", "http://funmeta.oebiotech.com/network/25828")</f>
      </c>
      <c r="I536" s="2" t="s">
        <v>19456</v>
      </c>
      <c r="J536" s="2" t="s">
        <v>19457</v>
      </c>
      <c r="K536" s="2" t="s">
        <v>19458</v>
      </c>
      <c r="L536" s="2"/>
      <c r="M536" s="2"/>
      <c r="N536" s="2" t="s">
        <v>19459</v>
      </c>
      <c r="O536" s="2"/>
      <c r="P536" s="2" t="s">
        <v>19460</v>
      </c>
      <c r="Q536" s="2" t="s">
        <v>19461</v>
      </c>
      <c r="R536" s="2" t="s">
        <v>1490</v>
      </c>
      <c r="S536" s="2" t="s">
        <v>4236</v>
      </c>
      <c r="T536" s="2" t="s">
        <v>5175</v>
      </c>
      <c r="U536" s="2" t="s">
        <v>19453</v>
      </c>
      <c r="V536" s="2" t="s">
        <v>15649</v>
      </c>
      <c r="W536" s="2"/>
    </row>
    <row r="537">
      <c r="A537" s="2" t="n">
        <v>378</v>
      </c>
      <c r="B537" s="2" t="s">
        <v>12904</v>
      </c>
      <c r="C537" s="2" t="s">
        <v>19462</v>
      </c>
      <c r="D537" s="2" t="n">
        <v>647.464747908</v>
      </c>
      <c r="E537" s="2" t="n">
        <v>4.69516446247248</v>
      </c>
      <c r="F537" s="2" t="s">
        <v>19464</v>
      </c>
      <c r="G537" s="2" t="n">
        <v>59720</v>
      </c>
      <c r="H537" s="3" t="str">
        <f>HYPERLINK("http://funmeta.oebiotech.com/network/59720", "http://funmeta.oebiotech.com/network/59720")</f>
      </c>
      <c r="I537" s="2" t="s">
        <v>19466</v>
      </c>
      <c r="J537" s="2" t="s">
        <v>19467</v>
      </c>
      <c r="K537" s="2"/>
      <c r="L537" s="2"/>
      <c r="M537" s="2" t="s">
        <v>19468</v>
      </c>
      <c r="N537" s="2" t="s">
        <v>19469</v>
      </c>
      <c r="O537" s="2"/>
      <c r="P537" s="2" t="s">
        <v>19470</v>
      </c>
      <c r="Q537" s="2" t="s">
        <v>19471</v>
      </c>
      <c r="R537" s="2" t="s">
        <v>1490</v>
      </c>
      <c r="S537" s="2" t="s">
        <v>1491</v>
      </c>
      <c r="T537" s="2" t="s">
        <v>6924</v>
      </c>
      <c r="U537" s="2" t="s">
        <v>19463</v>
      </c>
      <c r="V537" s="2" t="s">
        <v>15919</v>
      </c>
      <c r="W537" s="2"/>
    </row>
    <row r="538">
      <c r="A538" s="2" t="n">
        <v>379</v>
      </c>
      <c r="B538" s="2" t="s">
        <v>12905</v>
      </c>
      <c r="C538" s="2" t="s">
        <v>19472</v>
      </c>
      <c r="D538" s="2" t="n">
        <v>648.665895655</v>
      </c>
      <c r="E538" s="2" t="n">
        <v>0.0739285730927734</v>
      </c>
      <c r="F538" s="2" t="s">
        <v>19474</v>
      </c>
      <c r="G538" s="2" t="n">
        <v>39285</v>
      </c>
      <c r="H538" s="3" t="str">
        <f>HYPERLINK("http://funmeta.oebiotech.com/network/39285", "http://funmeta.oebiotech.com/network/39285")</f>
      </c>
      <c r="I538" s="2" t="s">
        <v>19476</v>
      </c>
      <c r="J538" s="2" t="s">
        <v>19477</v>
      </c>
      <c r="K538" s="2" t="s">
        <v>19478</v>
      </c>
      <c r="L538" s="2"/>
      <c r="M538" s="2"/>
      <c r="N538" s="2" t="s">
        <v>19479</v>
      </c>
      <c r="O538" s="2"/>
      <c r="P538" s="2" t="s">
        <v>19480</v>
      </c>
      <c r="Q538" s="2" t="s">
        <v>19481</v>
      </c>
      <c r="R538" s="2" t="s">
        <v>1490</v>
      </c>
      <c r="S538" s="2" t="s">
        <v>8433</v>
      </c>
      <c r="T538" s="2" t="s">
        <v>18721</v>
      </c>
      <c r="U538" s="2" t="s">
        <v>19473</v>
      </c>
      <c r="V538" s="2" t="s">
        <v>15611</v>
      </c>
      <c r="W538" s="2"/>
    </row>
    <row r="539">
      <c r="A539" s="2" t="n">
        <v>380</v>
      </c>
      <c r="B539" s="2" t="s">
        <v>12906</v>
      </c>
      <c r="C539" s="2" t="s">
        <v>19482</v>
      </c>
      <c r="D539" s="2" t="n">
        <v>651.10262868</v>
      </c>
      <c r="E539" s="2" t="n">
        <v>0.335020723227941</v>
      </c>
      <c r="F539" s="2" t="s">
        <v>19484</v>
      </c>
      <c r="G539" s="2" t="n">
        <v>63206</v>
      </c>
      <c r="H539" s="3" t="str">
        <f>HYPERLINK("http://funmeta.oebiotech.com/network/63206", "http://funmeta.oebiotech.com/network/63206")</f>
      </c>
      <c r="I539" s="2" t="s">
        <v>19486</v>
      </c>
      <c r="J539" s="2" t="s">
        <v>19487</v>
      </c>
      <c r="K539" s="2"/>
      <c r="L539" s="2"/>
      <c r="M539" s="2"/>
      <c r="N539" s="2" t="s">
        <v>19488</v>
      </c>
      <c r="O539" s="2"/>
      <c r="P539" s="2" t="s">
        <v>19489</v>
      </c>
      <c r="Q539" s="2" t="s">
        <v>19490</v>
      </c>
      <c r="R539" s="2" t="s">
        <v>2509</v>
      </c>
      <c r="S539" s="2" t="s">
        <v>4720</v>
      </c>
      <c r="T539" s="2" t="s">
        <v>19491</v>
      </c>
      <c r="U539" s="2" t="s">
        <v>19483</v>
      </c>
      <c r="V539" s="2" t="s">
        <v>15691</v>
      </c>
      <c r="W539" s="2"/>
    </row>
    <row r="540">
      <c r="A540" s="2" t="n">
        <v>381</v>
      </c>
      <c r="B540" s="2" t="s">
        <v>12907</v>
      </c>
      <c r="C540" s="2" t="s">
        <v>19492</v>
      </c>
      <c r="D540" s="2" t="n">
        <v>653.453751067</v>
      </c>
      <c r="E540" s="2" t="n">
        <v>5.91591600997068</v>
      </c>
      <c r="F540" s="2" t="s">
        <v>19494</v>
      </c>
      <c r="G540" s="2" t="n">
        <v>213170</v>
      </c>
      <c r="H540" s="3" t="str">
        <f>HYPERLINK("http://funmeta.oebiotech.com/network/213170", "http://funmeta.oebiotech.com/network/213170")</f>
      </c>
      <c r="I540" s="2" t="s">
        <v>19496</v>
      </c>
      <c r="J540" s="2"/>
      <c r="K540" s="2"/>
      <c r="L540" s="2"/>
      <c r="M540" s="2"/>
      <c r="N540" s="2"/>
      <c r="O540" s="2"/>
      <c r="P540" s="2" t="s">
        <v>19497</v>
      </c>
      <c r="Q540" s="2" t="s">
        <v>19498</v>
      </c>
      <c r="R540" s="2" t="s">
        <v>502</v>
      </c>
      <c r="S540" s="2" t="s">
        <v>503</v>
      </c>
      <c r="T540" s="2" t="s">
        <v>7641</v>
      </c>
      <c r="U540" s="2" t="s">
        <v>19493</v>
      </c>
      <c r="V540" s="2" t="s">
        <v>15649</v>
      </c>
      <c r="W540" s="2"/>
    </row>
    <row r="541">
      <c r="A541" s="2" t="n">
        <v>382</v>
      </c>
      <c r="B541" s="2" t="s">
        <v>12919</v>
      </c>
      <c r="C541" s="2" t="s">
        <v>19499</v>
      </c>
      <c r="D541" s="2" t="n">
        <v>655.469678536</v>
      </c>
      <c r="E541" s="2" t="n">
        <v>2.45372519937204</v>
      </c>
      <c r="F541" s="2" t="s">
        <v>22919</v>
      </c>
      <c r="G541" s="2" t="n">
        <v>44900</v>
      </c>
      <c r="H541" s="3" t="str">
        <f>HYPERLINK("http://funmeta.oebiotech.com/network/44900", "http://funmeta.oebiotech.com/network/44900")</f>
      </c>
      <c r="I541" s="2" t="s">
        <v>22920</v>
      </c>
      <c r="J541" s="2" t="s">
        <v>22921</v>
      </c>
      <c r="K541" s="2" t="s">
        <v>22922</v>
      </c>
      <c r="L541" s="2" t="s">
        <v>22923</v>
      </c>
      <c r="M541" s="2" t="s">
        <v>22924</v>
      </c>
      <c r="N541" s="2" t="s">
        <v>22925</v>
      </c>
      <c r="O541" s="2" t="s">
        <v>22926</v>
      </c>
      <c r="P541" s="2" t="s">
        <v>22927</v>
      </c>
      <c r="Q541" s="2" t="s">
        <v>22928</v>
      </c>
      <c r="R541" s="2" t="s">
        <v>1490</v>
      </c>
      <c r="S541" s="2" t="s">
        <v>3546</v>
      </c>
      <c r="T541" s="2" t="s">
        <v>5462</v>
      </c>
      <c r="U541" s="2" t="s">
        <v>19500</v>
      </c>
      <c r="V541" s="2" t="s">
        <v>17922</v>
      </c>
      <c r="W541" s="2" t="s">
        <v>39</v>
      </c>
    </row>
    <row r="542">
      <c r="A542" s="2" t="n">
        <v>382</v>
      </c>
      <c r="B542" s="2" t="s">
        <v>12925</v>
      </c>
      <c r="C542" s="2" t="s">
        <v>19499</v>
      </c>
      <c r="D542" s="2" t="n">
        <v>655.469678536</v>
      </c>
      <c r="E542" s="2" t="n">
        <v>2.45372519937204</v>
      </c>
      <c r="F542" s="2" t="s">
        <v>22929</v>
      </c>
      <c r="G542" s="2" t="n">
        <v>44983</v>
      </c>
      <c r="H542" s="3" t="str">
        <f>HYPERLINK("http://funmeta.oebiotech.com/network/44983", "http://funmeta.oebiotech.com/network/44983")</f>
      </c>
      <c r="I542" s="2" t="s">
        <v>22930</v>
      </c>
      <c r="J542" s="2" t="s">
        <v>22931</v>
      </c>
      <c r="K542" s="2" t="s">
        <v>22932</v>
      </c>
      <c r="L542" s="2" t="s">
        <v>22933</v>
      </c>
      <c r="M542" s="2" t="s">
        <v>22934</v>
      </c>
      <c r="N542" s="2" t="s">
        <v>22935</v>
      </c>
      <c r="O542" s="2" t="s">
        <v>22936</v>
      </c>
      <c r="P542" s="2" t="s">
        <v>22937</v>
      </c>
      <c r="Q542" s="2" t="s">
        <v>22938</v>
      </c>
      <c r="R542" s="2" t="s">
        <v>1490</v>
      </c>
      <c r="S542" s="2" t="s">
        <v>3546</v>
      </c>
      <c r="T542" s="2" t="s">
        <v>7375</v>
      </c>
      <c r="U542" s="2" t="s">
        <v>19500</v>
      </c>
      <c r="V542" s="2" t="s">
        <v>17922</v>
      </c>
      <c r="W542" s="2" t="s">
        <v>39</v>
      </c>
    </row>
    <row r="543">
      <c r="A543" s="2" t="n">
        <v>382</v>
      </c>
      <c r="B543" s="2" t="s">
        <v>22939</v>
      </c>
      <c r="C543" s="2" t="s">
        <v>19499</v>
      </c>
      <c r="D543" s="2" t="n">
        <v>655.469678536</v>
      </c>
      <c r="E543" s="2" t="n">
        <v>2.45372519937204</v>
      </c>
      <c r="F543" s="2" t="s">
        <v>22940</v>
      </c>
      <c r="G543" s="2" t="n">
        <v>45016</v>
      </c>
      <c r="H543" s="3" t="str">
        <f>HYPERLINK("http://funmeta.oebiotech.com/network/45016", "http://funmeta.oebiotech.com/network/45016")</f>
      </c>
      <c r="I543" s="2" t="s">
        <v>22941</v>
      </c>
      <c r="J543" s="2" t="s">
        <v>22942</v>
      </c>
      <c r="K543" s="2" t="s">
        <v>22943</v>
      </c>
      <c r="L543" s="2" t="s">
        <v>22944</v>
      </c>
      <c r="M543" s="2" t="s">
        <v>22945</v>
      </c>
      <c r="N543" s="2" t="s">
        <v>22946</v>
      </c>
      <c r="O543" s="2"/>
      <c r="P543" s="2" t="s">
        <v>22947</v>
      </c>
      <c r="Q543" s="2" t="s">
        <v>22948</v>
      </c>
      <c r="R543" s="2" t="s">
        <v>1490</v>
      </c>
      <c r="S543" s="2" t="s">
        <v>3546</v>
      </c>
      <c r="T543" s="2" t="s">
        <v>7375</v>
      </c>
      <c r="U543" s="2" t="s">
        <v>19500</v>
      </c>
      <c r="V543" s="2" t="s">
        <v>17922</v>
      </c>
      <c r="W543" s="2" t="s">
        <v>39</v>
      </c>
    </row>
    <row r="544">
      <c r="A544" s="2" t="n">
        <v>383</v>
      </c>
      <c r="B544" s="2" t="s">
        <v>12934</v>
      </c>
      <c r="C544" s="2" t="s">
        <v>19513</v>
      </c>
      <c r="D544" s="2" t="n">
        <v>657.0698319</v>
      </c>
      <c r="E544" s="2" t="n">
        <v>2.78878299856998</v>
      </c>
      <c r="F544" s="2" t="s">
        <v>19515</v>
      </c>
      <c r="G544" s="2" t="n">
        <v>56013</v>
      </c>
      <c r="H544" s="3" t="str">
        <f>HYPERLINK("http://funmeta.oebiotech.com/network/56013", "http://funmeta.oebiotech.com/network/56013")</f>
      </c>
      <c r="I544" s="2" t="s">
        <v>19517</v>
      </c>
      <c r="J544" s="2"/>
      <c r="K544" s="2"/>
      <c r="L544" s="2" t="s">
        <v>19518</v>
      </c>
      <c r="M544" s="2" t="s">
        <v>19519</v>
      </c>
      <c r="N544" s="2" t="s">
        <v>19520</v>
      </c>
      <c r="O544" s="2" t="s">
        <v>19521</v>
      </c>
      <c r="P544" s="2" t="s">
        <v>19522</v>
      </c>
      <c r="Q544" s="2" t="s">
        <v>19523</v>
      </c>
      <c r="R544" s="2" t="s">
        <v>2509</v>
      </c>
      <c r="S544" s="2" t="s">
        <v>4949</v>
      </c>
      <c r="T544" s="2" t="s">
        <v>4950</v>
      </c>
      <c r="U544" s="2" t="s">
        <v>19514</v>
      </c>
      <c r="V544" s="2" t="s">
        <v>15858</v>
      </c>
      <c r="W544" s="2" t="s">
        <v>39</v>
      </c>
    </row>
    <row r="545">
      <c r="A545" s="2" t="n">
        <v>384</v>
      </c>
      <c r="B545" s="2" t="s">
        <v>12954</v>
      </c>
      <c r="C545" s="2" t="s">
        <v>19524</v>
      </c>
      <c r="D545" s="2" t="n">
        <v>657.485367074</v>
      </c>
      <c r="E545" s="2" t="n">
        <v>6.74023244352574</v>
      </c>
      <c r="F545" s="2" t="s">
        <v>19526</v>
      </c>
      <c r="G545" s="2" t="n">
        <v>26063</v>
      </c>
      <c r="H545" s="3" t="str">
        <f>HYPERLINK("http://funmeta.oebiotech.com/network/26063", "http://funmeta.oebiotech.com/network/26063")</f>
      </c>
      <c r="I545" s="2" t="s">
        <v>19528</v>
      </c>
      <c r="J545" s="2" t="s">
        <v>19529</v>
      </c>
      <c r="K545" s="2" t="s">
        <v>19530</v>
      </c>
      <c r="L545" s="2" t="s">
        <v>19531</v>
      </c>
      <c r="M545" s="2"/>
      <c r="N545" s="2" t="s">
        <v>19532</v>
      </c>
      <c r="O545" s="2" t="s">
        <v>19533</v>
      </c>
      <c r="P545" s="2" t="s">
        <v>19534</v>
      </c>
      <c r="Q545" s="2" t="s">
        <v>19535</v>
      </c>
      <c r="R545" s="2" t="s">
        <v>1490</v>
      </c>
      <c r="S545" s="2" t="s">
        <v>4236</v>
      </c>
      <c r="T545" s="2" t="s">
        <v>5175</v>
      </c>
      <c r="U545" s="2" t="s">
        <v>19525</v>
      </c>
      <c r="V545" s="2" t="s">
        <v>15649</v>
      </c>
      <c r="W545" s="2" t="s">
        <v>39</v>
      </c>
    </row>
    <row r="546">
      <c r="A546" s="2" t="n">
        <v>385</v>
      </c>
      <c r="B546" s="2" t="s">
        <v>12955</v>
      </c>
      <c r="C546" s="2" t="s">
        <v>19536</v>
      </c>
      <c r="D546" s="2" t="n">
        <v>658.112805083</v>
      </c>
      <c r="E546" s="2" t="n">
        <v>6.66034206609956</v>
      </c>
      <c r="F546" s="2" t="s">
        <v>19538</v>
      </c>
      <c r="G546" s="2" t="n">
        <v>208598</v>
      </c>
      <c r="H546" s="3" t="str">
        <f>HYPERLINK("http://funmeta.oebiotech.com/network/208598", "http://funmeta.oebiotech.com/network/208598")</f>
      </c>
      <c r="I546" s="2" t="s">
        <v>19540</v>
      </c>
      <c r="J546" s="2"/>
      <c r="K546" s="2"/>
      <c r="L546" s="2"/>
      <c r="M546" s="2"/>
      <c r="N546" s="2" t="s">
        <v>19541</v>
      </c>
      <c r="O546" s="2"/>
      <c r="P546" s="2" t="s">
        <v>19542</v>
      </c>
      <c r="Q546" s="2" t="s">
        <v>19543</v>
      </c>
      <c r="R546" s="2" t="s">
        <v>49</v>
      </c>
      <c r="S546" s="2" t="s">
        <v>165</v>
      </c>
      <c r="T546" s="2" t="s">
        <v>166</v>
      </c>
      <c r="U546" s="2" t="s">
        <v>19537</v>
      </c>
      <c r="V546" s="2" t="s">
        <v>15722</v>
      </c>
      <c r="W546" s="2"/>
    </row>
    <row r="547">
      <c r="A547" s="2" t="n">
        <v>386</v>
      </c>
      <c r="B547" s="2" t="s">
        <v>12956</v>
      </c>
      <c r="C547" s="2" t="s">
        <v>19544</v>
      </c>
      <c r="D547" s="2" t="n">
        <v>659.495260176</v>
      </c>
      <c r="E547" s="2" t="n">
        <v>2.88594893108627</v>
      </c>
      <c r="F547" s="2" t="s">
        <v>19546</v>
      </c>
      <c r="G547" s="2" t="n">
        <v>82593</v>
      </c>
      <c r="H547" s="3" t="str">
        <f>HYPERLINK("http://funmeta.oebiotech.com/network/82593", "http://funmeta.oebiotech.com/network/82593")</f>
      </c>
      <c r="I547" s="2" t="s">
        <v>19548</v>
      </c>
      <c r="J547" s="2"/>
      <c r="K547" s="2"/>
      <c r="L547" s="2"/>
      <c r="M547" s="2"/>
      <c r="N547" s="2" t="s">
        <v>19549</v>
      </c>
      <c r="O547" s="2"/>
      <c r="P547" s="2" t="s">
        <v>19550</v>
      </c>
      <c r="Q547" s="2" t="s">
        <v>19551</v>
      </c>
      <c r="R547" s="2" t="s">
        <v>1490</v>
      </c>
      <c r="S547" s="2" t="s">
        <v>3546</v>
      </c>
      <c r="T547" s="2" t="s">
        <v>7375</v>
      </c>
      <c r="U547" s="2" t="s">
        <v>19545</v>
      </c>
      <c r="V547" s="2" t="s">
        <v>16225</v>
      </c>
      <c r="W547" s="2"/>
    </row>
    <row r="548">
      <c r="A548" s="2" t="n">
        <v>387</v>
      </c>
      <c r="B548" s="2" t="s">
        <v>12972</v>
      </c>
      <c r="C548" s="2" t="s">
        <v>19552</v>
      </c>
      <c r="D548" s="2" t="n">
        <v>666.116123898</v>
      </c>
      <c r="E548" s="2" t="n">
        <v>9.95736641361368</v>
      </c>
      <c r="F548" s="2" t="s">
        <v>19554</v>
      </c>
      <c r="G548" s="2" t="n">
        <v>204646</v>
      </c>
      <c r="H548" s="3" t="str">
        <f>HYPERLINK("http://funmeta.oebiotech.com/network/204646", "http://funmeta.oebiotech.com/network/204646")</f>
      </c>
      <c r="I548" s="2" t="s">
        <v>19556</v>
      </c>
      <c r="J548" s="2"/>
      <c r="K548" s="2"/>
      <c r="L548" s="2"/>
      <c r="M548" s="2"/>
      <c r="N548" s="2" t="s">
        <v>19557</v>
      </c>
      <c r="O548" s="2"/>
      <c r="P548" s="2" t="s">
        <v>19558</v>
      </c>
      <c r="Q548" s="2" t="s">
        <v>19559</v>
      </c>
      <c r="R548" s="2" t="s">
        <v>49</v>
      </c>
      <c r="S548" s="2" t="s">
        <v>165</v>
      </c>
      <c r="T548" s="2" t="s">
        <v>166</v>
      </c>
      <c r="U548" s="2" t="s">
        <v>19553</v>
      </c>
      <c r="V548" s="2" t="s">
        <v>15919</v>
      </c>
      <c r="W548" s="2"/>
    </row>
    <row r="549">
      <c r="A549" s="2" t="n">
        <v>388</v>
      </c>
      <c r="B549" s="2" t="s">
        <v>12995</v>
      </c>
      <c r="C549" s="2" t="s">
        <v>19560</v>
      </c>
      <c r="D549" s="2" t="n">
        <v>666.35615801</v>
      </c>
      <c r="E549" s="2" t="n">
        <v>5.00199358364327</v>
      </c>
      <c r="F549" s="2" t="s">
        <v>19562</v>
      </c>
      <c r="G549" s="2" t="n">
        <v>211802</v>
      </c>
      <c r="H549" s="3" t="str">
        <f>HYPERLINK("http://funmeta.oebiotech.com/network/211802", "http://funmeta.oebiotech.com/network/211802")</f>
      </c>
      <c r="I549" s="2" t="s">
        <v>19564</v>
      </c>
      <c r="J549" s="2" t="s">
        <v>10576</v>
      </c>
      <c r="K549" s="2"/>
      <c r="L549" s="2" t="s">
        <v>19565</v>
      </c>
      <c r="M549" s="2" t="s">
        <v>19566</v>
      </c>
      <c r="N549" s="2" t="s">
        <v>19567</v>
      </c>
      <c r="O549" s="2" t="s">
        <v>19568</v>
      </c>
      <c r="P549" s="2" t="s">
        <v>19569</v>
      </c>
      <c r="Q549" s="2" t="s">
        <v>19570</v>
      </c>
      <c r="R549" s="2" t="s">
        <v>49</v>
      </c>
      <c r="S549" s="2" t="s">
        <v>165</v>
      </c>
      <c r="T549" s="2" t="s">
        <v>166</v>
      </c>
      <c r="U549" s="2" t="s">
        <v>19561</v>
      </c>
      <c r="V549" s="2" t="s">
        <v>15691</v>
      </c>
      <c r="W549" s="2" t="s">
        <v>39</v>
      </c>
    </row>
    <row r="550">
      <c r="A550" s="2" t="n">
        <v>389</v>
      </c>
      <c r="B550" s="2" t="s">
        <v>12996</v>
      </c>
      <c r="C550" s="2" t="s">
        <v>19571</v>
      </c>
      <c r="D550" s="2" t="n">
        <v>667.61360575</v>
      </c>
      <c r="E550" s="2" t="n">
        <v>1.56520160607171</v>
      </c>
      <c r="F550" s="2" t="s">
        <v>22949</v>
      </c>
      <c r="G550" s="2" t="n">
        <v>56491</v>
      </c>
      <c r="H550" s="3" t="str">
        <f>HYPERLINK("http://funmeta.oebiotech.com/network/56491", "http://funmeta.oebiotech.com/network/56491")</f>
      </c>
      <c r="I550" s="2" t="s">
        <v>22950</v>
      </c>
      <c r="J550" s="2" t="s">
        <v>22951</v>
      </c>
      <c r="K550" s="2"/>
      <c r="L550" s="2"/>
      <c r="M550" s="2"/>
      <c r="N550" s="2" t="s">
        <v>22952</v>
      </c>
      <c r="O550" s="2" t="s">
        <v>22953</v>
      </c>
      <c r="P550" s="2" t="s">
        <v>22954</v>
      </c>
      <c r="Q550" s="2" t="s">
        <v>22955</v>
      </c>
      <c r="R550" s="2" t="s">
        <v>1490</v>
      </c>
      <c r="S550" s="2" t="s">
        <v>1491</v>
      </c>
      <c r="T550" s="2" t="s">
        <v>20100</v>
      </c>
      <c r="U550" s="2" t="s">
        <v>19572</v>
      </c>
      <c r="V550" s="2" t="s">
        <v>15778</v>
      </c>
      <c r="W550" s="2"/>
    </row>
    <row r="551">
      <c r="A551" s="2" t="n">
        <v>389</v>
      </c>
      <c r="B551" s="2" t="s">
        <v>22956</v>
      </c>
      <c r="C551" s="2" t="s">
        <v>19571</v>
      </c>
      <c r="D551" s="2" t="n">
        <v>667.61360576</v>
      </c>
      <c r="E551" s="2" t="n">
        <v>1.56520160607171</v>
      </c>
      <c r="F551" s="2" t="s">
        <v>22957</v>
      </c>
      <c r="G551" s="2" t="n">
        <v>209107</v>
      </c>
      <c r="H551" s="3" t="str">
        <f>HYPERLINK("http://funmeta.oebiotech.com/network/209107", "http://funmeta.oebiotech.com/network/209107")</f>
      </c>
      <c r="I551" s="2" t="s">
        <v>22958</v>
      </c>
      <c r="J551" s="2"/>
      <c r="K551" s="2"/>
      <c r="L551" s="2"/>
      <c r="M551" s="2"/>
      <c r="N551" s="2" t="s">
        <v>22959</v>
      </c>
      <c r="O551" s="2"/>
      <c r="P551" s="2" t="s">
        <v>22960</v>
      </c>
      <c r="Q551" s="2" t="s">
        <v>22961</v>
      </c>
      <c r="R551" s="2" t="s">
        <v>36</v>
      </c>
      <c r="S551" s="2" t="s">
        <v>37</v>
      </c>
      <c r="T551" s="2" t="s">
        <v>679</v>
      </c>
      <c r="U551" s="2" t="s">
        <v>19572</v>
      </c>
      <c r="V551" s="2" t="s">
        <v>15778</v>
      </c>
      <c r="W551" s="2"/>
    </row>
    <row r="552">
      <c r="A552" s="2" t="n">
        <v>390</v>
      </c>
      <c r="B552" s="2" t="s">
        <v>12997</v>
      </c>
      <c r="C552" s="2" t="s">
        <v>19584</v>
      </c>
      <c r="D552" s="2" t="n">
        <v>671.594879048</v>
      </c>
      <c r="E552" s="2" t="n">
        <v>7.68328309398755</v>
      </c>
      <c r="F552" s="2" t="s">
        <v>22962</v>
      </c>
      <c r="G552" s="2" t="n">
        <v>59434</v>
      </c>
      <c r="H552" s="3" t="str">
        <f>HYPERLINK("http://funmeta.oebiotech.com/network/59434", "http://funmeta.oebiotech.com/network/59434")</f>
      </c>
      <c r="I552" s="2" t="s">
        <v>22963</v>
      </c>
      <c r="J552" s="2" t="s">
        <v>22964</v>
      </c>
      <c r="K552" s="2"/>
      <c r="L552" s="2"/>
      <c r="M552" s="2"/>
      <c r="N552" s="2" t="s">
        <v>22965</v>
      </c>
      <c r="O552" s="2"/>
      <c r="P552" s="2" t="s">
        <v>22966</v>
      </c>
      <c r="Q552" s="2" t="s">
        <v>22967</v>
      </c>
      <c r="R552" s="2" t="s">
        <v>64</v>
      </c>
      <c r="S552" s="2" t="s">
        <v>65</v>
      </c>
      <c r="T552" s="2" t="s">
        <v>91</v>
      </c>
      <c r="U552" s="2" t="s">
        <v>19585</v>
      </c>
      <c r="V552" s="2" t="s">
        <v>17922</v>
      </c>
      <c r="W552" s="2"/>
    </row>
    <row r="553">
      <c r="A553" s="2" t="n">
        <v>390</v>
      </c>
      <c r="B553" s="2" t="s">
        <v>13006</v>
      </c>
      <c r="C553" s="2" t="s">
        <v>19584</v>
      </c>
      <c r="D553" s="2" t="n">
        <v>671.594879048</v>
      </c>
      <c r="E553" s="2" t="n">
        <v>7.68328309398755</v>
      </c>
      <c r="F553" s="2" t="s">
        <v>22968</v>
      </c>
      <c r="G553" s="2" t="n">
        <v>59435</v>
      </c>
      <c r="H553" s="3" t="str">
        <f>HYPERLINK("http://funmeta.oebiotech.com/network/59435", "http://funmeta.oebiotech.com/network/59435")</f>
      </c>
      <c r="I553" s="2" t="s">
        <v>22969</v>
      </c>
      <c r="J553" s="2" t="s">
        <v>22970</v>
      </c>
      <c r="K553" s="2"/>
      <c r="L553" s="2"/>
      <c r="M553" s="2"/>
      <c r="N553" s="2" t="s">
        <v>22971</v>
      </c>
      <c r="O553" s="2"/>
      <c r="P553" s="2" t="s">
        <v>22972</v>
      </c>
      <c r="Q553" s="2" t="s">
        <v>22973</v>
      </c>
      <c r="R553" s="2" t="s">
        <v>64</v>
      </c>
      <c r="S553" s="2" t="s">
        <v>65</v>
      </c>
      <c r="T553" s="2" t="s">
        <v>91</v>
      </c>
      <c r="U553" s="2" t="s">
        <v>19585</v>
      </c>
      <c r="V553" s="2" t="s">
        <v>17922</v>
      </c>
      <c r="W553" s="2"/>
    </row>
    <row r="554">
      <c r="A554" s="2" t="n">
        <v>391</v>
      </c>
      <c r="B554" s="2" t="s">
        <v>13016</v>
      </c>
      <c r="C554" s="2" t="s">
        <v>19593</v>
      </c>
      <c r="D554" s="2" t="n">
        <v>673.137517534</v>
      </c>
      <c r="E554" s="2" t="n">
        <v>7.7757638405823</v>
      </c>
      <c r="F554" s="2" t="s">
        <v>22974</v>
      </c>
      <c r="G554" s="2" t="n">
        <v>61133</v>
      </c>
      <c r="H554" s="3" t="str">
        <f>HYPERLINK("http://funmeta.oebiotech.com/network/61133", "http://funmeta.oebiotech.com/network/61133")</f>
      </c>
      <c r="I554" s="2" t="s">
        <v>22975</v>
      </c>
      <c r="J554" s="2" t="s">
        <v>22976</v>
      </c>
      <c r="K554" s="2"/>
      <c r="L554" s="2"/>
      <c r="M554" s="2"/>
      <c r="N554" s="2" t="s">
        <v>22977</v>
      </c>
      <c r="O554" s="2" t="s">
        <v>22978</v>
      </c>
      <c r="P554" s="2" t="s">
        <v>22979</v>
      </c>
      <c r="Q554" s="2" t="s">
        <v>22980</v>
      </c>
      <c r="R554" s="2" t="s">
        <v>2509</v>
      </c>
      <c r="S554" s="2" t="s">
        <v>5520</v>
      </c>
      <c r="T554" s="2" t="s">
        <v>5664</v>
      </c>
      <c r="U554" s="2" t="s">
        <v>19594</v>
      </c>
      <c r="V554" s="2" t="s">
        <v>15858</v>
      </c>
      <c r="W554" s="2"/>
    </row>
    <row r="555">
      <c r="A555" s="2" t="n">
        <v>391</v>
      </c>
      <c r="B555" s="2" t="s">
        <v>22981</v>
      </c>
      <c r="C555" s="2" t="s">
        <v>19593</v>
      </c>
      <c r="D555" s="2" t="n">
        <v>673.137517534</v>
      </c>
      <c r="E555" s="2" t="n">
        <v>7.7757638405823</v>
      </c>
      <c r="F555" s="2" t="s">
        <v>22982</v>
      </c>
      <c r="G555" s="2" t="n">
        <v>254780</v>
      </c>
      <c r="H555" s="3" t="str">
        <f>HYPERLINK("http://funmeta.oebiotech.com/network/254780", "http://funmeta.oebiotech.com/network/254780")</f>
      </c>
      <c r="I555" s="2" t="s">
        <v>22983</v>
      </c>
      <c r="J555" s="2"/>
      <c r="K555" s="2"/>
      <c r="L555" s="2"/>
      <c r="M555" s="2"/>
      <c r="N555" s="2"/>
      <c r="O555" s="2"/>
      <c r="P555" s="2" t="s">
        <v>22984</v>
      </c>
      <c r="Q555" s="2" t="s">
        <v>22985</v>
      </c>
      <c r="R555" s="2" t="s">
        <v>2509</v>
      </c>
      <c r="S555" s="2" t="s">
        <v>5520</v>
      </c>
      <c r="T555" s="2" t="s">
        <v>5664</v>
      </c>
      <c r="U555" s="2" t="s">
        <v>19594</v>
      </c>
      <c r="V555" s="2" t="s">
        <v>15858</v>
      </c>
      <c r="W555" s="2"/>
    </row>
    <row r="556">
      <c r="A556" s="2" t="n">
        <v>391</v>
      </c>
      <c r="B556" s="2" t="s">
        <v>22986</v>
      </c>
      <c r="C556" s="2" t="s">
        <v>19593</v>
      </c>
      <c r="D556" s="2" t="n">
        <v>673.137517534</v>
      </c>
      <c r="E556" s="2" t="n">
        <v>7.7757638405823</v>
      </c>
      <c r="F556" s="2" t="s">
        <v>22987</v>
      </c>
      <c r="G556" s="2" t="n">
        <v>62597</v>
      </c>
      <c r="H556" s="3" t="str">
        <f>HYPERLINK("http://funmeta.oebiotech.com/network/62597", "http://funmeta.oebiotech.com/network/62597")</f>
      </c>
      <c r="I556" s="2" t="s">
        <v>22988</v>
      </c>
      <c r="J556" s="2" t="s">
        <v>22989</v>
      </c>
      <c r="K556" s="2"/>
      <c r="L556" s="2"/>
      <c r="M556" s="2"/>
      <c r="N556" s="2" t="s">
        <v>22990</v>
      </c>
      <c r="O556" s="2" t="s">
        <v>22991</v>
      </c>
      <c r="P556" s="2" t="s">
        <v>22992</v>
      </c>
      <c r="Q556" s="2" t="s">
        <v>22993</v>
      </c>
      <c r="R556" s="2" t="s">
        <v>64</v>
      </c>
      <c r="S556" s="2" t="s">
        <v>65</v>
      </c>
      <c r="T556" s="2" t="s">
        <v>66</v>
      </c>
      <c r="U556" s="2" t="s">
        <v>19594</v>
      </c>
      <c r="V556" s="2" t="s">
        <v>15858</v>
      </c>
      <c r="W556" s="2"/>
    </row>
    <row r="557">
      <c r="A557" s="2" t="n">
        <v>392</v>
      </c>
      <c r="B557" s="2" t="s">
        <v>13017</v>
      </c>
      <c r="C557" s="2" t="s">
        <v>19606</v>
      </c>
      <c r="D557" s="2" t="n">
        <v>678.841377398</v>
      </c>
      <c r="E557" s="2" t="n">
        <v>3.7340451729438</v>
      </c>
      <c r="F557" s="2" t="s">
        <v>19608</v>
      </c>
      <c r="G557" s="2" t="n">
        <v>52992</v>
      </c>
      <c r="H557" s="3" t="str">
        <f>HYPERLINK("http://funmeta.oebiotech.com/network/52992", "http://funmeta.oebiotech.com/network/52992")</f>
      </c>
      <c r="I557" s="2" t="s">
        <v>19610</v>
      </c>
      <c r="J557" s="2" t="s">
        <v>19611</v>
      </c>
      <c r="K557" s="2"/>
      <c r="L557" s="2"/>
      <c r="M557" s="2"/>
      <c r="N557" s="2" t="s">
        <v>19612</v>
      </c>
      <c r="O557" s="2" t="s">
        <v>19613</v>
      </c>
      <c r="P557" s="2" t="s">
        <v>19614</v>
      </c>
      <c r="Q557" s="2" t="s">
        <v>19615</v>
      </c>
      <c r="R557" s="2" t="s">
        <v>64</v>
      </c>
      <c r="S557" s="2" t="s">
        <v>65</v>
      </c>
      <c r="T557" s="2" t="s">
        <v>66</v>
      </c>
      <c r="U557" s="2" t="s">
        <v>19607</v>
      </c>
      <c r="V557" s="2" t="s">
        <v>15722</v>
      </c>
      <c r="W557" s="2"/>
    </row>
    <row r="558">
      <c r="A558" s="2" t="n">
        <v>393</v>
      </c>
      <c r="B558" s="2" t="s">
        <v>13018</v>
      </c>
      <c r="C558" s="2" t="s">
        <v>19616</v>
      </c>
      <c r="D558" s="2" t="n">
        <v>679.446934354</v>
      </c>
      <c r="E558" s="2" t="n">
        <v>4.73784767311522</v>
      </c>
      <c r="F558" s="2" t="s">
        <v>19618</v>
      </c>
      <c r="G558" s="2" t="n">
        <v>52963</v>
      </c>
      <c r="H558" s="3" t="str">
        <f>HYPERLINK("http://funmeta.oebiotech.com/network/52963", "http://funmeta.oebiotech.com/network/52963")</f>
      </c>
      <c r="I558" s="2" t="s">
        <v>19620</v>
      </c>
      <c r="J558" s="2"/>
      <c r="K558" s="2"/>
      <c r="L558" s="2" t="s">
        <v>19621</v>
      </c>
      <c r="M558" s="2" t="s">
        <v>19622</v>
      </c>
      <c r="N558" s="2" t="s">
        <v>19623</v>
      </c>
      <c r="O558" s="2" t="s">
        <v>19624</v>
      </c>
      <c r="P558" s="2" t="s">
        <v>19625</v>
      </c>
      <c r="Q558" s="2" t="s">
        <v>19626</v>
      </c>
      <c r="R558" s="2" t="s">
        <v>2509</v>
      </c>
      <c r="S558" s="2" t="s">
        <v>4367</v>
      </c>
      <c r="T558" s="2" t="s">
        <v>205</v>
      </c>
      <c r="U558" s="2" t="s">
        <v>19617</v>
      </c>
      <c r="V558" s="2" t="s">
        <v>15778</v>
      </c>
      <c r="W558" s="2" t="s">
        <v>39</v>
      </c>
    </row>
    <row r="559">
      <c r="A559" s="2" t="n">
        <v>394</v>
      </c>
      <c r="B559" s="2" t="s">
        <v>13019</v>
      </c>
      <c r="C559" s="2" t="s">
        <v>19627</v>
      </c>
      <c r="D559" s="2" t="n">
        <v>683.130816832</v>
      </c>
      <c r="E559" s="2" t="n">
        <v>0.715954447399153</v>
      </c>
      <c r="F559" s="2" t="s">
        <v>19629</v>
      </c>
      <c r="G559" s="2" t="n">
        <v>203313</v>
      </c>
      <c r="H559" s="3" t="str">
        <f>HYPERLINK("http://funmeta.oebiotech.com/network/203313", "http://funmeta.oebiotech.com/network/203313")</f>
      </c>
      <c r="I559" s="2" t="s">
        <v>19631</v>
      </c>
      <c r="J559" s="2"/>
      <c r="K559" s="2"/>
      <c r="L559" s="2"/>
      <c r="M559" s="2"/>
      <c r="N559" s="2" t="s">
        <v>19632</v>
      </c>
      <c r="O559" s="2"/>
      <c r="P559" s="2" t="s">
        <v>19633</v>
      </c>
      <c r="Q559" s="2" t="s">
        <v>19634</v>
      </c>
      <c r="R559" s="2" t="s">
        <v>49</v>
      </c>
      <c r="S559" s="2" t="s">
        <v>165</v>
      </c>
      <c r="T559" s="2" t="s">
        <v>166</v>
      </c>
      <c r="U559" s="2" t="s">
        <v>19628</v>
      </c>
      <c r="V559" s="2" t="s">
        <v>17922</v>
      </c>
      <c r="W559" s="2"/>
    </row>
    <row r="560">
      <c r="A560" s="2" t="n">
        <v>395</v>
      </c>
      <c r="B560" s="2" t="s">
        <v>13020</v>
      </c>
      <c r="C560" s="2" t="s">
        <v>19635</v>
      </c>
      <c r="D560" s="2" t="n">
        <v>685.0932206</v>
      </c>
      <c r="E560" s="2" t="n">
        <v>7.00671615614586</v>
      </c>
      <c r="F560" s="2" t="s">
        <v>19637</v>
      </c>
      <c r="G560" s="2" t="n">
        <v>255792</v>
      </c>
      <c r="H560" s="3" t="str">
        <f>HYPERLINK("http://funmeta.oebiotech.com/network/255792", "http://funmeta.oebiotech.com/network/255792")</f>
      </c>
      <c r="I560" s="2" t="s">
        <v>19639</v>
      </c>
      <c r="J560" s="2"/>
      <c r="K560" s="2"/>
      <c r="L560" s="2"/>
      <c r="M560" s="2"/>
      <c r="N560" s="2" t="s">
        <v>19640</v>
      </c>
      <c r="O560" s="2"/>
      <c r="P560" s="2" t="s">
        <v>19641</v>
      </c>
      <c r="Q560" s="2" t="s">
        <v>19642</v>
      </c>
      <c r="R560" s="2" t="s">
        <v>2509</v>
      </c>
      <c r="S560" s="2" t="s">
        <v>5520</v>
      </c>
      <c r="T560" s="2" t="s">
        <v>5664</v>
      </c>
      <c r="U560" s="2" t="s">
        <v>19636</v>
      </c>
      <c r="V560" s="2" t="s">
        <v>15919</v>
      </c>
      <c r="W560" s="2"/>
    </row>
    <row r="561">
      <c r="A561" s="2" t="n">
        <v>396</v>
      </c>
      <c r="B561" s="2" t="s">
        <v>13021</v>
      </c>
      <c r="C561" s="2" t="s">
        <v>19643</v>
      </c>
      <c r="D561" s="2" t="n">
        <v>690.506830797</v>
      </c>
      <c r="E561" s="2" t="n">
        <v>6.86881417898044</v>
      </c>
      <c r="F561" s="2" t="s">
        <v>22994</v>
      </c>
      <c r="G561" s="2" t="n">
        <v>18641</v>
      </c>
      <c r="H561" s="3" t="str">
        <f>HYPERLINK("http://funmeta.oebiotech.com/network/18641", "http://funmeta.oebiotech.com/network/18641")</f>
      </c>
      <c r="I561" s="2" t="s">
        <v>22995</v>
      </c>
      <c r="J561" s="2" t="s">
        <v>16413</v>
      </c>
      <c r="K561" s="2" t="s">
        <v>22996</v>
      </c>
      <c r="L561" s="2" t="s">
        <v>8608</v>
      </c>
      <c r="M561" s="2"/>
      <c r="N561" s="2" t="s">
        <v>22997</v>
      </c>
      <c r="O561" s="2"/>
      <c r="P561" s="2" t="s">
        <v>22998</v>
      </c>
      <c r="Q561" s="2" t="s">
        <v>22999</v>
      </c>
      <c r="R561" s="2" t="s">
        <v>1490</v>
      </c>
      <c r="S561" s="2" t="s">
        <v>4236</v>
      </c>
      <c r="T561" s="2" t="s">
        <v>8613</v>
      </c>
      <c r="U561" s="2" t="s">
        <v>19644</v>
      </c>
      <c r="V561" s="2" t="s">
        <v>15649</v>
      </c>
      <c r="W561" s="2" t="s">
        <v>39</v>
      </c>
    </row>
    <row r="562">
      <c r="A562" s="2" t="n">
        <v>396</v>
      </c>
      <c r="B562" s="2" t="s">
        <v>23000</v>
      </c>
      <c r="C562" s="2" t="s">
        <v>19643</v>
      </c>
      <c r="D562" s="2" t="n">
        <v>690.50683128</v>
      </c>
      <c r="E562" s="2" t="n">
        <v>6.86881417898044</v>
      </c>
      <c r="F562" s="2" t="s">
        <v>23001</v>
      </c>
      <c r="G562" s="2" t="n">
        <v>49927</v>
      </c>
      <c r="H562" s="3" t="str">
        <f>HYPERLINK("http://funmeta.oebiotech.com/network/49927", "http://funmeta.oebiotech.com/network/49927")</f>
      </c>
      <c r="I562" s="2" t="s">
        <v>23002</v>
      </c>
      <c r="J562" s="2" t="s">
        <v>23003</v>
      </c>
      <c r="K562" s="2"/>
      <c r="L562" s="2" t="s">
        <v>7680</v>
      </c>
      <c r="M562" s="2"/>
      <c r="N562" s="2" t="s">
        <v>23004</v>
      </c>
      <c r="O562" s="2"/>
      <c r="P562" s="2" t="s">
        <v>23005</v>
      </c>
      <c r="Q562" s="2" t="s">
        <v>23006</v>
      </c>
      <c r="R562" s="2" t="s">
        <v>1490</v>
      </c>
      <c r="S562" s="2" t="s">
        <v>4236</v>
      </c>
      <c r="T562" s="2" t="s">
        <v>5369</v>
      </c>
      <c r="U562" s="2" t="s">
        <v>19644</v>
      </c>
      <c r="V562" s="2" t="s">
        <v>15649</v>
      </c>
      <c r="W562" s="2" t="s">
        <v>39</v>
      </c>
    </row>
    <row r="563">
      <c r="A563" s="2" t="n">
        <v>397</v>
      </c>
      <c r="B563" s="2" t="s">
        <v>13022</v>
      </c>
      <c r="C563" s="2" t="s">
        <v>19653</v>
      </c>
      <c r="D563" s="2" t="n">
        <v>693.106372156</v>
      </c>
      <c r="E563" s="2" t="n">
        <v>1.0228529569792</v>
      </c>
      <c r="F563" s="2" t="s">
        <v>23007</v>
      </c>
      <c r="G563" s="2" t="n">
        <v>64802</v>
      </c>
      <c r="H563" s="3" t="str">
        <f>HYPERLINK("http://funmeta.oebiotech.com/network/64802", "http://funmeta.oebiotech.com/network/64802")</f>
      </c>
      <c r="I563" s="2" t="s">
        <v>23008</v>
      </c>
      <c r="J563" s="2"/>
      <c r="K563" s="2"/>
      <c r="L563" s="2"/>
      <c r="M563" s="2"/>
      <c r="N563" s="2" t="s">
        <v>23009</v>
      </c>
      <c r="O563" s="2"/>
      <c r="P563" s="2" t="s">
        <v>23010</v>
      </c>
      <c r="Q563" s="2" t="s">
        <v>23011</v>
      </c>
      <c r="R563" s="2" t="s">
        <v>2509</v>
      </c>
      <c r="S563" s="2" t="s">
        <v>5520</v>
      </c>
      <c r="T563" s="2" t="s">
        <v>5664</v>
      </c>
      <c r="U563" s="2" t="s">
        <v>19654</v>
      </c>
      <c r="V563" s="2" t="s">
        <v>15919</v>
      </c>
      <c r="W563" s="2"/>
    </row>
    <row r="564">
      <c r="A564" s="2" t="n">
        <v>397</v>
      </c>
      <c r="B564" s="2" t="s">
        <v>23012</v>
      </c>
      <c r="C564" s="2" t="s">
        <v>19653</v>
      </c>
      <c r="D564" s="2" t="n">
        <v>693.106372156</v>
      </c>
      <c r="E564" s="2" t="n">
        <v>1.0228529569792</v>
      </c>
      <c r="F564" s="2" t="s">
        <v>23013</v>
      </c>
      <c r="G564" s="2" t="n">
        <v>64800</v>
      </c>
      <c r="H564" s="3" t="str">
        <f>HYPERLINK("http://funmeta.oebiotech.com/network/64800", "http://funmeta.oebiotech.com/network/64800")</f>
      </c>
      <c r="I564" s="2" t="s">
        <v>23014</v>
      </c>
      <c r="J564" s="2"/>
      <c r="K564" s="2"/>
      <c r="L564" s="2"/>
      <c r="M564" s="2"/>
      <c r="N564" s="2" t="s">
        <v>23015</v>
      </c>
      <c r="O564" s="2"/>
      <c r="P564" s="2" t="s">
        <v>23016</v>
      </c>
      <c r="Q564" s="2" t="s">
        <v>23017</v>
      </c>
      <c r="R564" s="2" t="s">
        <v>2509</v>
      </c>
      <c r="S564" s="2" t="s">
        <v>5520</v>
      </c>
      <c r="T564" s="2" t="s">
        <v>5664</v>
      </c>
      <c r="U564" s="2" t="s">
        <v>19654</v>
      </c>
      <c r="V564" s="2" t="s">
        <v>15919</v>
      </c>
      <c r="W564" s="2"/>
    </row>
    <row r="565">
      <c r="A565" s="2" t="n">
        <v>397</v>
      </c>
      <c r="B565" s="2" t="s">
        <v>23018</v>
      </c>
      <c r="C565" s="2" t="s">
        <v>19653</v>
      </c>
      <c r="D565" s="2" t="n">
        <v>693.106372156</v>
      </c>
      <c r="E565" s="2" t="n">
        <v>1.0228529569792</v>
      </c>
      <c r="F565" s="2" t="s">
        <v>23019</v>
      </c>
      <c r="G565" s="2" t="n">
        <v>64488</v>
      </c>
      <c r="H565" s="3" t="str">
        <f>HYPERLINK("http://funmeta.oebiotech.com/network/64488", "http://funmeta.oebiotech.com/network/64488")</f>
      </c>
      <c r="I565" s="2" t="s">
        <v>23020</v>
      </c>
      <c r="J565" s="2" t="s">
        <v>23021</v>
      </c>
      <c r="K565" s="2"/>
      <c r="L565" s="2"/>
      <c r="M565" s="2"/>
      <c r="N565" s="2" t="s">
        <v>23022</v>
      </c>
      <c r="O565" s="2" t="s">
        <v>23023</v>
      </c>
      <c r="P565" s="2" t="s">
        <v>23024</v>
      </c>
      <c r="Q565" s="2" t="s">
        <v>23025</v>
      </c>
      <c r="R565" s="2" t="s">
        <v>2509</v>
      </c>
      <c r="S565" s="2" t="s">
        <v>4949</v>
      </c>
      <c r="T565" s="2" t="s">
        <v>4950</v>
      </c>
      <c r="U565" s="2" t="s">
        <v>19654</v>
      </c>
      <c r="V565" s="2" t="s">
        <v>15919</v>
      </c>
      <c r="W565" s="2"/>
    </row>
    <row r="566">
      <c r="A566" s="2" t="n">
        <v>398</v>
      </c>
      <c r="B566" s="2" t="s">
        <v>13023</v>
      </c>
      <c r="C566" s="2" t="s">
        <v>19665</v>
      </c>
      <c r="D566" s="2" t="n">
        <v>701.026551972</v>
      </c>
      <c r="E566" s="2" t="n">
        <v>5.52754874872879</v>
      </c>
      <c r="F566" s="2" t="s">
        <v>23026</v>
      </c>
      <c r="G566" s="2" t="n">
        <v>30524</v>
      </c>
      <c r="H566" s="3" t="str">
        <f>HYPERLINK("http://funmeta.oebiotech.com/network/30524", "http://funmeta.oebiotech.com/network/30524")</f>
      </c>
      <c r="I566" s="2" t="s">
        <v>23027</v>
      </c>
      <c r="J566" s="2" t="s">
        <v>23028</v>
      </c>
      <c r="K566" s="2" t="s">
        <v>23029</v>
      </c>
      <c r="L566" s="2"/>
      <c r="M566" s="2"/>
      <c r="N566" s="2" t="s">
        <v>23030</v>
      </c>
      <c r="O566" s="2" t="s">
        <v>23031</v>
      </c>
      <c r="P566" s="2" t="s">
        <v>23032</v>
      </c>
      <c r="Q566" s="2" t="s">
        <v>23033</v>
      </c>
      <c r="R566" s="2" t="s">
        <v>2509</v>
      </c>
      <c r="S566" s="2" t="s">
        <v>5520</v>
      </c>
      <c r="T566" s="2" t="s">
        <v>12828</v>
      </c>
      <c r="U566" s="2" t="s">
        <v>19666</v>
      </c>
      <c r="V566" s="2" t="s">
        <v>15778</v>
      </c>
      <c r="W566" s="2"/>
    </row>
    <row r="567">
      <c r="A567" s="2" t="n">
        <v>398</v>
      </c>
      <c r="B567" s="2" t="s">
        <v>23034</v>
      </c>
      <c r="C567" s="2" t="s">
        <v>19665</v>
      </c>
      <c r="D567" s="2" t="n">
        <v>701.026552912</v>
      </c>
      <c r="E567" s="2" t="n">
        <v>5.52754874872879</v>
      </c>
      <c r="F567" s="2" t="s">
        <v>23035</v>
      </c>
      <c r="G567" s="2" t="n">
        <v>197177</v>
      </c>
      <c r="H567" s="3" t="str">
        <f>HYPERLINK("http://funmeta.oebiotech.com/network/197177", "http://funmeta.oebiotech.com/network/197177")</f>
      </c>
      <c r="I567" s="2" t="s">
        <v>23036</v>
      </c>
      <c r="J567" s="2"/>
      <c r="K567" s="2"/>
      <c r="L567" s="2"/>
      <c r="M567" s="2"/>
      <c r="N567" s="2" t="s">
        <v>23037</v>
      </c>
      <c r="O567" s="2"/>
      <c r="P567" s="2" t="s">
        <v>23038</v>
      </c>
      <c r="Q567" s="2" t="s">
        <v>23039</v>
      </c>
      <c r="R567" s="2" t="s">
        <v>2509</v>
      </c>
      <c r="S567" s="2" t="s">
        <v>4720</v>
      </c>
      <c r="T567" s="2" t="s">
        <v>4721</v>
      </c>
      <c r="U567" s="2" t="s">
        <v>19666</v>
      </c>
      <c r="V567" s="2" t="s">
        <v>15778</v>
      </c>
      <c r="W567" s="2"/>
    </row>
    <row r="568">
      <c r="A568" s="2" t="n">
        <v>399</v>
      </c>
      <c r="B568" s="2" t="s">
        <v>13024</v>
      </c>
      <c r="C568" s="2" t="s">
        <v>19678</v>
      </c>
      <c r="D568" s="2" t="n">
        <v>707.372184928</v>
      </c>
      <c r="E568" s="2" t="n">
        <v>5.84039693513701</v>
      </c>
      <c r="F568" s="2" t="s">
        <v>23040</v>
      </c>
      <c r="G568" s="2" t="n">
        <v>61651</v>
      </c>
      <c r="H568" s="3" t="str">
        <f>HYPERLINK("http://funmeta.oebiotech.com/network/61651", "http://funmeta.oebiotech.com/network/61651")</f>
      </c>
      <c r="I568" s="2" t="s">
        <v>23041</v>
      </c>
      <c r="J568" s="2"/>
      <c r="K568" s="2"/>
      <c r="L568" s="2"/>
      <c r="M568" s="2"/>
      <c r="N568" s="2"/>
      <c r="O568" s="2" t="s">
        <v>23042</v>
      </c>
      <c r="P568" s="2" t="s">
        <v>23043</v>
      </c>
      <c r="Q568" s="2" t="s">
        <v>23044</v>
      </c>
      <c r="R568" s="2" t="s">
        <v>502</v>
      </c>
      <c r="S568" s="2" t="s">
        <v>1467</v>
      </c>
      <c r="T568" s="2" t="s">
        <v>205</v>
      </c>
      <c r="U568" s="2" t="s">
        <v>19679</v>
      </c>
      <c r="V568" s="2" t="s">
        <v>16225</v>
      </c>
      <c r="W568" s="2"/>
    </row>
    <row r="569">
      <c r="A569" s="2" t="n">
        <v>399</v>
      </c>
      <c r="B569" s="2" t="s">
        <v>23045</v>
      </c>
      <c r="C569" s="2" t="s">
        <v>19678</v>
      </c>
      <c r="D569" s="2" t="n">
        <v>707.37218493</v>
      </c>
      <c r="E569" s="2" t="n">
        <v>5.84039693513701</v>
      </c>
      <c r="F569" s="2" t="s">
        <v>23046</v>
      </c>
      <c r="G569" s="2" t="n">
        <v>212935</v>
      </c>
      <c r="H569" s="3" t="str">
        <f>HYPERLINK("http://funmeta.oebiotech.com/network/212935", "http://funmeta.oebiotech.com/network/212935")</f>
      </c>
      <c r="I569" s="2" t="s">
        <v>23047</v>
      </c>
      <c r="J569" s="2"/>
      <c r="K569" s="2"/>
      <c r="L569" s="2"/>
      <c r="M569" s="2"/>
      <c r="N569" s="2" t="s">
        <v>23048</v>
      </c>
      <c r="O569" s="2"/>
      <c r="P569" s="2" t="s">
        <v>23049</v>
      </c>
      <c r="Q569" s="2" t="s">
        <v>23050</v>
      </c>
      <c r="R569" s="2" t="s">
        <v>502</v>
      </c>
      <c r="S569" s="2" t="s">
        <v>503</v>
      </c>
      <c r="T569" s="2" t="s">
        <v>2651</v>
      </c>
      <c r="U569" s="2" t="s">
        <v>19679</v>
      </c>
      <c r="V569" s="2" t="s">
        <v>16225</v>
      </c>
      <c r="W569" s="2"/>
    </row>
    <row r="570">
      <c r="A570" s="2" t="n">
        <v>400</v>
      </c>
      <c r="B570" s="2" t="s">
        <v>13025</v>
      </c>
      <c r="C570" s="2" t="s">
        <v>19689</v>
      </c>
      <c r="D570" s="2" t="n">
        <v>709.468732428</v>
      </c>
      <c r="E570" s="2" t="n">
        <v>3.40811342988379</v>
      </c>
      <c r="F570" s="2" t="s">
        <v>19691</v>
      </c>
      <c r="G570" s="2" t="n">
        <v>55180</v>
      </c>
      <c r="H570" s="3" t="str">
        <f>HYPERLINK("http://funmeta.oebiotech.com/network/55180", "http://funmeta.oebiotech.com/network/55180")</f>
      </c>
      <c r="I570" s="2" t="s">
        <v>19693</v>
      </c>
      <c r="J570" s="2" t="s">
        <v>19694</v>
      </c>
      <c r="K570" s="2"/>
      <c r="L570" s="2" t="s">
        <v>19695</v>
      </c>
      <c r="M570" s="2" t="s">
        <v>19696</v>
      </c>
      <c r="N570" s="2" t="s">
        <v>19697</v>
      </c>
      <c r="O570" s="2" t="s">
        <v>19698</v>
      </c>
      <c r="P570" s="2" t="s">
        <v>19699</v>
      </c>
      <c r="Q570" s="2" t="s">
        <v>19700</v>
      </c>
      <c r="R570" s="2" t="s">
        <v>4189</v>
      </c>
      <c r="S570" s="2" t="s">
        <v>19701</v>
      </c>
      <c r="T570" s="2" t="s">
        <v>205</v>
      </c>
      <c r="U570" s="2" t="s">
        <v>19690</v>
      </c>
      <c r="V570" s="2" t="s">
        <v>15778</v>
      </c>
      <c r="W570" s="2" t="s">
        <v>39</v>
      </c>
    </row>
    <row r="571">
      <c r="A571" s="2" t="n">
        <v>401</v>
      </c>
      <c r="B571" s="2" t="s">
        <v>13026</v>
      </c>
      <c r="C571" s="2" t="s">
        <v>19702</v>
      </c>
      <c r="D571" s="2" t="n">
        <v>709.634066425</v>
      </c>
      <c r="E571" s="2" t="n">
        <v>5.95841269928095</v>
      </c>
      <c r="F571" s="2" t="s">
        <v>19704</v>
      </c>
      <c r="G571" s="2" t="n">
        <v>83951</v>
      </c>
      <c r="H571" s="3" t="str">
        <f>HYPERLINK("http://funmeta.oebiotech.com/network/83951", "http://funmeta.oebiotech.com/network/83951")</f>
      </c>
      <c r="I571" s="2" t="s">
        <v>19706</v>
      </c>
      <c r="J571" s="2"/>
      <c r="K571" s="2"/>
      <c r="L571" s="2"/>
      <c r="M571" s="2"/>
      <c r="N571" s="2" t="s">
        <v>19707</v>
      </c>
      <c r="O571" s="2"/>
      <c r="P571" s="2" t="s">
        <v>19708</v>
      </c>
      <c r="Q571" s="2" t="s">
        <v>19709</v>
      </c>
      <c r="R571" s="2" t="s">
        <v>1490</v>
      </c>
      <c r="S571" s="2" t="s">
        <v>6728</v>
      </c>
      <c r="T571" s="2" t="s">
        <v>6754</v>
      </c>
      <c r="U571" s="2" t="s">
        <v>19703</v>
      </c>
      <c r="V571" s="2" t="s">
        <v>15649</v>
      </c>
      <c r="W571" s="2"/>
    </row>
    <row r="572">
      <c r="A572" s="2" t="n">
        <v>402</v>
      </c>
      <c r="B572" s="2" t="s">
        <v>13027</v>
      </c>
      <c r="C572" s="2" t="s">
        <v>19710</v>
      </c>
      <c r="D572" s="2" t="n">
        <v>714.506830797</v>
      </c>
      <c r="E572" s="2" t="n">
        <v>0.793702114905333</v>
      </c>
      <c r="F572" s="2" t="s">
        <v>19712</v>
      </c>
      <c r="G572" s="2" t="n">
        <v>49928</v>
      </c>
      <c r="H572" s="3" t="str">
        <f>HYPERLINK("http://funmeta.oebiotech.com/network/49928", "http://funmeta.oebiotech.com/network/49928")</f>
      </c>
      <c r="I572" s="2" t="s">
        <v>19714</v>
      </c>
      <c r="J572" s="2" t="s">
        <v>19715</v>
      </c>
      <c r="K572" s="2"/>
      <c r="L572" s="2" t="s">
        <v>7680</v>
      </c>
      <c r="M572" s="2"/>
      <c r="N572" s="2" t="s">
        <v>19716</v>
      </c>
      <c r="O572" s="2"/>
      <c r="P572" s="2" t="s">
        <v>19717</v>
      </c>
      <c r="Q572" s="2" t="s">
        <v>19718</v>
      </c>
      <c r="R572" s="2" t="s">
        <v>1490</v>
      </c>
      <c r="S572" s="2" t="s">
        <v>4236</v>
      </c>
      <c r="T572" s="2" t="s">
        <v>5369</v>
      </c>
      <c r="U572" s="2" t="s">
        <v>19711</v>
      </c>
      <c r="V572" s="2" t="s">
        <v>15649</v>
      </c>
      <c r="W572" s="2" t="s">
        <v>39</v>
      </c>
    </row>
    <row r="573">
      <c r="A573" s="2" t="n">
        <v>403</v>
      </c>
      <c r="B573" s="2" t="s">
        <v>13049</v>
      </c>
      <c r="C573" s="2" t="s">
        <v>19719</v>
      </c>
      <c r="D573" s="2" t="n">
        <v>715.611824974</v>
      </c>
      <c r="E573" s="2" t="n">
        <v>4.57745706086758</v>
      </c>
      <c r="F573" s="2" t="s">
        <v>19721</v>
      </c>
      <c r="G573" s="2" t="n">
        <v>39601</v>
      </c>
      <c r="H573" s="3" t="str">
        <f>HYPERLINK("http://funmeta.oebiotech.com/network/39601", "http://funmeta.oebiotech.com/network/39601")</f>
      </c>
      <c r="I573" s="2" t="s">
        <v>19723</v>
      </c>
      <c r="J573" s="2" t="s">
        <v>19724</v>
      </c>
      <c r="K573" s="2" t="s">
        <v>19725</v>
      </c>
      <c r="L573" s="2" t="s">
        <v>8853</v>
      </c>
      <c r="M573" s="2" t="s">
        <v>19726</v>
      </c>
      <c r="N573" s="2" t="s">
        <v>19727</v>
      </c>
      <c r="O573" s="2"/>
      <c r="P573" s="2" t="s">
        <v>19728</v>
      </c>
      <c r="Q573" s="2" t="s">
        <v>19729</v>
      </c>
      <c r="R573" s="2" t="s">
        <v>1490</v>
      </c>
      <c r="S573" s="2" t="s">
        <v>8433</v>
      </c>
      <c r="T573" s="2" t="s">
        <v>8858</v>
      </c>
      <c r="U573" s="2" t="s">
        <v>19720</v>
      </c>
      <c r="V573" s="2" t="s">
        <v>15611</v>
      </c>
      <c r="W573" s="2" t="s">
        <v>39</v>
      </c>
    </row>
    <row r="574">
      <c r="A574" s="2" t="n">
        <v>404</v>
      </c>
      <c r="B574" s="2" t="s">
        <v>13050</v>
      </c>
      <c r="C574" s="2" t="s">
        <v>19730</v>
      </c>
      <c r="D574" s="2" t="n">
        <v>716.521416258</v>
      </c>
      <c r="E574" s="2" t="n">
        <v>2.61037587445188</v>
      </c>
      <c r="F574" s="2" t="s">
        <v>19732</v>
      </c>
      <c r="G574" s="2" t="n">
        <v>212506</v>
      </c>
      <c r="H574" s="3" t="str">
        <f>HYPERLINK("http://funmeta.oebiotech.com/network/212506", "http://funmeta.oebiotech.com/network/212506")</f>
      </c>
      <c r="I574" s="2" t="s">
        <v>19734</v>
      </c>
      <c r="J574" s="2"/>
      <c r="K574" s="2"/>
      <c r="L574" s="2"/>
      <c r="M574" s="2"/>
      <c r="N574" s="2" t="s">
        <v>19735</v>
      </c>
      <c r="O574" s="2"/>
      <c r="P574" s="2" t="s">
        <v>19736</v>
      </c>
      <c r="Q574" s="2" t="s">
        <v>19737</v>
      </c>
      <c r="R574" s="2" t="s">
        <v>64</v>
      </c>
      <c r="S574" s="2" t="s">
        <v>65</v>
      </c>
      <c r="T574" s="2" t="s">
        <v>66</v>
      </c>
      <c r="U574" s="2" t="s">
        <v>19731</v>
      </c>
      <c r="V574" s="2" t="s">
        <v>15611</v>
      </c>
      <c r="W574" s="2"/>
    </row>
    <row r="575">
      <c r="A575" s="2" t="n">
        <v>405</v>
      </c>
      <c r="B575" s="2" t="s">
        <v>13077</v>
      </c>
      <c r="C575" s="2" t="s">
        <v>19738</v>
      </c>
      <c r="D575" s="2" t="n">
        <v>721.176860008</v>
      </c>
      <c r="E575" s="2" t="n">
        <v>7.39129514576838</v>
      </c>
      <c r="F575" s="2" t="s">
        <v>19740</v>
      </c>
      <c r="G575" s="2" t="n">
        <v>255002</v>
      </c>
      <c r="H575" s="3" t="str">
        <f>HYPERLINK("http://funmeta.oebiotech.com/network/255002", "http://funmeta.oebiotech.com/network/255002")</f>
      </c>
      <c r="I575" s="2" t="s">
        <v>19742</v>
      </c>
      <c r="J575" s="2"/>
      <c r="K575" s="2"/>
      <c r="L575" s="2"/>
      <c r="M575" s="2"/>
      <c r="N575" s="2" t="s">
        <v>19743</v>
      </c>
      <c r="O575" s="2"/>
      <c r="P575" s="2" t="s">
        <v>19744</v>
      </c>
      <c r="Q575" s="2" t="s">
        <v>19745</v>
      </c>
      <c r="R575" s="2" t="s">
        <v>2509</v>
      </c>
      <c r="S575" s="2" t="s">
        <v>5520</v>
      </c>
      <c r="T575" s="2" t="s">
        <v>7136</v>
      </c>
      <c r="U575" s="2" t="s">
        <v>19739</v>
      </c>
      <c r="V575" s="2" t="s">
        <v>15624</v>
      </c>
      <c r="W575" s="2"/>
    </row>
    <row r="576">
      <c r="A576" s="2" t="n">
        <v>406</v>
      </c>
      <c r="B576" s="2" t="s">
        <v>13078</v>
      </c>
      <c r="C576" s="2" t="s">
        <v>19746</v>
      </c>
      <c r="D576" s="2" t="n">
        <v>721.886478601</v>
      </c>
      <c r="E576" s="2" t="n">
        <v>0.253695564477317</v>
      </c>
      <c r="F576" s="2" t="s">
        <v>19748</v>
      </c>
      <c r="G576" s="2" t="n">
        <v>82375</v>
      </c>
      <c r="H576" s="3" t="str">
        <f>HYPERLINK("http://funmeta.oebiotech.com/network/82375", "http://funmeta.oebiotech.com/network/82375")</f>
      </c>
      <c r="I576" s="2" t="s">
        <v>19750</v>
      </c>
      <c r="J576" s="2" t="s">
        <v>19751</v>
      </c>
      <c r="K576" s="2"/>
      <c r="L576" s="2" t="s">
        <v>19752</v>
      </c>
      <c r="M576" s="2" t="s">
        <v>19753</v>
      </c>
      <c r="N576" s="2" t="s">
        <v>19754</v>
      </c>
      <c r="O576" s="2"/>
      <c r="P576" s="2" t="s">
        <v>19755</v>
      </c>
      <c r="Q576" s="2" t="s">
        <v>19756</v>
      </c>
      <c r="R576" s="2" t="s">
        <v>2590</v>
      </c>
      <c r="S576" s="2" t="s">
        <v>6120</v>
      </c>
      <c r="T576" s="2" t="s">
        <v>7366</v>
      </c>
      <c r="U576" s="2" t="s">
        <v>19747</v>
      </c>
      <c r="V576" s="2" t="s">
        <v>15919</v>
      </c>
      <c r="W576" s="2" t="s">
        <v>39</v>
      </c>
    </row>
    <row r="577">
      <c r="A577" s="2" t="n">
        <v>407</v>
      </c>
      <c r="B577" s="2" t="s">
        <v>13079</v>
      </c>
      <c r="C577" s="2" t="s">
        <v>19757</v>
      </c>
      <c r="D577" s="2" t="n">
        <v>723.401436458</v>
      </c>
      <c r="E577" s="2" t="n">
        <v>9.75114081073971</v>
      </c>
      <c r="F577" s="2" t="s">
        <v>19759</v>
      </c>
      <c r="G577" s="2" t="n">
        <v>82673</v>
      </c>
      <c r="H577" s="3" t="str">
        <f>HYPERLINK("http://funmeta.oebiotech.com/network/82673", "http://funmeta.oebiotech.com/network/82673")</f>
      </c>
      <c r="I577" s="2" t="s">
        <v>19761</v>
      </c>
      <c r="J577" s="2"/>
      <c r="K577" s="2"/>
      <c r="L577" s="2"/>
      <c r="M577" s="2"/>
      <c r="N577" s="2" t="s">
        <v>19762</v>
      </c>
      <c r="O577" s="2"/>
      <c r="P577" s="2" t="s">
        <v>19763</v>
      </c>
      <c r="Q577" s="2" t="s">
        <v>19764</v>
      </c>
      <c r="R577" s="2" t="s">
        <v>64</v>
      </c>
      <c r="S577" s="2" t="s">
        <v>65</v>
      </c>
      <c r="T577" s="2" t="s">
        <v>66</v>
      </c>
      <c r="U577" s="2" t="s">
        <v>19758</v>
      </c>
      <c r="V577" s="2" t="s">
        <v>15691</v>
      </c>
      <c r="W577" s="2"/>
    </row>
    <row r="578">
      <c r="A578" s="2" t="n">
        <v>408</v>
      </c>
      <c r="B578" s="2" t="s">
        <v>13099</v>
      </c>
      <c r="C578" s="2" t="s">
        <v>19765</v>
      </c>
      <c r="D578" s="2" t="n">
        <v>729.095888806</v>
      </c>
      <c r="E578" s="2" t="n">
        <v>5.37386527488131</v>
      </c>
      <c r="F578" s="2" t="s">
        <v>19767</v>
      </c>
      <c r="G578" s="2" t="n">
        <v>206811</v>
      </c>
      <c r="H578" s="3" t="str">
        <f>HYPERLINK("http://funmeta.oebiotech.com/network/206811", "http://funmeta.oebiotech.com/network/206811")</f>
      </c>
      <c r="I578" s="2" t="s">
        <v>19769</v>
      </c>
      <c r="J578" s="2"/>
      <c r="K578" s="2"/>
      <c r="L578" s="2"/>
      <c r="M578" s="2"/>
      <c r="N578" s="2" t="s">
        <v>19770</v>
      </c>
      <c r="O578" s="2"/>
      <c r="P578" s="2" t="s">
        <v>19771</v>
      </c>
      <c r="Q578" s="2" t="s">
        <v>19772</v>
      </c>
      <c r="R578" s="2" t="s">
        <v>64</v>
      </c>
      <c r="S578" s="2" t="s">
        <v>65</v>
      </c>
      <c r="T578" s="2" t="s">
        <v>1214</v>
      </c>
      <c r="U578" s="2" t="s">
        <v>19766</v>
      </c>
      <c r="V578" s="2" t="s">
        <v>17922</v>
      </c>
      <c r="W578" s="2"/>
    </row>
    <row r="579">
      <c r="A579" s="2" t="n">
        <v>409</v>
      </c>
      <c r="B579" s="2" t="s">
        <v>13100</v>
      </c>
      <c r="C579" s="2" t="s">
        <v>19773</v>
      </c>
      <c r="D579" s="2" t="n">
        <v>730.70435375</v>
      </c>
      <c r="E579" s="2" t="n">
        <v>4.11348506602136</v>
      </c>
      <c r="F579" s="2" t="s">
        <v>19775</v>
      </c>
      <c r="G579" s="2" t="n">
        <v>199661</v>
      </c>
      <c r="H579" s="3" t="str">
        <f>HYPERLINK("http://funmeta.oebiotech.com/network/199661", "http://funmeta.oebiotech.com/network/199661")</f>
      </c>
      <c r="I579" s="2" t="s">
        <v>19777</v>
      </c>
      <c r="J579" s="2" t="s">
        <v>19778</v>
      </c>
      <c r="K579" s="2"/>
      <c r="L579" s="2" t="s">
        <v>19779</v>
      </c>
      <c r="M579" s="2"/>
      <c r="N579" s="2" t="s">
        <v>19780</v>
      </c>
      <c r="O579" s="2" t="s">
        <v>19781</v>
      </c>
      <c r="P579" s="2" t="s">
        <v>19782</v>
      </c>
      <c r="Q579" s="2" t="s">
        <v>19783</v>
      </c>
      <c r="R579" s="2" t="s">
        <v>355</v>
      </c>
      <c r="S579" s="2" t="s">
        <v>19784</v>
      </c>
      <c r="T579" s="2" t="s">
        <v>19785</v>
      </c>
      <c r="U579" s="2" t="s">
        <v>19774</v>
      </c>
      <c r="V579" s="2" t="s">
        <v>17922</v>
      </c>
      <c r="W579" s="2" t="s">
        <v>39</v>
      </c>
    </row>
    <row r="580">
      <c r="A580" s="2" t="n">
        <v>410</v>
      </c>
      <c r="B580" s="2" t="s">
        <v>13101</v>
      </c>
      <c r="C580" s="2" t="s">
        <v>19786</v>
      </c>
      <c r="D580" s="2" t="n">
        <v>738.188025565</v>
      </c>
      <c r="E580" s="2" t="n">
        <v>5.74638560497309</v>
      </c>
      <c r="F580" s="2" t="s">
        <v>19788</v>
      </c>
      <c r="G580" s="2" t="n">
        <v>47706</v>
      </c>
      <c r="H580" s="3" t="str">
        <f>HYPERLINK("http://funmeta.oebiotech.com/network/47706", "http://funmeta.oebiotech.com/network/47706")</f>
      </c>
      <c r="I580" s="2" t="s">
        <v>19790</v>
      </c>
      <c r="J580" s="2" t="s">
        <v>19791</v>
      </c>
      <c r="K580" s="2"/>
      <c r="L580" s="2"/>
      <c r="M580" s="2" t="s">
        <v>19792</v>
      </c>
      <c r="N580" s="2" t="s">
        <v>19793</v>
      </c>
      <c r="O580" s="2" t="s">
        <v>19794</v>
      </c>
      <c r="P580" s="2" t="s">
        <v>19795</v>
      </c>
      <c r="Q580" s="2" t="s">
        <v>19796</v>
      </c>
      <c r="R580" s="2" t="s">
        <v>49</v>
      </c>
      <c r="S580" s="2" t="s">
        <v>165</v>
      </c>
      <c r="T580" s="2" t="s">
        <v>166</v>
      </c>
      <c r="U580" s="2" t="s">
        <v>19787</v>
      </c>
      <c r="V580" s="2" t="s">
        <v>15919</v>
      </c>
      <c r="W580" s="2"/>
    </row>
    <row r="581">
      <c r="A581" s="2" t="n">
        <v>411</v>
      </c>
      <c r="B581" s="2" t="s">
        <v>13102</v>
      </c>
      <c r="C581" s="2" t="s">
        <v>19797</v>
      </c>
      <c r="D581" s="2" t="n">
        <v>738.491690939</v>
      </c>
      <c r="E581" s="2" t="n">
        <v>0.33832300509651</v>
      </c>
      <c r="F581" s="2" t="s">
        <v>23051</v>
      </c>
      <c r="G581" s="2" t="n">
        <v>57066</v>
      </c>
      <c r="H581" s="3" t="str">
        <f>HYPERLINK("http://funmeta.oebiotech.com/network/57066", "http://funmeta.oebiotech.com/network/57066")</f>
      </c>
      <c r="I581" s="2" t="s">
        <v>23052</v>
      </c>
      <c r="J581" s="2" t="s">
        <v>23053</v>
      </c>
      <c r="K581" s="2"/>
      <c r="L581" s="2"/>
      <c r="M581" s="2"/>
      <c r="N581" s="2" t="s">
        <v>23054</v>
      </c>
      <c r="O581" s="2"/>
      <c r="P581" s="2" t="s">
        <v>23055</v>
      </c>
      <c r="Q581" s="2" t="s">
        <v>23056</v>
      </c>
      <c r="R581" s="2" t="s">
        <v>1490</v>
      </c>
      <c r="S581" s="2" t="s">
        <v>8433</v>
      </c>
      <c r="T581" s="2" t="s">
        <v>8434</v>
      </c>
      <c r="U581" s="2" t="s">
        <v>19798</v>
      </c>
      <c r="V581" s="2" t="s">
        <v>15919</v>
      </c>
      <c r="W581" s="2"/>
    </row>
    <row r="582">
      <c r="A582" s="2" t="n">
        <v>411</v>
      </c>
      <c r="B582" s="2" t="s">
        <v>23057</v>
      </c>
      <c r="C582" s="2" t="s">
        <v>19797</v>
      </c>
      <c r="D582" s="2" t="n">
        <v>738.491690939</v>
      </c>
      <c r="E582" s="2" t="n">
        <v>0.33832300509651</v>
      </c>
      <c r="F582" s="2" t="s">
        <v>23058</v>
      </c>
      <c r="G582" s="2" t="n">
        <v>56443</v>
      </c>
      <c r="H582" s="3" t="str">
        <f>HYPERLINK("http://funmeta.oebiotech.com/network/56443", "http://funmeta.oebiotech.com/network/56443")</f>
      </c>
      <c r="I582" s="2" t="s">
        <v>23059</v>
      </c>
      <c r="J582" s="2" t="s">
        <v>23060</v>
      </c>
      <c r="K582" s="2"/>
      <c r="L582" s="2"/>
      <c r="M582" s="2" t="s">
        <v>23061</v>
      </c>
      <c r="N582" s="2" t="s">
        <v>23062</v>
      </c>
      <c r="O582" s="2" t="s">
        <v>23063</v>
      </c>
      <c r="P582" s="2" t="s">
        <v>23064</v>
      </c>
      <c r="Q582" s="2" t="s">
        <v>23065</v>
      </c>
      <c r="R582" s="2" t="s">
        <v>1490</v>
      </c>
      <c r="S582" s="2" t="s">
        <v>8433</v>
      </c>
      <c r="T582" s="2" t="s">
        <v>8434</v>
      </c>
      <c r="U582" s="2" t="s">
        <v>19798</v>
      </c>
      <c r="V582" s="2" t="s">
        <v>15919</v>
      </c>
      <c r="W582" s="2"/>
    </row>
    <row r="583">
      <c r="A583" s="2" t="n">
        <v>412</v>
      </c>
      <c r="B583" s="2" t="s">
        <v>13103</v>
      </c>
      <c r="C583" s="2" t="s">
        <v>19809</v>
      </c>
      <c r="D583" s="2" t="n">
        <v>740.522480861</v>
      </c>
      <c r="E583" s="2" t="n">
        <v>0.944189096447507</v>
      </c>
      <c r="F583" s="2" t="s">
        <v>23066</v>
      </c>
      <c r="G583" s="2" t="n">
        <v>18677</v>
      </c>
      <c r="H583" s="3" t="str">
        <f>HYPERLINK("http://funmeta.oebiotech.com/network/18677", "http://funmeta.oebiotech.com/network/18677")</f>
      </c>
      <c r="I583" s="2" t="s">
        <v>23067</v>
      </c>
      <c r="J583" s="2" t="s">
        <v>23068</v>
      </c>
      <c r="K583" s="2" t="s">
        <v>23069</v>
      </c>
      <c r="L583" s="2" t="s">
        <v>8608</v>
      </c>
      <c r="M583" s="2"/>
      <c r="N583" s="2" t="s">
        <v>23070</v>
      </c>
      <c r="O583" s="2"/>
      <c r="P583" s="2" t="s">
        <v>23071</v>
      </c>
      <c r="Q583" s="2" t="s">
        <v>23072</v>
      </c>
      <c r="R583" s="2" t="s">
        <v>1490</v>
      </c>
      <c r="S583" s="2" t="s">
        <v>4236</v>
      </c>
      <c r="T583" s="2" t="s">
        <v>8613</v>
      </c>
      <c r="U583" s="2" t="s">
        <v>19810</v>
      </c>
      <c r="V583" s="2" t="s">
        <v>15649</v>
      </c>
      <c r="W583" s="2" t="s">
        <v>39</v>
      </c>
    </row>
    <row r="584">
      <c r="A584" s="2" t="n">
        <v>412</v>
      </c>
      <c r="B584" s="2" t="s">
        <v>23073</v>
      </c>
      <c r="C584" s="2" t="s">
        <v>19809</v>
      </c>
      <c r="D584" s="2" t="n">
        <v>740.522480861</v>
      </c>
      <c r="E584" s="2" t="n">
        <v>0.944189096447507</v>
      </c>
      <c r="F584" s="2" t="s">
        <v>23074</v>
      </c>
      <c r="G584" s="2" t="n">
        <v>20110</v>
      </c>
      <c r="H584" s="3" t="str">
        <f>HYPERLINK("http://funmeta.oebiotech.com/network/20110", "http://funmeta.oebiotech.com/network/20110")</f>
      </c>
      <c r="I584" s="2" t="s">
        <v>23075</v>
      </c>
      <c r="J584" s="2" t="s">
        <v>23076</v>
      </c>
      <c r="K584" s="2" t="s">
        <v>23077</v>
      </c>
      <c r="L584" s="2" t="s">
        <v>7680</v>
      </c>
      <c r="M584" s="2"/>
      <c r="N584" s="2" t="s">
        <v>23078</v>
      </c>
      <c r="O584" s="2"/>
      <c r="P584" s="2" t="s">
        <v>23079</v>
      </c>
      <c r="Q584" s="2" t="s">
        <v>23080</v>
      </c>
      <c r="R584" s="2" t="s">
        <v>1490</v>
      </c>
      <c r="S584" s="2" t="s">
        <v>4236</v>
      </c>
      <c r="T584" s="2" t="s">
        <v>5369</v>
      </c>
      <c r="U584" s="2" t="s">
        <v>19810</v>
      </c>
      <c r="V584" s="2" t="s">
        <v>15649</v>
      </c>
      <c r="W584" s="2" t="s">
        <v>39</v>
      </c>
    </row>
    <row r="585">
      <c r="A585" s="2" t="n">
        <v>413</v>
      </c>
      <c r="B585" s="2" t="s">
        <v>13104</v>
      </c>
      <c r="C585" s="2" t="s">
        <v>19819</v>
      </c>
      <c r="D585" s="2" t="n">
        <v>745.054958</v>
      </c>
      <c r="E585" s="2" t="n">
        <v>4.14266625082856</v>
      </c>
      <c r="F585" s="2" t="s">
        <v>19821</v>
      </c>
      <c r="G585" s="2" t="n">
        <v>207439</v>
      </c>
      <c r="H585" s="3" t="str">
        <f>HYPERLINK("http://funmeta.oebiotech.com/network/207439", "http://funmeta.oebiotech.com/network/207439")</f>
      </c>
      <c r="I585" s="2" t="s">
        <v>19823</v>
      </c>
      <c r="J585" s="2" t="s">
        <v>19824</v>
      </c>
      <c r="K585" s="2"/>
      <c r="L585" s="2" t="s">
        <v>19825</v>
      </c>
      <c r="M585" s="2" t="s">
        <v>19826</v>
      </c>
      <c r="N585" s="2" t="s">
        <v>19827</v>
      </c>
      <c r="O585" s="2" t="s">
        <v>19828</v>
      </c>
      <c r="P585" s="2" t="s">
        <v>19829</v>
      </c>
      <c r="Q585" s="2" t="s">
        <v>19830</v>
      </c>
      <c r="R585" s="2" t="s">
        <v>502</v>
      </c>
      <c r="S585" s="2" t="s">
        <v>503</v>
      </c>
      <c r="T585" s="2" t="s">
        <v>3362</v>
      </c>
      <c r="U585" s="2" t="s">
        <v>19820</v>
      </c>
      <c r="V585" s="2" t="s">
        <v>17922</v>
      </c>
      <c r="W585" s="2" t="s">
        <v>39</v>
      </c>
    </row>
    <row r="586">
      <c r="A586" s="2" t="n">
        <v>414</v>
      </c>
      <c r="B586" s="2" t="s">
        <v>13105</v>
      </c>
      <c r="C586" s="2" t="s">
        <v>19831</v>
      </c>
      <c r="D586" s="2" t="n">
        <v>745.767459292</v>
      </c>
      <c r="E586" s="2" t="n">
        <v>3.09201531309735</v>
      </c>
      <c r="F586" s="2" t="s">
        <v>19833</v>
      </c>
      <c r="G586" s="2" t="n">
        <v>212651</v>
      </c>
      <c r="H586" s="3" t="str">
        <f>HYPERLINK("http://funmeta.oebiotech.com/network/212651", "http://funmeta.oebiotech.com/network/212651")</f>
      </c>
      <c r="I586" s="2" t="s">
        <v>19835</v>
      </c>
      <c r="J586" s="2" t="s">
        <v>19836</v>
      </c>
      <c r="K586" s="2"/>
      <c r="L586" s="2"/>
      <c r="M586" s="2"/>
      <c r="N586" s="2" t="s">
        <v>19837</v>
      </c>
      <c r="O586" s="2"/>
      <c r="P586" s="2" t="s">
        <v>19838</v>
      </c>
      <c r="Q586" s="2" t="s">
        <v>19839</v>
      </c>
      <c r="R586" s="2" t="s">
        <v>36</v>
      </c>
      <c r="S586" s="2" t="s">
        <v>37</v>
      </c>
      <c r="T586" s="2" t="s">
        <v>679</v>
      </c>
      <c r="U586" s="2" t="s">
        <v>19832</v>
      </c>
      <c r="V586" s="2" t="s">
        <v>16225</v>
      </c>
      <c r="W586" s="2"/>
    </row>
    <row r="587">
      <c r="A587" s="2" t="n">
        <v>415</v>
      </c>
      <c r="B587" s="2" t="s">
        <v>13106</v>
      </c>
      <c r="C587" s="2" t="s">
        <v>19840</v>
      </c>
      <c r="D587" s="2" t="n">
        <v>751.111851464</v>
      </c>
      <c r="E587" s="2" t="n">
        <v>4.92755594066657</v>
      </c>
      <c r="F587" s="2" t="s">
        <v>19842</v>
      </c>
      <c r="G587" s="2" t="n">
        <v>54244</v>
      </c>
      <c r="H587" s="3" t="str">
        <f>HYPERLINK("http://funmeta.oebiotech.com/network/54244", "http://funmeta.oebiotech.com/network/54244")</f>
      </c>
      <c r="I587" s="2" t="s">
        <v>19844</v>
      </c>
      <c r="J587" s="2" t="s">
        <v>19845</v>
      </c>
      <c r="K587" s="2"/>
      <c r="L587" s="2"/>
      <c r="M587" s="2" t="s">
        <v>19846</v>
      </c>
      <c r="N587" s="2" t="s">
        <v>19847</v>
      </c>
      <c r="O587" s="2" t="s">
        <v>19848</v>
      </c>
      <c r="P587" s="2" t="s">
        <v>19849</v>
      </c>
      <c r="Q587" s="2" t="s">
        <v>19850</v>
      </c>
      <c r="R587" s="2" t="s">
        <v>2509</v>
      </c>
      <c r="S587" s="2" t="s">
        <v>5520</v>
      </c>
      <c r="T587" s="2" t="s">
        <v>5664</v>
      </c>
      <c r="U587" s="2" t="s">
        <v>19841</v>
      </c>
      <c r="V587" s="2" t="s">
        <v>15919</v>
      </c>
      <c r="W587" s="2"/>
    </row>
    <row r="588">
      <c r="A588" s="2" t="n">
        <v>416</v>
      </c>
      <c r="B588" s="2" t="s">
        <v>13107</v>
      </c>
      <c r="C588" s="2" t="s">
        <v>19851</v>
      </c>
      <c r="D588" s="2" t="n">
        <v>753.485956244</v>
      </c>
      <c r="E588" s="2" t="n">
        <v>0.832867663762971</v>
      </c>
      <c r="F588" s="2" t="s">
        <v>23081</v>
      </c>
      <c r="G588" s="2" t="n">
        <v>135032</v>
      </c>
      <c r="H588" s="3" t="str">
        <f>HYPERLINK("http://funmeta.oebiotech.com/network/135032", "http://funmeta.oebiotech.com/network/135032")</f>
      </c>
      <c r="I588" s="2" t="s">
        <v>23082</v>
      </c>
      <c r="J588" s="2"/>
      <c r="K588" s="2"/>
      <c r="L588" s="2"/>
      <c r="M588" s="2"/>
      <c r="N588" s="2" t="s">
        <v>23083</v>
      </c>
      <c r="O588" s="2"/>
      <c r="P588" s="2" t="s">
        <v>23084</v>
      </c>
      <c r="Q588" s="2" t="s">
        <v>23085</v>
      </c>
      <c r="R588" s="2" t="s">
        <v>1490</v>
      </c>
      <c r="S588" s="2" t="s">
        <v>4236</v>
      </c>
      <c r="T588" s="2" t="s">
        <v>5175</v>
      </c>
      <c r="U588" s="2" t="s">
        <v>19852</v>
      </c>
      <c r="V588" s="2" t="s">
        <v>15611</v>
      </c>
      <c r="W588" s="2"/>
    </row>
    <row r="589">
      <c r="A589" s="2" t="n">
        <v>416</v>
      </c>
      <c r="B589" s="2" t="s">
        <v>23086</v>
      </c>
      <c r="C589" s="2" t="s">
        <v>19851</v>
      </c>
      <c r="D589" s="2" t="n">
        <v>753.485956244</v>
      </c>
      <c r="E589" s="2" t="n">
        <v>0.832867663762971</v>
      </c>
      <c r="F589" s="2" t="s">
        <v>23087</v>
      </c>
      <c r="G589" s="2" t="n">
        <v>25516</v>
      </c>
      <c r="H589" s="3" t="str">
        <f>HYPERLINK("http://funmeta.oebiotech.com/network/25516", "http://funmeta.oebiotech.com/network/25516")</f>
      </c>
      <c r="I589" s="2" t="s">
        <v>23088</v>
      </c>
      <c r="J589" s="2" t="s">
        <v>23089</v>
      </c>
      <c r="K589" s="2" t="s">
        <v>23090</v>
      </c>
      <c r="L589" s="2"/>
      <c r="M589" s="2"/>
      <c r="N589" s="2" t="s">
        <v>23091</v>
      </c>
      <c r="O589" s="2"/>
      <c r="P589" s="2" t="s">
        <v>23092</v>
      </c>
      <c r="Q589" s="2" t="s">
        <v>23093</v>
      </c>
      <c r="R589" s="2" t="s">
        <v>1490</v>
      </c>
      <c r="S589" s="2" t="s">
        <v>4236</v>
      </c>
      <c r="T589" s="2" t="s">
        <v>5175</v>
      </c>
      <c r="U589" s="2" t="s">
        <v>19852</v>
      </c>
      <c r="V589" s="2" t="s">
        <v>15611</v>
      </c>
      <c r="W589" s="2"/>
    </row>
    <row r="590">
      <c r="A590" s="2" t="n">
        <v>417</v>
      </c>
      <c r="B590" s="2" t="s">
        <v>13108</v>
      </c>
      <c r="C590" s="2" t="s">
        <v>19861</v>
      </c>
      <c r="D590" s="2" t="n">
        <v>754.478362861</v>
      </c>
      <c r="E590" s="2" t="n">
        <v>0.990810557157142</v>
      </c>
      <c r="F590" s="2" t="s">
        <v>19863</v>
      </c>
      <c r="G590" s="2" t="n">
        <v>20105</v>
      </c>
      <c r="H590" s="3" t="str">
        <f>HYPERLINK("http://funmeta.oebiotech.com/network/20105", "http://funmeta.oebiotech.com/network/20105")</f>
      </c>
      <c r="I590" s="2" t="s">
        <v>19865</v>
      </c>
      <c r="J590" s="2" t="s">
        <v>19866</v>
      </c>
      <c r="K590" s="2" t="s">
        <v>19867</v>
      </c>
      <c r="L590" s="2" t="s">
        <v>7680</v>
      </c>
      <c r="M590" s="2"/>
      <c r="N590" s="2" t="s">
        <v>19868</v>
      </c>
      <c r="O590" s="2"/>
      <c r="P590" s="2" t="s">
        <v>19869</v>
      </c>
      <c r="Q590" s="2" t="s">
        <v>19870</v>
      </c>
      <c r="R590" s="2" t="s">
        <v>1490</v>
      </c>
      <c r="S590" s="2" t="s">
        <v>4236</v>
      </c>
      <c r="T590" s="2" t="s">
        <v>5369</v>
      </c>
      <c r="U590" s="2" t="s">
        <v>19862</v>
      </c>
      <c r="V590" s="2" t="s">
        <v>15919</v>
      </c>
      <c r="W590" s="2" t="s">
        <v>39</v>
      </c>
    </row>
    <row r="591">
      <c r="A591" s="2" t="n">
        <v>418</v>
      </c>
      <c r="B591" s="2" t="s">
        <v>13123</v>
      </c>
      <c r="C591" s="2" t="s">
        <v>19871</v>
      </c>
      <c r="D591" s="2" t="n">
        <v>756.551373053</v>
      </c>
      <c r="E591" s="2" t="n">
        <v>1.09354509730231</v>
      </c>
      <c r="F591" s="2" t="s">
        <v>23094</v>
      </c>
      <c r="G591" s="2" t="n">
        <v>20152</v>
      </c>
      <c r="H591" s="3" t="str">
        <f>HYPERLINK("http://funmeta.oebiotech.com/network/20152", "http://funmeta.oebiotech.com/network/20152")</f>
      </c>
      <c r="I591" s="2" t="s">
        <v>23095</v>
      </c>
      <c r="J591" s="2" t="s">
        <v>23096</v>
      </c>
      <c r="K591" s="2" t="s">
        <v>23097</v>
      </c>
      <c r="L591" s="2" t="s">
        <v>7680</v>
      </c>
      <c r="M591" s="2" t="s">
        <v>23098</v>
      </c>
      <c r="N591" s="2" t="s">
        <v>23099</v>
      </c>
      <c r="O591" s="2"/>
      <c r="P591" s="2" t="s">
        <v>23100</v>
      </c>
      <c r="Q591" s="2" t="s">
        <v>23101</v>
      </c>
      <c r="R591" s="2" t="s">
        <v>1490</v>
      </c>
      <c r="S591" s="2" t="s">
        <v>4236</v>
      </c>
      <c r="T591" s="2" t="s">
        <v>5369</v>
      </c>
      <c r="U591" s="2" t="s">
        <v>19872</v>
      </c>
      <c r="V591" s="2" t="s">
        <v>15858</v>
      </c>
      <c r="W591" s="2" t="s">
        <v>39</v>
      </c>
    </row>
    <row r="592">
      <c r="A592" s="2" t="n">
        <v>418</v>
      </c>
      <c r="B592" s="2" t="s">
        <v>23102</v>
      </c>
      <c r="C592" s="2" t="s">
        <v>19871</v>
      </c>
      <c r="D592" s="2" t="n">
        <v>756.551373053</v>
      </c>
      <c r="E592" s="2" t="n">
        <v>1.09354509730231</v>
      </c>
      <c r="F592" s="2" t="s">
        <v>23103</v>
      </c>
      <c r="G592" s="2" t="n">
        <v>18240</v>
      </c>
      <c r="H592" s="3" t="str">
        <f>HYPERLINK("http://funmeta.oebiotech.com/network/18240", "http://funmeta.oebiotech.com/network/18240")</f>
      </c>
      <c r="I592" s="2" t="s">
        <v>23104</v>
      </c>
      <c r="J592" s="2" t="s">
        <v>23105</v>
      </c>
      <c r="K592" s="2" t="s">
        <v>23106</v>
      </c>
      <c r="L592" s="2" t="s">
        <v>8608</v>
      </c>
      <c r="M592" s="2" t="s">
        <v>23107</v>
      </c>
      <c r="N592" s="2" t="s">
        <v>23108</v>
      </c>
      <c r="O592" s="2" t="s">
        <v>23109</v>
      </c>
      <c r="P592" s="2" t="s">
        <v>23110</v>
      </c>
      <c r="Q592" s="2" t="s">
        <v>23111</v>
      </c>
      <c r="R592" s="2" t="s">
        <v>1490</v>
      </c>
      <c r="S592" s="2" t="s">
        <v>4236</v>
      </c>
      <c r="T592" s="2" t="s">
        <v>8613</v>
      </c>
      <c r="U592" s="2" t="s">
        <v>19872</v>
      </c>
      <c r="V592" s="2" t="s">
        <v>15858</v>
      </c>
      <c r="W592" s="2" t="s">
        <v>39</v>
      </c>
    </row>
    <row r="593">
      <c r="A593" s="2" t="n">
        <v>419</v>
      </c>
      <c r="B593" s="2" t="s">
        <v>13124</v>
      </c>
      <c r="C593" s="2" t="s">
        <v>19883</v>
      </c>
      <c r="D593" s="2" t="n">
        <v>757.553249904</v>
      </c>
      <c r="E593" s="2" t="n">
        <v>1.07695864216499</v>
      </c>
      <c r="F593" s="2" t="s">
        <v>19885</v>
      </c>
      <c r="G593" s="2" t="n">
        <v>205886</v>
      </c>
      <c r="H593" s="3" t="str">
        <f>HYPERLINK("http://funmeta.oebiotech.com/network/205886", "http://funmeta.oebiotech.com/network/205886")</f>
      </c>
      <c r="I593" s="2" t="s">
        <v>19887</v>
      </c>
      <c r="J593" s="2"/>
      <c r="K593" s="2"/>
      <c r="L593" s="2"/>
      <c r="M593" s="2"/>
      <c r="N593" s="2"/>
      <c r="O593" s="2"/>
      <c r="P593" s="2" t="s">
        <v>19888</v>
      </c>
      <c r="Q593" s="2" t="s">
        <v>19889</v>
      </c>
      <c r="R593" s="2" t="s">
        <v>64</v>
      </c>
      <c r="S593" s="2" t="s">
        <v>65</v>
      </c>
      <c r="T593" s="2" t="s">
        <v>66</v>
      </c>
      <c r="U593" s="2" t="s">
        <v>19884</v>
      </c>
      <c r="V593" s="2" t="s">
        <v>15778</v>
      </c>
      <c r="W593" s="2"/>
    </row>
    <row r="594">
      <c r="A594" s="2" t="n">
        <v>420</v>
      </c>
      <c r="B594" s="2" t="s">
        <v>13125</v>
      </c>
      <c r="C594" s="2" t="s">
        <v>19890</v>
      </c>
      <c r="D594" s="2" t="n">
        <v>758.569431053</v>
      </c>
      <c r="E594" s="2" t="n">
        <v>1.00142809920491</v>
      </c>
      <c r="F594" s="2" t="s">
        <v>19892</v>
      </c>
      <c r="G594" s="2" t="n">
        <v>18632</v>
      </c>
      <c r="H594" s="3" t="str">
        <f>HYPERLINK("http://funmeta.oebiotech.com/network/18632", "http://funmeta.oebiotech.com/network/18632")</f>
      </c>
      <c r="I594" s="2" t="s">
        <v>19894</v>
      </c>
      <c r="J594" s="2" t="s">
        <v>19895</v>
      </c>
      <c r="K594" s="2" t="s">
        <v>19896</v>
      </c>
      <c r="L594" s="2" t="s">
        <v>8608</v>
      </c>
      <c r="M594" s="2" t="s">
        <v>19897</v>
      </c>
      <c r="N594" s="2" t="s">
        <v>19898</v>
      </c>
      <c r="O594" s="2"/>
      <c r="P594" s="2" t="s">
        <v>19899</v>
      </c>
      <c r="Q594" s="2" t="s">
        <v>19900</v>
      </c>
      <c r="R594" s="2" t="s">
        <v>1490</v>
      </c>
      <c r="S594" s="2" t="s">
        <v>4236</v>
      </c>
      <c r="T594" s="2" t="s">
        <v>8613</v>
      </c>
      <c r="U594" s="2" t="s">
        <v>19891</v>
      </c>
      <c r="V594" s="2" t="s">
        <v>15649</v>
      </c>
      <c r="W594" s="2" t="s">
        <v>39</v>
      </c>
    </row>
    <row r="595">
      <c r="A595" s="2" t="n">
        <v>421</v>
      </c>
      <c r="B595" s="2" t="s">
        <v>13151</v>
      </c>
      <c r="C595" s="2" t="s">
        <v>19901</v>
      </c>
      <c r="D595" s="2" t="n">
        <v>766.911430248</v>
      </c>
      <c r="E595" s="2" t="n">
        <v>7.12716092720036</v>
      </c>
      <c r="F595" s="2" t="s">
        <v>19903</v>
      </c>
      <c r="G595" s="2" t="n">
        <v>203765</v>
      </c>
      <c r="H595" s="3" t="str">
        <f>HYPERLINK("http://funmeta.oebiotech.com/network/203765", "http://funmeta.oebiotech.com/network/203765")</f>
      </c>
      <c r="I595" s="2" t="s">
        <v>19905</v>
      </c>
      <c r="J595" s="2" t="s">
        <v>19906</v>
      </c>
      <c r="K595" s="2"/>
      <c r="L595" s="2"/>
      <c r="M595" s="2"/>
      <c r="N595" s="2" t="s">
        <v>19907</v>
      </c>
      <c r="O595" s="2"/>
      <c r="P595" s="2" t="s">
        <v>19908</v>
      </c>
      <c r="Q595" s="2" t="s">
        <v>19909</v>
      </c>
      <c r="R595" s="2" t="s">
        <v>49</v>
      </c>
      <c r="S595" s="2" t="s">
        <v>771</v>
      </c>
      <c r="T595" s="2" t="s">
        <v>772</v>
      </c>
      <c r="U595" s="2" t="s">
        <v>19902</v>
      </c>
      <c r="V595" s="2" t="s">
        <v>16225</v>
      </c>
      <c r="W595" s="2"/>
    </row>
    <row r="596">
      <c r="A596" s="2" t="n">
        <v>422</v>
      </c>
      <c r="B596" s="2" t="s">
        <v>13152</v>
      </c>
      <c r="C596" s="2" t="s">
        <v>19910</v>
      </c>
      <c r="D596" s="2" t="n">
        <v>767.115437754</v>
      </c>
      <c r="E596" s="2" t="n">
        <v>6.68326778020355</v>
      </c>
      <c r="F596" s="2" t="s">
        <v>19912</v>
      </c>
      <c r="G596" s="2" t="n">
        <v>208445</v>
      </c>
      <c r="H596" s="3" t="str">
        <f>HYPERLINK("http://funmeta.oebiotech.com/network/208445", "http://funmeta.oebiotech.com/network/208445")</f>
      </c>
      <c r="I596" s="2" t="s">
        <v>19914</v>
      </c>
      <c r="J596" s="2" t="s">
        <v>19915</v>
      </c>
      <c r="K596" s="2"/>
      <c r="L596" s="2"/>
      <c r="M596" s="2"/>
      <c r="N596" s="2" t="s">
        <v>19916</v>
      </c>
      <c r="O596" s="2"/>
      <c r="P596" s="2" t="s">
        <v>19917</v>
      </c>
      <c r="Q596" s="2" t="s">
        <v>19918</v>
      </c>
      <c r="R596" s="2" t="s">
        <v>49</v>
      </c>
      <c r="S596" s="2" t="s">
        <v>165</v>
      </c>
      <c r="T596" s="2" t="s">
        <v>166</v>
      </c>
      <c r="U596" s="2" t="s">
        <v>19911</v>
      </c>
      <c r="V596" s="2" t="s">
        <v>15691</v>
      </c>
      <c r="W596" s="2"/>
    </row>
    <row r="597">
      <c r="A597" s="2" t="n">
        <v>423</v>
      </c>
      <c r="B597" s="2" t="s">
        <v>13170</v>
      </c>
      <c r="C597" s="2" t="s">
        <v>19919</v>
      </c>
      <c r="D597" s="2" t="n">
        <v>768.2062094</v>
      </c>
      <c r="E597" s="2" t="n">
        <v>5.85532018178459</v>
      </c>
      <c r="F597" s="2" t="s">
        <v>19921</v>
      </c>
      <c r="G597" s="2" t="n">
        <v>208449</v>
      </c>
      <c r="H597" s="3" t="str">
        <f>HYPERLINK("http://funmeta.oebiotech.com/network/208449", "http://funmeta.oebiotech.com/network/208449")</f>
      </c>
      <c r="I597" s="2" t="s">
        <v>19923</v>
      </c>
      <c r="J597" s="2"/>
      <c r="K597" s="2"/>
      <c r="L597" s="2"/>
      <c r="M597" s="2"/>
      <c r="N597" s="2" t="s">
        <v>19924</v>
      </c>
      <c r="O597" s="2"/>
      <c r="P597" s="2" t="s">
        <v>19925</v>
      </c>
      <c r="Q597" s="2" t="s">
        <v>19926</v>
      </c>
      <c r="R597" s="2" t="s">
        <v>2509</v>
      </c>
      <c r="S597" s="2" t="s">
        <v>8580</v>
      </c>
      <c r="T597" s="2" t="s">
        <v>205</v>
      </c>
      <c r="U597" s="2" t="s">
        <v>19920</v>
      </c>
      <c r="V597" s="2" t="s">
        <v>15722</v>
      </c>
      <c r="W597" s="2"/>
    </row>
    <row r="598">
      <c r="A598" s="2" t="n">
        <v>424</v>
      </c>
      <c r="B598" s="2" t="s">
        <v>13171</v>
      </c>
      <c r="C598" s="2" t="s">
        <v>19927</v>
      </c>
      <c r="D598" s="2" t="n">
        <v>769.176310976</v>
      </c>
      <c r="E598" s="2" t="n">
        <v>1.95998303492801</v>
      </c>
      <c r="F598" s="2" t="s">
        <v>23112</v>
      </c>
      <c r="G598" s="2" t="n">
        <v>55378</v>
      </c>
      <c r="H598" s="3" t="str">
        <f>HYPERLINK("http://funmeta.oebiotech.com/network/55378", "http://funmeta.oebiotech.com/network/55378")</f>
      </c>
      <c r="I598" s="2" t="s">
        <v>23113</v>
      </c>
      <c r="J598" s="2" t="s">
        <v>23114</v>
      </c>
      <c r="K598" s="2"/>
      <c r="L598" s="2"/>
      <c r="M598" s="2"/>
      <c r="N598" s="2" t="s">
        <v>23115</v>
      </c>
      <c r="O598" s="2" t="s">
        <v>23116</v>
      </c>
      <c r="P598" s="2" t="s">
        <v>23117</v>
      </c>
      <c r="Q598" s="2" t="s">
        <v>23118</v>
      </c>
      <c r="R598" s="2" t="s">
        <v>2509</v>
      </c>
      <c r="S598" s="2" t="s">
        <v>23119</v>
      </c>
      <c r="T598" s="2" t="s">
        <v>205</v>
      </c>
      <c r="U598" s="2" t="s">
        <v>19928</v>
      </c>
      <c r="V598" s="2" t="s">
        <v>15778</v>
      </c>
      <c r="W598" s="2"/>
    </row>
    <row r="599">
      <c r="A599" s="2" t="n">
        <v>424</v>
      </c>
      <c r="B599" s="2" t="s">
        <v>23120</v>
      </c>
      <c r="C599" s="2" t="s">
        <v>19927</v>
      </c>
      <c r="D599" s="2" t="n">
        <v>769.176310976</v>
      </c>
      <c r="E599" s="2" t="n">
        <v>1.95998303492801</v>
      </c>
      <c r="F599" s="2" t="s">
        <v>23121</v>
      </c>
      <c r="G599" s="2" t="n">
        <v>255074</v>
      </c>
      <c r="H599" s="3" t="str">
        <f>HYPERLINK("http://funmeta.oebiotech.com/network/255074", "http://funmeta.oebiotech.com/network/255074")</f>
      </c>
      <c r="I599" s="2" t="s">
        <v>23122</v>
      </c>
      <c r="J599" s="2"/>
      <c r="K599" s="2"/>
      <c r="L599" s="2"/>
      <c r="M599" s="2"/>
      <c r="N599" s="2" t="s">
        <v>23123</v>
      </c>
      <c r="O599" s="2"/>
      <c r="P599" s="2" t="s">
        <v>23124</v>
      </c>
      <c r="Q599" s="2" t="s">
        <v>23125</v>
      </c>
      <c r="R599" s="2" t="s">
        <v>502</v>
      </c>
      <c r="S599" s="2" t="s">
        <v>3913</v>
      </c>
      <c r="T599" s="2" t="s">
        <v>205</v>
      </c>
      <c r="U599" s="2" t="s">
        <v>19928</v>
      </c>
      <c r="V599" s="2" t="s">
        <v>15778</v>
      </c>
      <c r="W599" s="2"/>
    </row>
    <row r="600">
      <c r="A600" s="2" t="n">
        <v>425</v>
      </c>
      <c r="B600" s="2" t="s">
        <v>13172</v>
      </c>
      <c r="C600" s="2" t="s">
        <v>19938</v>
      </c>
      <c r="D600" s="2" t="n">
        <v>771.187146168</v>
      </c>
      <c r="E600" s="2" t="n">
        <v>1.62655128390034</v>
      </c>
      <c r="F600" s="2" t="s">
        <v>23126</v>
      </c>
      <c r="G600" s="2" t="n">
        <v>56455</v>
      </c>
      <c r="H600" s="3" t="str">
        <f>HYPERLINK("http://funmeta.oebiotech.com/network/56455", "http://funmeta.oebiotech.com/network/56455")</f>
      </c>
      <c r="I600" s="2" t="s">
        <v>23127</v>
      </c>
      <c r="J600" s="2"/>
      <c r="K600" s="2"/>
      <c r="L600" s="2"/>
      <c r="M600" s="2"/>
      <c r="N600" s="2" t="s">
        <v>23128</v>
      </c>
      <c r="O600" s="2"/>
      <c r="P600" s="2" t="s">
        <v>23129</v>
      </c>
      <c r="Q600" s="2" t="s">
        <v>23130</v>
      </c>
      <c r="R600" s="2" t="s">
        <v>2509</v>
      </c>
      <c r="S600" s="2" t="s">
        <v>5520</v>
      </c>
      <c r="T600" s="2" t="s">
        <v>5664</v>
      </c>
      <c r="U600" s="2" t="s">
        <v>19939</v>
      </c>
      <c r="V600" s="2" t="s">
        <v>15691</v>
      </c>
      <c r="W600" s="2"/>
    </row>
    <row r="601">
      <c r="A601" s="2" t="n">
        <v>425</v>
      </c>
      <c r="B601" s="2" t="s">
        <v>13182</v>
      </c>
      <c r="C601" s="2" t="s">
        <v>19938</v>
      </c>
      <c r="D601" s="2" t="n">
        <v>771.187146168</v>
      </c>
      <c r="E601" s="2" t="n">
        <v>1.62655128390034</v>
      </c>
      <c r="F601" s="2" t="s">
        <v>23131</v>
      </c>
      <c r="G601" s="2" t="n">
        <v>56449</v>
      </c>
      <c r="H601" s="3" t="str">
        <f>HYPERLINK("http://funmeta.oebiotech.com/network/56449", "http://funmeta.oebiotech.com/network/56449")</f>
      </c>
      <c r="I601" s="2" t="s">
        <v>23132</v>
      </c>
      <c r="J601" s="2"/>
      <c r="K601" s="2"/>
      <c r="L601" s="2"/>
      <c r="M601" s="2"/>
      <c r="N601" s="2" t="s">
        <v>23133</v>
      </c>
      <c r="O601" s="2"/>
      <c r="P601" s="2" t="s">
        <v>23134</v>
      </c>
      <c r="Q601" s="2" t="s">
        <v>23135</v>
      </c>
      <c r="R601" s="2" t="s">
        <v>2509</v>
      </c>
      <c r="S601" s="2" t="s">
        <v>5520</v>
      </c>
      <c r="T601" s="2" t="s">
        <v>5664</v>
      </c>
      <c r="U601" s="2" t="s">
        <v>19939</v>
      </c>
      <c r="V601" s="2" t="s">
        <v>15691</v>
      </c>
      <c r="W601" s="2"/>
    </row>
    <row r="602">
      <c r="A602" s="2" t="n">
        <v>426</v>
      </c>
      <c r="B602" s="2" t="s">
        <v>13196</v>
      </c>
      <c r="C602" s="2" t="s">
        <v>19946</v>
      </c>
      <c r="D602" s="2" t="n">
        <v>773.1582002</v>
      </c>
      <c r="E602" s="2" t="n">
        <v>1.29983801664225</v>
      </c>
      <c r="F602" s="2" t="s">
        <v>19948</v>
      </c>
      <c r="G602" s="2" t="n">
        <v>210684</v>
      </c>
      <c r="H602" s="3" t="str">
        <f>HYPERLINK("http://funmeta.oebiotech.com/network/210684", "http://funmeta.oebiotech.com/network/210684")</f>
      </c>
      <c r="I602" s="2" t="s">
        <v>19950</v>
      </c>
      <c r="J602" s="2"/>
      <c r="K602" s="2"/>
      <c r="L602" s="2"/>
      <c r="M602" s="2"/>
      <c r="N602" s="2"/>
      <c r="O602" s="2"/>
      <c r="P602" s="2" t="s">
        <v>19951</v>
      </c>
      <c r="Q602" s="2" t="s">
        <v>19952</v>
      </c>
      <c r="R602" s="2" t="s">
        <v>355</v>
      </c>
      <c r="S602" s="2" t="s">
        <v>3869</v>
      </c>
      <c r="T602" s="2" t="s">
        <v>19953</v>
      </c>
      <c r="U602" s="2" t="s">
        <v>19947</v>
      </c>
      <c r="V602" s="2" t="s">
        <v>16225</v>
      </c>
      <c r="W602" s="2"/>
    </row>
    <row r="603">
      <c r="A603" s="2" t="n">
        <v>427</v>
      </c>
      <c r="B603" s="2" t="s">
        <v>13197</v>
      </c>
      <c r="C603" s="2" t="s">
        <v>19954</v>
      </c>
      <c r="D603" s="2" t="n">
        <v>773.411878874</v>
      </c>
      <c r="E603" s="2" t="n">
        <v>2.08979248885487</v>
      </c>
      <c r="F603" s="2" t="s">
        <v>19956</v>
      </c>
      <c r="G603" s="2" t="n">
        <v>211760</v>
      </c>
      <c r="H603" s="3" t="str">
        <f>HYPERLINK("http://funmeta.oebiotech.com/network/211760", "http://funmeta.oebiotech.com/network/211760")</f>
      </c>
      <c r="I603" s="2" t="s">
        <v>19958</v>
      </c>
      <c r="J603" s="2"/>
      <c r="K603" s="2"/>
      <c r="L603" s="2"/>
      <c r="M603" s="2"/>
      <c r="N603" s="2" t="s">
        <v>19959</v>
      </c>
      <c r="O603" s="2"/>
      <c r="P603" s="2" t="s">
        <v>19960</v>
      </c>
      <c r="Q603" s="2" t="s">
        <v>19961</v>
      </c>
      <c r="R603" s="2" t="s">
        <v>64</v>
      </c>
      <c r="S603" s="2" t="s">
        <v>65</v>
      </c>
      <c r="T603" s="2" t="s">
        <v>66</v>
      </c>
      <c r="U603" s="2" t="s">
        <v>19955</v>
      </c>
      <c r="V603" s="2" t="s">
        <v>15611</v>
      </c>
      <c r="W603" s="2"/>
    </row>
    <row r="604">
      <c r="A604" s="2" t="n">
        <v>428</v>
      </c>
      <c r="B604" s="2" t="s">
        <v>13198</v>
      </c>
      <c r="C604" s="2" t="s">
        <v>19962</v>
      </c>
      <c r="D604" s="2" t="n">
        <v>773.481031074</v>
      </c>
      <c r="E604" s="2" t="n">
        <v>3.94686996028502</v>
      </c>
      <c r="F604" s="2" t="s">
        <v>19964</v>
      </c>
      <c r="G604" s="2" t="n">
        <v>211144</v>
      </c>
      <c r="H604" s="3" t="str">
        <f>HYPERLINK("http://funmeta.oebiotech.com/network/211144", "http://funmeta.oebiotech.com/network/211144")</f>
      </c>
      <c r="I604" s="2" t="s">
        <v>19966</v>
      </c>
      <c r="J604" s="2"/>
      <c r="K604" s="2"/>
      <c r="L604" s="2"/>
      <c r="M604" s="2"/>
      <c r="N604" s="2" t="s">
        <v>19967</v>
      </c>
      <c r="O604" s="2"/>
      <c r="P604" s="2" t="s">
        <v>19968</v>
      </c>
      <c r="Q604" s="2" t="s">
        <v>19969</v>
      </c>
      <c r="R604" s="2" t="s">
        <v>1490</v>
      </c>
      <c r="S604" s="2" t="s">
        <v>4971</v>
      </c>
      <c r="T604" s="2" t="s">
        <v>5010</v>
      </c>
      <c r="U604" s="2" t="s">
        <v>19963</v>
      </c>
      <c r="V604" s="2" t="s">
        <v>15858</v>
      </c>
      <c r="W604" s="2"/>
    </row>
    <row r="605">
      <c r="A605" s="2" t="n">
        <v>429</v>
      </c>
      <c r="B605" s="2" t="s">
        <v>13199</v>
      </c>
      <c r="C605" s="2" t="s">
        <v>19970</v>
      </c>
      <c r="D605" s="2" t="n">
        <v>774.564934842</v>
      </c>
      <c r="E605" s="2" t="n">
        <v>4.95427504096015</v>
      </c>
      <c r="F605" s="2" t="s">
        <v>19972</v>
      </c>
      <c r="G605" s="2" t="n">
        <v>21298</v>
      </c>
      <c r="H605" s="3" t="str">
        <f>HYPERLINK("http://funmeta.oebiotech.com/network/21298", "http://funmeta.oebiotech.com/network/21298")</f>
      </c>
      <c r="I605" s="2" t="s">
        <v>19974</v>
      </c>
      <c r="J605" s="2" t="s">
        <v>19975</v>
      </c>
      <c r="K605" s="2" t="s">
        <v>19976</v>
      </c>
      <c r="L605" s="2"/>
      <c r="M605" s="2" t="s">
        <v>19977</v>
      </c>
      <c r="N605" s="2" t="s">
        <v>19978</v>
      </c>
      <c r="O605" s="2" t="s">
        <v>19979</v>
      </c>
      <c r="P605" s="2" t="s">
        <v>19980</v>
      </c>
      <c r="Q605" s="2" t="s">
        <v>19981</v>
      </c>
      <c r="R605" s="2" t="s">
        <v>1490</v>
      </c>
      <c r="S605" s="2" t="s">
        <v>4236</v>
      </c>
      <c r="T605" s="2" t="s">
        <v>8380</v>
      </c>
      <c r="U605" s="2" t="s">
        <v>19971</v>
      </c>
      <c r="V605" s="2" t="s">
        <v>15611</v>
      </c>
      <c r="W605" s="2"/>
    </row>
    <row r="606">
      <c r="A606" s="2" t="n">
        <v>430</v>
      </c>
      <c r="B606" s="2" t="s">
        <v>13200</v>
      </c>
      <c r="C606" s="2" t="s">
        <v>19982</v>
      </c>
      <c r="D606" s="2" t="n">
        <v>781.550912798</v>
      </c>
      <c r="E606" s="2" t="n">
        <v>1.502422031595</v>
      </c>
      <c r="F606" s="2" t="s">
        <v>19984</v>
      </c>
      <c r="G606" s="2" t="n">
        <v>49075</v>
      </c>
      <c r="H606" s="3" t="str">
        <f>HYPERLINK("http://funmeta.oebiotech.com/network/49075", "http://funmeta.oebiotech.com/network/49075")</f>
      </c>
      <c r="I606" s="2" t="s">
        <v>19986</v>
      </c>
      <c r="J606" s="2" t="s">
        <v>19987</v>
      </c>
      <c r="K606" s="2"/>
      <c r="L606" s="2"/>
      <c r="M606" s="2"/>
      <c r="N606" s="2" t="s">
        <v>19988</v>
      </c>
      <c r="O606" s="2"/>
      <c r="P606" s="2" t="s">
        <v>19989</v>
      </c>
      <c r="Q606" s="2" t="s">
        <v>19990</v>
      </c>
      <c r="R606" s="2" t="s">
        <v>1490</v>
      </c>
      <c r="S606" s="2" t="s">
        <v>6728</v>
      </c>
      <c r="T606" s="2" t="s">
        <v>6729</v>
      </c>
      <c r="U606" s="2" t="s">
        <v>19983</v>
      </c>
      <c r="V606" s="2" t="s">
        <v>15722</v>
      </c>
      <c r="W606" s="2"/>
    </row>
    <row r="607">
      <c r="A607" s="2" t="n">
        <v>431</v>
      </c>
      <c r="B607" s="2" t="s">
        <v>13214</v>
      </c>
      <c r="C607" s="2" t="s">
        <v>19991</v>
      </c>
      <c r="D607" s="2" t="n">
        <v>782.567023117</v>
      </c>
      <c r="E607" s="2" t="n">
        <v>4.27918419361839</v>
      </c>
      <c r="F607" s="2" t="s">
        <v>19993</v>
      </c>
      <c r="G607" s="2" t="n">
        <v>18631</v>
      </c>
      <c r="H607" s="3" t="str">
        <f>HYPERLINK("http://funmeta.oebiotech.com/network/18631", "http://funmeta.oebiotech.com/network/18631")</f>
      </c>
      <c r="I607" s="2" t="s">
        <v>19995</v>
      </c>
      <c r="J607" s="2" t="s">
        <v>19996</v>
      </c>
      <c r="K607" s="2" t="s">
        <v>19997</v>
      </c>
      <c r="L607" s="2" t="s">
        <v>8608</v>
      </c>
      <c r="M607" s="2" t="s">
        <v>19998</v>
      </c>
      <c r="N607" s="2" t="s">
        <v>19999</v>
      </c>
      <c r="O607" s="2"/>
      <c r="P607" s="2" t="s">
        <v>20000</v>
      </c>
      <c r="Q607" s="2" t="s">
        <v>20001</v>
      </c>
      <c r="R607" s="2" t="s">
        <v>1490</v>
      </c>
      <c r="S607" s="2" t="s">
        <v>4236</v>
      </c>
      <c r="T607" s="2" t="s">
        <v>8613</v>
      </c>
      <c r="U607" s="2" t="s">
        <v>19992</v>
      </c>
      <c r="V607" s="2" t="s">
        <v>15858</v>
      </c>
      <c r="W607" s="2" t="s">
        <v>39</v>
      </c>
    </row>
    <row r="608">
      <c r="A608" s="2" t="n">
        <v>432</v>
      </c>
      <c r="B608" s="2" t="s">
        <v>13215</v>
      </c>
      <c r="C608" s="2" t="s">
        <v>20002</v>
      </c>
      <c r="D608" s="2" t="n">
        <v>783.067548388</v>
      </c>
      <c r="E608" s="2" t="n">
        <v>2.67210439915021</v>
      </c>
      <c r="F608" s="2" t="s">
        <v>20004</v>
      </c>
      <c r="G608" s="2" t="n">
        <v>55252</v>
      </c>
      <c r="H608" s="3" t="str">
        <f>HYPERLINK("http://funmeta.oebiotech.com/network/55252", "http://funmeta.oebiotech.com/network/55252")</f>
      </c>
      <c r="I608" s="2" t="s">
        <v>20006</v>
      </c>
      <c r="J608" s="2" t="s">
        <v>20007</v>
      </c>
      <c r="K608" s="2"/>
      <c r="L608" s="2"/>
      <c r="M608" s="2"/>
      <c r="N608" s="2" t="s">
        <v>20008</v>
      </c>
      <c r="O608" s="2" t="s">
        <v>20009</v>
      </c>
      <c r="P608" s="2" t="s">
        <v>20010</v>
      </c>
      <c r="Q608" s="2" t="s">
        <v>20011</v>
      </c>
      <c r="R608" s="2" t="s">
        <v>2509</v>
      </c>
      <c r="S608" s="2" t="s">
        <v>4949</v>
      </c>
      <c r="T608" s="2" t="s">
        <v>4950</v>
      </c>
      <c r="U608" s="2" t="s">
        <v>20003</v>
      </c>
      <c r="V608" s="2" t="s">
        <v>15649</v>
      </c>
      <c r="W608" s="2"/>
    </row>
    <row r="609">
      <c r="A609" s="2" t="n">
        <v>433</v>
      </c>
      <c r="B609" s="2" t="s">
        <v>13229</v>
      </c>
      <c r="C609" s="2" t="s">
        <v>20012</v>
      </c>
      <c r="D609" s="2" t="n">
        <v>783.191913656</v>
      </c>
      <c r="E609" s="2" t="n">
        <v>6.34828391983151</v>
      </c>
      <c r="F609" s="2" t="s">
        <v>20014</v>
      </c>
      <c r="G609" s="2" t="n">
        <v>207645</v>
      </c>
      <c r="H609" s="3" t="str">
        <f>HYPERLINK("http://funmeta.oebiotech.com/network/207645", "http://funmeta.oebiotech.com/network/207645")</f>
      </c>
      <c r="I609" s="2" t="s">
        <v>20016</v>
      </c>
      <c r="J609" s="2"/>
      <c r="K609" s="2"/>
      <c r="L609" s="2"/>
      <c r="M609" s="2" t="s">
        <v>20017</v>
      </c>
      <c r="N609" s="2" t="s">
        <v>20018</v>
      </c>
      <c r="O609" s="2"/>
      <c r="P609" s="2" t="s">
        <v>20019</v>
      </c>
      <c r="Q609" s="2" t="s">
        <v>20020</v>
      </c>
      <c r="R609" s="2" t="s">
        <v>502</v>
      </c>
      <c r="S609" s="2" t="s">
        <v>1467</v>
      </c>
      <c r="T609" s="2" t="s">
        <v>205</v>
      </c>
      <c r="U609" s="2" t="s">
        <v>20013</v>
      </c>
      <c r="V609" s="2" t="s">
        <v>16225</v>
      </c>
      <c r="W609" s="2"/>
    </row>
    <row r="610">
      <c r="A610" s="2" t="n">
        <v>434</v>
      </c>
      <c r="B610" s="2" t="s">
        <v>13230</v>
      </c>
      <c r="C610" s="2" t="s">
        <v>20021</v>
      </c>
      <c r="D610" s="2" t="n">
        <v>784.186980165</v>
      </c>
      <c r="E610" s="2" t="n">
        <v>1.86651095050286</v>
      </c>
      <c r="F610" s="2" t="s">
        <v>20023</v>
      </c>
      <c r="G610" s="2" t="n">
        <v>206278</v>
      </c>
      <c r="H610" s="3" t="str">
        <f>HYPERLINK("http://funmeta.oebiotech.com/network/206278", "http://funmeta.oebiotech.com/network/206278")</f>
      </c>
      <c r="I610" s="2" t="s">
        <v>20025</v>
      </c>
      <c r="J610" s="2"/>
      <c r="K610" s="2"/>
      <c r="L610" s="2"/>
      <c r="M610" s="2"/>
      <c r="N610" s="2" t="s">
        <v>20026</v>
      </c>
      <c r="O610" s="2"/>
      <c r="P610" s="2" t="s">
        <v>20027</v>
      </c>
      <c r="Q610" s="2" t="s">
        <v>20028</v>
      </c>
      <c r="R610" s="2" t="s">
        <v>49</v>
      </c>
      <c r="S610" s="2" t="s">
        <v>165</v>
      </c>
      <c r="T610" s="2" t="s">
        <v>166</v>
      </c>
      <c r="U610" s="2" t="s">
        <v>20022</v>
      </c>
      <c r="V610" s="2" t="s">
        <v>15919</v>
      </c>
      <c r="W610" s="2"/>
    </row>
    <row r="611">
      <c r="A611" s="2" t="n">
        <v>435</v>
      </c>
      <c r="B611" s="2" t="s">
        <v>13231</v>
      </c>
      <c r="C611" s="2" t="s">
        <v>20029</v>
      </c>
      <c r="D611" s="2" t="n">
        <v>784.582673181</v>
      </c>
      <c r="E611" s="2" t="n">
        <v>1.21616436208987</v>
      </c>
      <c r="F611" s="2" t="s">
        <v>20031</v>
      </c>
      <c r="G611" s="2" t="n">
        <v>18217</v>
      </c>
      <c r="H611" s="3" t="str">
        <f>HYPERLINK("http://funmeta.oebiotech.com/network/18217", "http://funmeta.oebiotech.com/network/18217")</f>
      </c>
      <c r="I611" s="2" t="s">
        <v>20033</v>
      </c>
      <c r="J611" s="2" t="s">
        <v>20034</v>
      </c>
      <c r="K611" s="2" t="s">
        <v>20035</v>
      </c>
      <c r="L611" s="2" t="s">
        <v>8608</v>
      </c>
      <c r="M611" s="2"/>
      <c r="N611" s="2" t="s">
        <v>20036</v>
      </c>
      <c r="O611" s="2"/>
      <c r="P611" s="2" t="s">
        <v>20037</v>
      </c>
      <c r="Q611" s="2" t="s">
        <v>20038</v>
      </c>
      <c r="R611" s="2" t="s">
        <v>1490</v>
      </c>
      <c r="S611" s="2" t="s">
        <v>4236</v>
      </c>
      <c r="T611" s="2" t="s">
        <v>8613</v>
      </c>
      <c r="U611" s="2" t="s">
        <v>20030</v>
      </c>
      <c r="V611" s="2" t="s">
        <v>15858</v>
      </c>
      <c r="W611" s="2" t="s">
        <v>39</v>
      </c>
    </row>
    <row r="612">
      <c r="A612" s="2" t="n">
        <v>436</v>
      </c>
      <c r="B612" s="2" t="s">
        <v>13232</v>
      </c>
      <c r="C612" s="2" t="s">
        <v>20039</v>
      </c>
      <c r="D612" s="2" t="n">
        <v>786.180136685</v>
      </c>
      <c r="E612" s="2" t="n">
        <v>2.1994132759392</v>
      </c>
      <c r="F612" s="2" t="s">
        <v>20041</v>
      </c>
      <c r="G612" s="2" t="n">
        <v>213195</v>
      </c>
      <c r="H612" s="3" t="str">
        <f>HYPERLINK("http://funmeta.oebiotech.com/network/213195", "http://funmeta.oebiotech.com/network/213195")</f>
      </c>
      <c r="I612" s="2" t="s">
        <v>20043</v>
      </c>
      <c r="J612" s="2"/>
      <c r="K612" s="2"/>
      <c r="L612" s="2"/>
      <c r="M612" s="2"/>
      <c r="N612" s="2"/>
      <c r="O612" s="2"/>
      <c r="P612" s="2" t="s">
        <v>20044</v>
      </c>
      <c r="Q612" s="2" t="s">
        <v>20045</v>
      </c>
      <c r="R612" s="2" t="s">
        <v>502</v>
      </c>
      <c r="S612" s="2" t="s">
        <v>503</v>
      </c>
      <c r="T612" s="2" t="s">
        <v>20046</v>
      </c>
      <c r="U612" s="2" t="s">
        <v>20040</v>
      </c>
      <c r="V612" s="2" t="s">
        <v>15722</v>
      </c>
      <c r="W612" s="2"/>
    </row>
    <row r="613">
      <c r="A613" s="2" t="n">
        <v>437</v>
      </c>
      <c r="B613" s="2" t="s">
        <v>13257</v>
      </c>
      <c r="C613" s="2" t="s">
        <v>20047</v>
      </c>
      <c r="D613" s="2" t="n">
        <v>787.600119176</v>
      </c>
      <c r="E613" s="2" t="n">
        <v>5.28637118431255</v>
      </c>
      <c r="F613" s="2" t="s">
        <v>23136</v>
      </c>
      <c r="G613" s="2" t="n">
        <v>63105</v>
      </c>
      <c r="H613" s="3" t="str">
        <f>HYPERLINK("http://funmeta.oebiotech.com/network/63105", "http://funmeta.oebiotech.com/network/63105")</f>
      </c>
      <c r="I613" s="2" t="s">
        <v>23137</v>
      </c>
      <c r="J613" s="2" t="s">
        <v>23138</v>
      </c>
      <c r="K613" s="2"/>
      <c r="L613" s="2"/>
      <c r="M613" s="2"/>
      <c r="N613" s="2" t="s">
        <v>23139</v>
      </c>
      <c r="O613" s="2"/>
      <c r="P613" s="2" t="s">
        <v>23140</v>
      </c>
      <c r="Q613" s="2" t="s">
        <v>23141</v>
      </c>
      <c r="R613" s="2" t="s">
        <v>502</v>
      </c>
      <c r="S613" s="2" t="s">
        <v>2369</v>
      </c>
      <c r="T613" s="2" t="s">
        <v>10402</v>
      </c>
      <c r="U613" s="2" t="s">
        <v>20048</v>
      </c>
      <c r="V613" s="2" t="s">
        <v>16225</v>
      </c>
      <c r="W613" s="2"/>
    </row>
    <row r="614">
      <c r="A614" s="2" t="n">
        <v>437</v>
      </c>
      <c r="B614" s="2" t="s">
        <v>13265</v>
      </c>
      <c r="C614" s="2" t="s">
        <v>20047</v>
      </c>
      <c r="D614" s="2" t="n">
        <v>787.600119176</v>
      </c>
      <c r="E614" s="2" t="n">
        <v>5.28637118431255</v>
      </c>
      <c r="F614" s="2" t="s">
        <v>23142</v>
      </c>
      <c r="G614" s="2" t="n">
        <v>63106</v>
      </c>
      <c r="H614" s="3" t="str">
        <f>HYPERLINK("http://funmeta.oebiotech.com/network/63106", "http://funmeta.oebiotech.com/network/63106")</f>
      </c>
      <c r="I614" s="2" t="s">
        <v>23143</v>
      </c>
      <c r="J614" s="2" t="s">
        <v>23144</v>
      </c>
      <c r="K614" s="2"/>
      <c r="L614" s="2"/>
      <c r="M614" s="2"/>
      <c r="N614" s="2" t="s">
        <v>23145</v>
      </c>
      <c r="O614" s="2" t="s">
        <v>23146</v>
      </c>
      <c r="P614" s="2" t="s">
        <v>23147</v>
      </c>
      <c r="Q614" s="2" t="s">
        <v>23148</v>
      </c>
      <c r="R614" s="2" t="s">
        <v>502</v>
      </c>
      <c r="S614" s="2" t="s">
        <v>2369</v>
      </c>
      <c r="T614" s="2" t="s">
        <v>10402</v>
      </c>
      <c r="U614" s="2" t="s">
        <v>20048</v>
      </c>
      <c r="V614" s="2" t="s">
        <v>16225</v>
      </c>
      <c r="W614" s="2"/>
    </row>
    <row r="615">
      <c r="A615" s="2" t="n">
        <v>437</v>
      </c>
      <c r="B615" s="2" t="s">
        <v>23149</v>
      </c>
      <c r="C615" s="2" t="s">
        <v>20047</v>
      </c>
      <c r="D615" s="2" t="n">
        <v>787.600119176</v>
      </c>
      <c r="E615" s="2" t="n">
        <v>5.28637118431255</v>
      </c>
      <c r="F615" s="2" t="s">
        <v>23150</v>
      </c>
      <c r="G615" s="2" t="n">
        <v>56164</v>
      </c>
      <c r="H615" s="3" t="str">
        <f>HYPERLINK("http://funmeta.oebiotech.com/network/56164", "http://funmeta.oebiotech.com/network/56164")</f>
      </c>
      <c r="I615" s="2" t="s">
        <v>23151</v>
      </c>
      <c r="J615" s="2" t="s">
        <v>23152</v>
      </c>
      <c r="K615" s="2"/>
      <c r="L615" s="2"/>
      <c r="M615" s="2" t="s">
        <v>23153</v>
      </c>
      <c r="N615" s="2" t="s">
        <v>23154</v>
      </c>
      <c r="O615" s="2" t="s">
        <v>23155</v>
      </c>
      <c r="P615" s="2" t="s">
        <v>23156</v>
      </c>
      <c r="Q615" s="2" t="s">
        <v>23157</v>
      </c>
      <c r="R615" s="2" t="s">
        <v>502</v>
      </c>
      <c r="S615" s="2" t="s">
        <v>2369</v>
      </c>
      <c r="T615" s="2" t="s">
        <v>10402</v>
      </c>
      <c r="U615" s="2" t="s">
        <v>20048</v>
      </c>
      <c r="V615" s="2" t="s">
        <v>16225</v>
      </c>
      <c r="W615" s="2"/>
    </row>
    <row r="616">
      <c r="A616" s="2" t="n">
        <v>438</v>
      </c>
      <c r="B616" s="2" t="s">
        <v>13271</v>
      </c>
      <c r="C616" s="2" t="s">
        <v>20060</v>
      </c>
      <c r="D616" s="2" t="n">
        <v>789.077045066</v>
      </c>
      <c r="E616" s="2" t="n">
        <v>0.726813446805691</v>
      </c>
      <c r="F616" s="2" t="s">
        <v>20062</v>
      </c>
      <c r="G616" s="2" t="n">
        <v>210689</v>
      </c>
      <c r="H616" s="3" t="str">
        <f>HYPERLINK("http://funmeta.oebiotech.com/network/210689", "http://funmeta.oebiotech.com/network/210689")</f>
      </c>
      <c r="I616" s="2" t="s">
        <v>20064</v>
      </c>
      <c r="J616" s="2"/>
      <c r="K616" s="2"/>
      <c r="L616" s="2"/>
      <c r="M616" s="2"/>
      <c r="N616" s="2" t="s">
        <v>20065</v>
      </c>
      <c r="O616" s="2"/>
      <c r="P616" s="2" t="s">
        <v>20066</v>
      </c>
      <c r="Q616" s="2" t="s">
        <v>20067</v>
      </c>
      <c r="R616" s="2" t="s">
        <v>64</v>
      </c>
      <c r="S616" s="2" t="s">
        <v>65</v>
      </c>
      <c r="T616" s="2" t="s">
        <v>1214</v>
      </c>
      <c r="U616" s="2" t="s">
        <v>20061</v>
      </c>
      <c r="V616" s="2" t="s">
        <v>17922</v>
      </c>
      <c r="W616" s="2"/>
    </row>
    <row r="617">
      <c r="A617" s="2" t="n">
        <v>439</v>
      </c>
      <c r="B617" s="2" t="s">
        <v>13272</v>
      </c>
      <c r="C617" s="2" t="s">
        <v>20068</v>
      </c>
      <c r="D617" s="2" t="n">
        <v>790.559260778</v>
      </c>
      <c r="E617" s="2" t="n">
        <v>5.79080993423115</v>
      </c>
      <c r="F617" s="2" t="s">
        <v>20070</v>
      </c>
      <c r="G617" s="2" t="n">
        <v>21290</v>
      </c>
      <c r="H617" s="3" t="str">
        <f>HYPERLINK("http://funmeta.oebiotech.com/network/21290", "http://funmeta.oebiotech.com/network/21290")</f>
      </c>
      <c r="I617" s="2" t="s">
        <v>20072</v>
      </c>
      <c r="J617" s="2" t="s">
        <v>20073</v>
      </c>
      <c r="K617" s="2" t="s">
        <v>20074</v>
      </c>
      <c r="L617" s="2" t="s">
        <v>8986</v>
      </c>
      <c r="M617" s="2" t="s">
        <v>20075</v>
      </c>
      <c r="N617" s="2" t="s">
        <v>20076</v>
      </c>
      <c r="O617" s="2" t="s">
        <v>20077</v>
      </c>
      <c r="P617" s="2" t="s">
        <v>20078</v>
      </c>
      <c r="Q617" s="2" t="s">
        <v>20079</v>
      </c>
      <c r="R617" s="2" t="s">
        <v>1490</v>
      </c>
      <c r="S617" s="2" t="s">
        <v>4236</v>
      </c>
      <c r="T617" s="2" t="s">
        <v>8380</v>
      </c>
      <c r="U617" s="2" t="s">
        <v>20069</v>
      </c>
      <c r="V617" s="2" t="s">
        <v>15649</v>
      </c>
      <c r="W617" s="2" t="s">
        <v>39</v>
      </c>
    </row>
    <row r="618">
      <c r="A618" s="2" t="n">
        <v>440</v>
      </c>
      <c r="B618" s="2" t="s">
        <v>13289</v>
      </c>
      <c r="C618" s="2" t="s">
        <v>20080</v>
      </c>
      <c r="D618" s="2" t="n">
        <v>792.566784427</v>
      </c>
      <c r="E618" s="2" t="n">
        <v>1.95393301866195</v>
      </c>
      <c r="F618" s="2" t="s">
        <v>20082</v>
      </c>
      <c r="G618" s="2" t="n">
        <v>51251</v>
      </c>
      <c r="H618" s="3" t="str">
        <f>HYPERLINK("http://funmeta.oebiotech.com/network/51251", "http://funmeta.oebiotech.com/network/51251")</f>
      </c>
      <c r="I618" s="2" t="s">
        <v>20084</v>
      </c>
      <c r="J618" s="2"/>
      <c r="K618" s="2"/>
      <c r="L618" s="2"/>
      <c r="M618" s="2"/>
      <c r="N618" s="2" t="s">
        <v>20085</v>
      </c>
      <c r="O618" s="2"/>
      <c r="P618" s="2" t="s">
        <v>20086</v>
      </c>
      <c r="Q618" s="2" t="s">
        <v>20087</v>
      </c>
      <c r="R618" s="2" t="s">
        <v>1490</v>
      </c>
      <c r="S618" s="2" t="s">
        <v>4236</v>
      </c>
      <c r="T618" s="2" t="s">
        <v>8613</v>
      </c>
      <c r="U618" s="2" t="s">
        <v>20081</v>
      </c>
      <c r="V618" s="2" t="s">
        <v>15919</v>
      </c>
      <c r="W618" s="2"/>
    </row>
    <row r="619">
      <c r="A619" s="2" t="n">
        <v>441</v>
      </c>
      <c r="B619" s="2" t="s">
        <v>13290</v>
      </c>
      <c r="C619" s="2" t="s">
        <v>20088</v>
      </c>
      <c r="D619" s="2" t="n">
        <v>793.549146238</v>
      </c>
      <c r="E619" s="2" t="n">
        <v>5.15311264248977</v>
      </c>
      <c r="F619" s="2" t="s">
        <v>20090</v>
      </c>
      <c r="G619" s="2" t="n">
        <v>8649</v>
      </c>
      <c r="H619" s="3" t="str">
        <f>HYPERLINK("http://funmeta.oebiotech.com/network/8649", "http://funmeta.oebiotech.com/network/8649")</f>
      </c>
      <c r="I619" s="2" t="s">
        <v>20092</v>
      </c>
      <c r="J619" s="2" t="s">
        <v>20093</v>
      </c>
      <c r="K619" s="2" t="s">
        <v>20094</v>
      </c>
      <c r="L619" s="2"/>
      <c r="M619" s="2" t="s">
        <v>20095</v>
      </c>
      <c r="N619" s="2" t="s">
        <v>20096</v>
      </c>
      <c r="O619" s="2" t="s">
        <v>20097</v>
      </c>
      <c r="P619" s="2" t="s">
        <v>20098</v>
      </c>
      <c r="Q619" s="2" t="s">
        <v>20099</v>
      </c>
      <c r="R619" s="2" t="s">
        <v>1490</v>
      </c>
      <c r="S619" s="2" t="s">
        <v>1491</v>
      </c>
      <c r="T619" s="2" t="s">
        <v>20100</v>
      </c>
      <c r="U619" s="2" t="s">
        <v>20089</v>
      </c>
      <c r="V619" s="2" t="s">
        <v>16225</v>
      </c>
      <c r="W619" s="2"/>
    </row>
    <row r="620">
      <c r="A620" s="2" t="n">
        <v>442</v>
      </c>
      <c r="B620" s="2" t="s">
        <v>13304</v>
      </c>
      <c r="C620" s="2" t="s">
        <v>20101</v>
      </c>
      <c r="D620" s="2" t="n">
        <v>795.072505798</v>
      </c>
      <c r="E620" s="2" t="n">
        <v>2.97528278470612</v>
      </c>
      <c r="F620" s="2" t="s">
        <v>20103</v>
      </c>
      <c r="G620" s="2" t="n">
        <v>206303</v>
      </c>
      <c r="H620" s="3" t="str">
        <f>HYPERLINK("http://funmeta.oebiotech.com/network/206303", "http://funmeta.oebiotech.com/network/206303")</f>
      </c>
      <c r="I620" s="2" t="s">
        <v>20105</v>
      </c>
      <c r="J620" s="2"/>
      <c r="K620" s="2"/>
      <c r="L620" s="2"/>
      <c r="M620" s="2"/>
      <c r="N620" s="2" t="s">
        <v>20106</v>
      </c>
      <c r="O620" s="2"/>
      <c r="P620" s="2" t="s">
        <v>20107</v>
      </c>
      <c r="Q620" s="2" t="s">
        <v>20108</v>
      </c>
      <c r="R620" s="2" t="s">
        <v>49</v>
      </c>
      <c r="S620" s="2" t="s">
        <v>165</v>
      </c>
      <c r="T620" s="2" t="s">
        <v>6223</v>
      </c>
      <c r="U620" s="2" t="s">
        <v>20102</v>
      </c>
      <c r="V620" s="2" t="s">
        <v>16225</v>
      </c>
      <c r="W620" s="2"/>
    </row>
    <row r="621">
      <c r="A621" s="2" t="n">
        <v>443</v>
      </c>
      <c r="B621" s="2" t="s">
        <v>13325</v>
      </c>
      <c r="C621" s="2" t="s">
        <v>20109</v>
      </c>
      <c r="D621" s="2" t="n">
        <v>795.517061132</v>
      </c>
      <c r="E621" s="2" t="n">
        <v>2.48747617796704</v>
      </c>
      <c r="F621" s="2" t="s">
        <v>20111</v>
      </c>
      <c r="G621" s="2" t="n">
        <v>22520</v>
      </c>
      <c r="H621" s="3" t="str">
        <f>HYPERLINK("http://funmeta.oebiotech.com/network/22520", "http://funmeta.oebiotech.com/network/22520")</f>
      </c>
      <c r="I621" s="2" t="s">
        <v>20113</v>
      </c>
      <c r="J621" s="2" t="s">
        <v>20114</v>
      </c>
      <c r="K621" s="2" t="s">
        <v>20115</v>
      </c>
      <c r="L621" s="2"/>
      <c r="M621" s="2" t="s">
        <v>20116</v>
      </c>
      <c r="N621" s="2" t="s">
        <v>20117</v>
      </c>
      <c r="O621" s="2"/>
      <c r="P621" s="2" t="s">
        <v>20118</v>
      </c>
      <c r="Q621" s="2" t="s">
        <v>20119</v>
      </c>
      <c r="R621" s="2" t="s">
        <v>1490</v>
      </c>
      <c r="S621" s="2" t="s">
        <v>4236</v>
      </c>
      <c r="T621" s="2" t="s">
        <v>8063</v>
      </c>
      <c r="U621" s="2" t="s">
        <v>20110</v>
      </c>
      <c r="V621" s="2" t="s">
        <v>15649</v>
      </c>
      <c r="W621" s="2"/>
    </row>
    <row r="622">
      <c r="A622" s="2" t="n">
        <v>444</v>
      </c>
      <c r="B622" s="2" t="s">
        <v>13326</v>
      </c>
      <c r="C622" s="2" t="s">
        <v>20120</v>
      </c>
      <c r="D622" s="2" t="n">
        <v>797.198652358</v>
      </c>
      <c r="E622" s="2" t="n">
        <v>1.54952419466007</v>
      </c>
      <c r="F622" s="2" t="s">
        <v>20122</v>
      </c>
      <c r="G622" s="2" t="n">
        <v>212772</v>
      </c>
      <c r="H622" s="3" t="str">
        <f>HYPERLINK("http://funmeta.oebiotech.com/network/212772", "http://funmeta.oebiotech.com/network/212772")</f>
      </c>
      <c r="I622" s="2" t="s">
        <v>20124</v>
      </c>
      <c r="J622" s="2" t="s">
        <v>20125</v>
      </c>
      <c r="K622" s="2"/>
      <c r="L622" s="2"/>
      <c r="M622" s="2"/>
      <c r="N622" s="2" t="s">
        <v>20126</v>
      </c>
      <c r="O622" s="2"/>
      <c r="P622" s="2" t="s">
        <v>20127</v>
      </c>
      <c r="Q622" s="2" t="s">
        <v>20128</v>
      </c>
      <c r="R622" s="2" t="s">
        <v>36</v>
      </c>
      <c r="S622" s="2" t="s">
        <v>37</v>
      </c>
      <c r="T622" s="2" t="s">
        <v>20129</v>
      </c>
      <c r="U622" s="2" t="s">
        <v>20121</v>
      </c>
      <c r="V622" s="2" t="s">
        <v>16225</v>
      </c>
      <c r="W622" s="2"/>
    </row>
    <row r="623">
      <c r="A623" s="2" t="n">
        <v>445</v>
      </c>
      <c r="B623" s="2" t="s">
        <v>13327</v>
      </c>
      <c r="C623" s="2" t="s">
        <v>20130</v>
      </c>
      <c r="D623" s="2" t="n">
        <v>805.124669336</v>
      </c>
      <c r="E623" s="2" t="n">
        <v>1.78930753410734</v>
      </c>
      <c r="F623" s="2" t="s">
        <v>20132</v>
      </c>
      <c r="G623" s="2" t="n">
        <v>58584</v>
      </c>
      <c r="H623" s="3" t="str">
        <f>HYPERLINK("http://funmeta.oebiotech.com/network/58584", "http://funmeta.oebiotech.com/network/58584")</f>
      </c>
      <c r="I623" s="2" t="s">
        <v>20134</v>
      </c>
      <c r="J623" s="2" t="s">
        <v>20135</v>
      </c>
      <c r="K623" s="2"/>
      <c r="L623" s="2"/>
      <c r="M623" s="2" t="s">
        <v>20136</v>
      </c>
      <c r="N623" s="2" t="s">
        <v>20137</v>
      </c>
      <c r="O623" s="2" t="s">
        <v>20138</v>
      </c>
      <c r="P623" s="2" t="s">
        <v>20139</v>
      </c>
      <c r="Q623" s="2" t="s">
        <v>20140</v>
      </c>
      <c r="R623" s="2" t="s">
        <v>2509</v>
      </c>
      <c r="S623" s="2" t="s">
        <v>4720</v>
      </c>
      <c r="T623" s="2" t="s">
        <v>4721</v>
      </c>
      <c r="U623" s="2" t="s">
        <v>20131</v>
      </c>
      <c r="V623" s="2" t="s">
        <v>15778</v>
      </c>
      <c r="W623" s="2"/>
    </row>
    <row r="624">
      <c r="A624" s="2" t="n">
        <v>446</v>
      </c>
      <c r="B624" s="2" t="s">
        <v>13342</v>
      </c>
      <c r="C624" s="2" t="s">
        <v>20141</v>
      </c>
      <c r="D624" s="2" t="n">
        <v>805.561295408</v>
      </c>
      <c r="E624" s="2" t="n">
        <v>5.78836314641277</v>
      </c>
      <c r="F624" s="2" t="s">
        <v>23158</v>
      </c>
      <c r="G624" s="2" t="n">
        <v>47081</v>
      </c>
      <c r="H624" s="3" t="str">
        <f>HYPERLINK("http://funmeta.oebiotech.com/network/47081", "http://funmeta.oebiotech.com/network/47081")</f>
      </c>
      <c r="I624" s="2" t="s">
        <v>23159</v>
      </c>
      <c r="J624" s="2" t="s">
        <v>23160</v>
      </c>
      <c r="K624" s="2"/>
      <c r="L624" s="2"/>
      <c r="M624" s="2" t="s">
        <v>23161</v>
      </c>
      <c r="N624" s="2" t="s">
        <v>23162</v>
      </c>
      <c r="O624" s="2" t="s">
        <v>23163</v>
      </c>
      <c r="P624" s="2" t="s">
        <v>23164</v>
      </c>
      <c r="Q624" s="2" t="s">
        <v>23165</v>
      </c>
      <c r="R624" s="2" t="s">
        <v>1490</v>
      </c>
      <c r="S624" s="2" t="s">
        <v>3546</v>
      </c>
      <c r="T624" s="2" t="s">
        <v>9677</v>
      </c>
      <c r="U624" s="2" t="s">
        <v>20142</v>
      </c>
      <c r="V624" s="2" t="s">
        <v>15778</v>
      </c>
      <c r="W624" s="2"/>
    </row>
    <row r="625">
      <c r="A625" s="2" t="n">
        <v>446</v>
      </c>
      <c r="B625" s="2" t="s">
        <v>23166</v>
      </c>
      <c r="C625" s="2" t="s">
        <v>20141</v>
      </c>
      <c r="D625" s="2" t="n">
        <v>805.561295408</v>
      </c>
      <c r="E625" s="2" t="n">
        <v>5.78836314641277</v>
      </c>
      <c r="F625" s="2" t="s">
        <v>23167</v>
      </c>
      <c r="G625" s="2" t="n">
        <v>204246</v>
      </c>
      <c r="H625" s="3" t="str">
        <f>HYPERLINK("http://funmeta.oebiotech.com/network/204246", "http://funmeta.oebiotech.com/network/204246")</f>
      </c>
      <c r="I625" s="2" t="s">
        <v>23168</v>
      </c>
      <c r="J625" s="2"/>
      <c r="K625" s="2"/>
      <c r="L625" s="2"/>
      <c r="M625" s="2"/>
      <c r="N625" s="2" t="s">
        <v>23169</v>
      </c>
      <c r="O625" s="2"/>
      <c r="P625" s="2" t="s">
        <v>23170</v>
      </c>
      <c r="Q625" s="2" t="s">
        <v>23171</v>
      </c>
      <c r="R625" s="2" t="s">
        <v>1490</v>
      </c>
      <c r="S625" s="2" t="s">
        <v>3546</v>
      </c>
      <c r="T625" s="2" t="s">
        <v>14544</v>
      </c>
      <c r="U625" s="2" t="s">
        <v>20142</v>
      </c>
      <c r="V625" s="2" t="s">
        <v>15778</v>
      </c>
      <c r="W625" s="2"/>
    </row>
    <row r="626">
      <c r="A626" s="2" t="n">
        <v>446</v>
      </c>
      <c r="B626" s="2" t="s">
        <v>23172</v>
      </c>
      <c r="C626" s="2" t="s">
        <v>20141</v>
      </c>
      <c r="D626" s="2" t="n">
        <v>805.561295408</v>
      </c>
      <c r="E626" s="2" t="n">
        <v>5.78836314641277</v>
      </c>
      <c r="F626" s="2" t="s">
        <v>23173</v>
      </c>
      <c r="G626" s="2" t="n">
        <v>10444</v>
      </c>
      <c r="H626" s="3" t="str">
        <f>HYPERLINK("http://funmeta.oebiotech.com/network/10444", "http://funmeta.oebiotech.com/network/10444")</f>
      </c>
      <c r="I626" s="2" t="s">
        <v>23174</v>
      </c>
      <c r="J626" s="2" t="s">
        <v>23175</v>
      </c>
      <c r="K626" s="2" t="s">
        <v>23176</v>
      </c>
      <c r="L626" s="2"/>
      <c r="M626" s="2"/>
      <c r="N626" s="2" t="s">
        <v>23177</v>
      </c>
      <c r="O626" s="2"/>
      <c r="P626" s="2" t="s">
        <v>23178</v>
      </c>
      <c r="Q626" s="2" t="s">
        <v>23179</v>
      </c>
      <c r="R626" s="2" t="s">
        <v>1490</v>
      </c>
      <c r="S626" s="2" t="s">
        <v>6728</v>
      </c>
      <c r="T626" s="2" t="s">
        <v>21985</v>
      </c>
      <c r="U626" s="2" t="s">
        <v>20142</v>
      </c>
      <c r="V626" s="2" t="s">
        <v>15778</v>
      </c>
      <c r="W626" s="2"/>
    </row>
    <row r="627">
      <c r="A627" s="2" t="n">
        <v>447</v>
      </c>
      <c r="B627" s="2" t="s">
        <v>13343</v>
      </c>
      <c r="C627" s="2" t="s">
        <v>20155</v>
      </c>
      <c r="D627" s="2" t="n">
        <v>808.561698559</v>
      </c>
      <c r="E627" s="2" t="n">
        <v>9.30150113597131</v>
      </c>
      <c r="F627" s="2" t="s">
        <v>20157</v>
      </c>
      <c r="G627" s="2" t="n">
        <v>49611</v>
      </c>
      <c r="H627" s="3" t="str">
        <f>HYPERLINK("http://funmeta.oebiotech.com/network/49611", "http://funmeta.oebiotech.com/network/49611")</f>
      </c>
      <c r="I627" s="2" t="s">
        <v>20159</v>
      </c>
      <c r="J627" s="2" t="s">
        <v>20160</v>
      </c>
      <c r="K627" s="2"/>
      <c r="L627" s="2" t="s">
        <v>8608</v>
      </c>
      <c r="M627" s="2" t="s">
        <v>20161</v>
      </c>
      <c r="N627" s="2" t="s">
        <v>20162</v>
      </c>
      <c r="O627" s="2"/>
      <c r="P627" s="2" t="s">
        <v>20163</v>
      </c>
      <c r="Q627" s="2" t="s">
        <v>20164</v>
      </c>
      <c r="R627" s="2" t="s">
        <v>1490</v>
      </c>
      <c r="S627" s="2" t="s">
        <v>4236</v>
      </c>
      <c r="T627" s="2" t="s">
        <v>8613</v>
      </c>
      <c r="U627" s="2" t="s">
        <v>20156</v>
      </c>
      <c r="V627" s="2" t="s">
        <v>15919</v>
      </c>
      <c r="W627" s="2" t="s">
        <v>39</v>
      </c>
    </row>
    <row r="628">
      <c r="A628" s="2" t="n">
        <v>448</v>
      </c>
      <c r="B628" s="2" t="s">
        <v>13344</v>
      </c>
      <c r="C628" s="2" t="s">
        <v>20165</v>
      </c>
      <c r="D628" s="2" t="n">
        <v>809.450005726</v>
      </c>
      <c r="E628" s="2" t="n">
        <v>7.30224735632102</v>
      </c>
      <c r="F628" s="2" t="s">
        <v>20167</v>
      </c>
      <c r="G628" s="2" t="n">
        <v>61985</v>
      </c>
      <c r="H628" s="3" t="str">
        <f>HYPERLINK("http://funmeta.oebiotech.com/network/61985", "http://funmeta.oebiotech.com/network/61985")</f>
      </c>
      <c r="I628" s="2" t="s">
        <v>20169</v>
      </c>
      <c r="J628" s="2" t="s">
        <v>20170</v>
      </c>
      <c r="K628" s="2"/>
      <c r="L628" s="2"/>
      <c r="M628" s="2"/>
      <c r="N628" s="2" t="s">
        <v>20171</v>
      </c>
      <c r="O628" s="2" t="s">
        <v>20172</v>
      </c>
      <c r="P628" s="2" t="s">
        <v>20173</v>
      </c>
      <c r="Q628" s="2" t="s">
        <v>20174</v>
      </c>
      <c r="R628" s="2" t="s">
        <v>1490</v>
      </c>
      <c r="S628" s="2" t="s">
        <v>4971</v>
      </c>
      <c r="T628" s="2" t="s">
        <v>6636</v>
      </c>
      <c r="U628" s="2" t="s">
        <v>20166</v>
      </c>
      <c r="V628" s="2" t="s">
        <v>17922</v>
      </c>
      <c r="W628" s="2"/>
    </row>
    <row r="629">
      <c r="A629" s="2" t="n">
        <v>449</v>
      </c>
      <c r="B629" s="2" t="s">
        <v>13345</v>
      </c>
      <c r="C629" s="2" t="s">
        <v>20175</v>
      </c>
      <c r="D629" s="2" t="n">
        <v>809.569685388</v>
      </c>
      <c r="E629" s="2" t="n">
        <v>0.847614351266195</v>
      </c>
      <c r="F629" s="2" t="s">
        <v>20177</v>
      </c>
      <c r="G629" s="2" t="n">
        <v>23361</v>
      </c>
      <c r="H629" s="3" t="str">
        <f>HYPERLINK("http://funmeta.oebiotech.com/network/23361", "http://funmeta.oebiotech.com/network/23361")</f>
      </c>
      <c r="I629" s="2" t="s">
        <v>20179</v>
      </c>
      <c r="J629" s="2" t="s">
        <v>20180</v>
      </c>
      <c r="K629" s="2" t="s">
        <v>20181</v>
      </c>
      <c r="L629" s="2"/>
      <c r="M629" s="2" t="s">
        <v>20182</v>
      </c>
      <c r="N629" s="2" t="s">
        <v>20183</v>
      </c>
      <c r="O629" s="2"/>
      <c r="P629" s="2" t="s">
        <v>20184</v>
      </c>
      <c r="Q629" s="2" t="s">
        <v>20185</v>
      </c>
      <c r="R629" s="2" t="s">
        <v>1490</v>
      </c>
      <c r="S629" s="2" t="s">
        <v>4236</v>
      </c>
      <c r="T629" s="2" t="s">
        <v>8063</v>
      </c>
      <c r="U629" s="2" t="s">
        <v>20176</v>
      </c>
      <c r="V629" s="2" t="s">
        <v>15611</v>
      </c>
      <c r="W629" s="2"/>
    </row>
    <row r="630">
      <c r="A630" s="2" t="n">
        <v>450</v>
      </c>
      <c r="B630" s="2" t="s">
        <v>13346</v>
      </c>
      <c r="C630" s="2" t="s">
        <v>20186</v>
      </c>
      <c r="D630" s="2" t="n">
        <v>810.45536573</v>
      </c>
      <c r="E630" s="2" t="n">
        <v>4.29721577265932</v>
      </c>
      <c r="F630" s="2" t="s">
        <v>20188</v>
      </c>
      <c r="G630" s="2" t="n">
        <v>52715</v>
      </c>
      <c r="H630" s="3" t="str">
        <f>HYPERLINK("http://funmeta.oebiotech.com/network/52715", "http://funmeta.oebiotech.com/network/52715")</f>
      </c>
      <c r="I630" s="2" t="s">
        <v>20190</v>
      </c>
      <c r="J630" s="2" t="s">
        <v>20191</v>
      </c>
      <c r="K630" s="2"/>
      <c r="L630" s="2"/>
      <c r="M630" s="2"/>
      <c r="N630" s="2" t="s">
        <v>20192</v>
      </c>
      <c r="O630" s="2" t="s">
        <v>20193</v>
      </c>
      <c r="P630" s="2" t="s">
        <v>20194</v>
      </c>
      <c r="Q630" s="2" t="s">
        <v>20195</v>
      </c>
      <c r="R630" s="2" t="s">
        <v>2509</v>
      </c>
      <c r="S630" s="2" t="s">
        <v>20196</v>
      </c>
      <c r="T630" s="2" t="s">
        <v>205</v>
      </c>
      <c r="U630" s="2" t="s">
        <v>20187</v>
      </c>
      <c r="V630" s="2" t="s">
        <v>15649</v>
      </c>
      <c r="W630" s="2"/>
    </row>
    <row r="631">
      <c r="A631" s="2" t="n">
        <v>451</v>
      </c>
      <c r="B631" s="2" t="s">
        <v>13347</v>
      </c>
      <c r="C631" s="2" t="s">
        <v>20197</v>
      </c>
      <c r="D631" s="2" t="n">
        <v>812.520228158</v>
      </c>
      <c r="E631" s="2" t="n">
        <v>0.702245997985967</v>
      </c>
      <c r="F631" s="2" t="s">
        <v>20199</v>
      </c>
      <c r="G631" s="2" t="n">
        <v>239054</v>
      </c>
      <c r="H631" s="3" t="str">
        <f>HYPERLINK("http://funmeta.oebiotech.com/network/239054", "http://funmeta.oebiotech.com/network/239054")</f>
      </c>
      <c r="I631" s="2" t="s">
        <v>20201</v>
      </c>
      <c r="J631" s="2"/>
      <c r="K631" s="2"/>
      <c r="L631" s="2"/>
      <c r="M631" s="2"/>
      <c r="N631" s="2" t="s">
        <v>20202</v>
      </c>
      <c r="O631" s="2"/>
      <c r="P631" s="2" t="s">
        <v>20203</v>
      </c>
      <c r="Q631" s="2" t="s">
        <v>20204</v>
      </c>
      <c r="R631" s="2" t="s">
        <v>1490</v>
      </c>
      <c r="S631" s="2" t="s">
        <v>4236</v>
      </c>
      <c r="T631" s="2" t="s">
        <v>8613</v>
      </c>
      <c r="U631" s="2" t="s">
        <v>20198</v>
      </c>
      <c r="V631" s="2" t="s">
        <v>15919</v>
      </c>
      <c r="W631" s="2"/>
    </row>
    <row r="632">
      <c r="A632" s="2" t="n">
        <v>452</v>
      </c>
      <c r="B632" s="2" t="s">
        <v>13348</v>
      </c>
      <c r="C632" s="2" t="s">
        <v>20205</v>
      </c>
      <c r="D632" s="2" t="n">
        <v>813.49584581</v>
      </c>
      <c r="E632" s="2" t="n">
        <v>1.14196102879155</v>
      </c>
      <c r="F632" s="2" t="s">
        <v>20207</v>
      </c>
      <c r="G632" s="2" t="n">
        <v>47923</v>
      </c>
      <c r="H632" s="3" t="str">
        <f>HYPERLINK("http://funmeta.oebiotech.com/network/47923", "http://funmeta.oebiotech.com/network/47923")</f>
      </c>
      <c r="I632" s="2" t="s">
        <v>20209</v>
      </c>
      <c r="J632" s="2" t="s">
        <v>20210</v>
      </c>
      <c r="K632" s="2"/>
      <c r="L632" s="2" t="s">
        <v>20211</v>
      </c>
      <c r="M632" s="2"/>
      <c r="N632" s="2" t="s">
        <v>20212</v>
      </c>
      <c r="O632" s="2" t="s">
        <v>20213</v>
      </c>
      <c r="P632" s="2" t="s">
        <v>20214</v>
      </c>
      <c r="Q632" s="2" t="s">
        <v>20215</v>
      </c>
      <c r="R632" s="2" t="s">
        <v>1490</v>
      </c>
      <c r="S632" s="2" t="s">
        <v>4971</v>
      </c>
      <c r="T632" s="2" t="s">
        <v>9640</v>
      </c>
      <c r="U632" s="2" t="s">
        <v>20206</v>
      </c>
      <c r="V632" s="2" t="s">
        <v>15858</v>
      </c>
      <c r="W632" s="2" t="s">
        <v>39</v>
      </c>
    </row>
    <row r="633">
      <c r="A633" s="2" t="n">
        <v>453</v>
      </c>
      <c r="B633" s="2" t="s">
        <v>13349</v>
      </c>
      <c r="C633" s="2" t="s">
        <v>20216</v>
      </c>
      <c r="D633" s="2" t="n">
        <v>813.651999996</v>
      </c>
      <c r="E633" s="2" t="n">
        <v>4.9205287185788</v>
      </c>
      <c r="F633" s="2" t="s">
        <v>20218</v>
      </c>
      <c r="G633" s="2" t="n">
        <v>256627</v>
      </c>
      <c r="H633" s="3" t="str">
        <f>HYPERLINK("http://funmeta.oebiotech.com/network/256627", "http://funmeta.oebiotech.com/network/256627")</f>
      </c>
      <c r="I633" s="2" t="s">
        <v>20220</v>
      </c>
      <c r="J633" s="2"/>
      <c r="K633" s="2"/>
      <c r="L633" s="2"/>
      <c r="M633" s="2"/>
      <c r="N633" s="2"/>
      <c r="O633" s="2"/>
      <c r="P633" s="2" t="s">
        <v>20221</v>
      </c>
      <c r="Q633" s="2" t="s">
        <v>20222</v>
      </c>
      <c r="R633" s="2" t="s">
        <v>1490</v>
      </c>
      <c r="S633" s="2" t="s">
        <v>4971</v>
      </c>
      <c r="T633" s="2" t="s">
        <v>20223</v>
      </c>
      <c r="U633" s="2" t="s">
        <v>20217</v>
      </c>
      <c r="V633" s="2" t="s">
        <v>15858</v>
      </c>
      <c r="W633" s="2"/>
    </row>
    <row r="634">
      <c r="A634" s="2" t="n">
        <v>454</v>
      </c>
      <c r="B634" s="2" t="s">
        <v>13350</v>
      </c>
      <c r="C634" s="2" t="s">
        <v>20224</v>
      </c>
      <c r="D634" s="2" t="n">
        <v>815.1988902</v>
      </c>
      <c r="E634" s="2" t="n">
        <v>0.825065660432246</v>
      </c>
      <c r="F634" s="2" t="s">
        <v>20226</v>
      </c>
      <c r="G634" s="2" t="n">
        <v>212291</v>
      </c>
      <c r="H634" s="3" t="str">
        <f>HYPERLINK("http://funmeta.oebiotech.com/network/212291", "http://funmeta.oebiotech.com/network/212291")</f>
      </c>
      <c r="I634" s="2" t="s">
        <v>20228</v>
      </c>
      <c r="J634" s="2"/>
      <c r="K634" s="2"/>
      <c r="L634" s="2"/>
      <c r="M634" s="2"/>
      <c r="N634" s="2"/>
      <c r="O634" s="2"/>
      <c r="P634" s="2" t="s">
        <v>20229</v>
      </c>
      <c r="Q634" s="2" t="s">
        <v>20230</v>
      </c>
      <c r="R634" s="2" t="s">
        <v>502</v>
      </c>
      <c r="S634" s="2" t="s">
        <v>20231</v>
      </c>
      <c r="T634" s="2" t="s">
        <v>205</v>
      </c>
      <c r="U634" s="2" t="s">
        <v>20225</v>
      </c>
      <c r="V634" s="2" t="s">
        <v>15778</v>
      </c>
      <c r="W634" s="2"/>
    </row>
    <row r="635">
      <c r="A635" s="2" t="n">
        <v>455</v>
      </c>
      <c r="B635" s="2" t="s">
        <v>13351</v>
      </c>
      <c r="C635" s="2" t="s">
        <v>20232</v>
      </c>
      <c r="D635" s="2" t="n">
        <v>815.498764437</v>
      </c>
      <c r="E635" s="2" t="n">
        <v>2.42826257610167</v>
      </c>
      <c r="F635" s="2" t="s">
        <v>23180</v>
      </c>
      <c r="G635" s="2" t="n">
        <v>25484</v>
      </c>
      <c r="H635" s="3" t="str">
        <f>HYPERLINK("http://funmeta.oebiotech.com/network/25484", "http://funmeta.oebiotech.com/network/25484")</f>
      </c>
      <c r="I635" s="2" t="s">
        <v>23181</v>
      </c>
      <c r="J635" s="2" t="s">
        <v>23182</v>
      </c>
      <c r="K635" s="2" t="s">
        <v>23183</v>
      </c>
      <c r="L635" s="2"/>
      <c r="M635" s="2"/>
      <c r="N635" s="2" t="s">
        <v>23184</v>
      </c>
      <c r="O635" s="2"/>
      <c r="P635" s="2" t="s">
        <v>23185</v>
      </c>
      <c r="Q635" s="2" t="s">
        <v>23186</v>
      </c>
      <c r="R635" s="2" t="s">
        <v>1490</v>
      </c>
      <c r="S635" s="2" t="s">
        <v>4236</v>
      </c>
      <c r="T635" s="2" t="s">
        <v>5175</v>
      </c>
      <c r="U635" s="2" t="s">
        <v>20233</v>
      </c>
      <c r="V635" s="2" t="s">
        <v>15919</v>
      </c>
      <c r="W635" s="2"/>
    </row>
    <row r="636">
      <c r="A636" s="2" t="n">
        <v>455</v>
      </c>
      <c r="B636" s="2" t="s">
        <v>13357</v>
      </c>
      <c r="C636" s="2" t="s">
        <v>20232</v>
      </c>
      <c r="D636" s="2" t="n">
        <v>815.498764437</v>
      </c>
      <c r="E636" s="2" t="n">
        <v>2.42826257610167</v>
      </c>
      <c r="F636" s="2" t="s">
        <v>23187</v>
      </c>
      <c r="G636" s="2" t="n">
        <v>25759</v>
      </c>
      <c r="H636" s="3" t="str">
        <f>HYPERLINK("http://funmeta.oebiotech.com/network/25759", "http://funmeta.oebiotech.com/network/25759")</f>
      </c>
      <c r="I636" s="2" t="s">
        <v>23188</v>
      </c>
      <c r="J636" s="2" t="s">
        <v>23189</v>
      </c>
      <c r="K636" s="2" t="s">
        <v>23190</v>
      </c>
      <c r="L636" s="2"/>
      <c r="M636" s="2"/>
      <c r="N636" s="2" t="s">
        <v>23191</v>
      </c>
      <c r="O636" s="2"/>
      <c r="P636" s="2" t="s">
        <v>23192</v>
      </c>
      <c r="Q636" s="2" t="s">
        <v>23193</v>
      </c>
      <c r="R636" s="2" t="s">
        <v>1490</v>
      </c>
      <c r="S636" s="2" t="s">
        <v>4236</v>
      </c>
      <c r="T636" s="2" t="s">
        <v>5175</v>
      </c>
      <c r="U636" s="2" t="s">
        <v>20233</v>
      </c>
      <c r="V636" s="2" t="s">
        <v>15919</v>
      </c>
      <c r="W636" s="2"/>
    </row>
    <row r="637">
      <c r="A637" s="2" t="n">
        <v>456</v>
      </c>
      <c r="B637" s="2" t="s">
        <v>13370</v>
      </c>
      <c r="C637" s="2" t="s">
        <v>20242</v>
      </c>
      <c r="D637" s="2" t="n">
        <v>817.194708572</v>
      </c>
      <c r="E637" s="2" t="n">
        <v>4.13375109687223</v>
      </c>
      <c r="F637" s="2" t="s">
        <v>20244</v>
      </c>
      <c r="G637" s="2" t="n">
        <v>212151</v>
      </c>
      <c r="H637" s="3" t="str">
        <f>HYPERLINK("http://funmeta.oebiotech.com/network/212151", "http://funmeta.oebiotech.com/network/212151")</f>
      </c>
      <c r="I637" s="2" t="s">
        <v>20246</v>
      </c>
      <c r="J637" s="2"/>
      <c r="K637" s="2"/>
      <c r="L637" s="2"/>
      <c r="M637" s="2"/>
      <c r="N637" s="2" t="s">
        <v>20247</v>
      </c>
      <c r="O637" s="2"/>
      <c r="P637" s="2" t="s">
        <v>20248</v>
      </c>
      <c r="Q637" s="2" t="s">
        <v>20249</v>
      </c>
      <c r="R637" s="2" t="s">
        <v>49</v>
      </c>
      <c r="S637" s="2" t="s">
        <v>165</v>
      </c>
      <c r="T637" s="2" t="s">
        <v>166</v>
      </c>
      <c r="U637" s="2" t="s">
        <v>20243</v>
      </c>
      <c r="V637" s="2" t="s">
        <v>16225</v>
      </c>
      <c r="W637" s="2"/>
    </row>
    <row r="638">
      <c r="A638" s="2" t="n">
        <v>457</v>
      </c>
      <c r="B638" s="2" t="s">
        <v>13371</v>
      </c>
      <c r="C638" s="2" t="s">
        <v>20250</v>
      </c>
      <c r="D638" s="2" t="n">
        <v>817.438808832</v>
      </c>
      <c r="E638" s="2" t="n">
        <v>5.44775150539699</v>
      </c>
      <c r="F638" s="2" t="s">
        <v>20252</v>
      </c>
      <c r="G638" s="2" t="n">
        <v>201086</v>
      </c>
      <c r="H638" s="3" t="str">
        <f>HYPERLINK("http://funmeta.oebiotech.com/network/201086", "http://funmeta.oebiotech.com/network/201086")</f>
      </c>
      <c r="I638" s="2" t="s">
        <v>20254</v>
      </c>
      <c r="J638" s="2"/>
      <c r="K638" s="2"/>
      <c r="L638" s="2"/>
      <c r="M638" s="2"/>
      <c r="N638" s="2" t="s">
        <v>20255</v>
      </c>
      <c r="O638" s="2"/>
      <c r="P638" s="2" t="s">
        <v>20256</v>
      </c>
      <c r="Q638" s="2" t="s">
        <v>20257</v>
      </c>
      <c r="R638" s="2" t="s">
        <v>2509</v>
      </c>
      <c r="S638" s="2" t="s">
        <v>8580</v>
      </c>
      <c r="T638" s="2" t="s">
        <v>205</v>
      </c>
      <c r="U638" s="2" t="s">
        <v>20251</v>
      </c>
      <c r="V638" s="2" t="s">
        <v>15611</v>
      </c>
      <c r="W638" s="2"/>
    </row>
    <row r="639">
      <c r="A639" s="2" t="n">
        <v>458</v>
      </c>
      <c r="B639" s="2" t="s">
        <v>13390</v>
      </c>
      <c r="C639" s="2" t="s">
        <v>20258</v>
      </c>
      <c r="D639" s="2" t="n">
        <v>817.523129602</v>
      </c>
      <c r="E639" s="2" t="n">
        <v>7.71541041317138</v>
      </c>
      <c r="F639" s="2" t="s">
        <v>20260</v>
      </c>
      <c r="G639" s="2" t="n">
        <v>24674</v>
      </c>
      <c r="H639" s="3" t="str">
        <f>HYPERLINK("http://funmeta.oebiotech.com/network/24674", "http://funmeta.oebiotech.com/network/24674")</f>
      </c>
      <c r="I639" s="2" t="s">
        <v>20262</v>
      </c>
      <c r="J639" s="2"/>
      <c r="K639" s="2" t="s">
        <v>20263</v>
      </c>
      <c r="L639" s="2"/>
      <c r="M639" s="2" t="s">
        <v>20264</v>
      </c>
      <c r="N639" s="2" t="s">
        <v>20265</v>
      </c>
      <c r="O639" s="2" t="s">
        <v>20266</v>
      </c>
      <c r="P639" s="2" t="s">
        <v>20267</v>
      </c>
      <c r="Q639" s="2" t="s">
        <v>20268</v>
      </c>
      <c r="R639" s="2" t="s">
        <v>1490</v>
      </c>
      <c r="S639" s="2" t="s">
        <v>4236</v>
      </c>
      <c r="T639" s="2" t="s">
        <v>4237</v>
      </c>
      <c r="U639" s="2" t="s">
        <v>20259</v>
      </c>
      <c r="V639" s="2" t="s">
        <v>15611</v>
      </c>
      <c r="W639" s="2"/>
    </row>
    <row r="640">
      <c r="A640" s="2" t="n">
        <v>459</v>
      </c>
      <c r="B640" s="2" t="s">
        <v>13411</v>
      </c>
      <c r="C640" s="2" t="s">
        <v>20269</v>
      </c>
      <c r="D640" s="2" t="n">
        <v>818.099340987</v>
      </c>
      <c r="E640" s="2" t="n">
        <v>7.69255855785331</v>
      </c>
      <c r="F640" s="2" t="s">
        <v>20271</v>
      </c>
      <c r="G640" s="2" t="n">
        <v>48097</v>
      </c>
      <c r="H640" s="3" t="str">
        <f>HYPERLINK("http://funmeta.oebiotech.com/network/48097", "http://funmeta.oebiotech.com/network/48097")</f>
      </c>
      <c r="I640" s="2" t="s">
        <v>20273</v>
      </c>
      <c r="J640" s="2"/>
      <c r="K640" s="2"/>
      <c r="L640" s="2" t="s">
        <v>20274</v>
      </c>
      <c r="M640" s="2" t="s">
        <v>20275</v>
      </c>
      <c r="N640" s="2" t="s">
        <v>20276</v>
      </c>
      <c r="O640" s="2" t="s">
        <v>20277</v>
      </c>
      <c r="P640" s="2" t="s">
        <v>20278</v>
      </c>
      <c r="Q640" s="2" t="s">
        <v>20279</v>
      </c>
      <c r="R640" s="2" t="s">
        <v>2590</v>
      </c>
      <c r="S640" s="2" t="s">
        <v>6120</v>
      </c>
      <c r="T640" s="2" t="s">
        <v>7366</v>
      </c>
      <c r="U640" s="2" t="s">
        <v>20270</v>
      </c>
      <c r="V640" s="2" t="s">
        <v>15858</v>
      </c>
      <c r="W640" s="2" t="s">
        <v>39</v>
      </c>
    </row>
    <row r="641">
      <c r="A641" s="2" t="n">
        <v>460</v>
      </c>
      <c r="B641" s="2" t="s">
        <v>13412</v>
      </c>
      <c r="C641" s="2" t="s">
        <v>20280</v>
      </c>
      <c r="D641" s="2" t="n">
        <v>818.509663474</v>
      </c>
      <c r="E641" s="2" t="n">
        <v>5.36561486555343</v>
      </c>
      <c r="F641" s="2" t="s">
        <v>23194</v>
      </c>
      <c r="G641" s="2" t="n">
        <v>133159</v>
      </c>
      <c r="H641" s="3" t="str">
        <f>HYPERLINK("http://funmeta.oebiotech.com/network/133159", "http://funmeta.oebiotech.com/network/133159")</f>
      </c>
      <c r="I641" s="2" t="s">
        <v>23195</v>
      </c>
      <c r="J641" s="2"/>
      <c r="K641" s="2"/>
      <c r="L641" s="2"/>
      <c r="M641" s="2"/>
      <c r="N641" s="2" t="s">
        <v>23196</v>
      </c>
      <c r="O641" s="2"/>
      <c r="P641" s="2" t="s">
        <v>23197</v>
      </c>
      <c r="Q641" s="2" t="s">
        <v>23198</v>
      </c>
      <c r="R641" s="2" t="s">
        <v>1490</v>
      </c>
      <c r="S641" s="2" t="s">
        <v>4236</v>
      </c>
      <c r="T641" s="2" t="s">
        <v>5369</v>
      </c>
      <c r="U641" s="2" t="s">
        <v>20281</v>
      </c>
      <c r="V641" s="2" t="s">
        <v>15919</v>
      </c>
      <c r="W641" s="2"/>
    </row>
    <row r="642">
      <c r="A642" s="2" t="n">
        <v>460</v>
      </c>
      <c r="B642" s="2" t="s">
        <v>23199</v>
      </c>
      <c r="C642" s="2" t="s">
        <v>20280</v>
      </c>
      <c r="D642" s="2" t="n">
        <v>818.509663474</v>
      </c>
      <c r="E642" s="2" t="n">
        <v>5.36561486555343</v>
      </c>
      <c r="F642" s="2" t="s">
        <v>23200</v>
      </c>
      <c r="G642" s="2" t="n">
        <v>134038</v>
      </c>
      <c r="H642" s="3" t="str">
        <f>HYPERLINK("http://funmeta.oebiotech.com/network/134038", "http://funmeta.oebiotech.com/network/134038")</f>
      </c>
      <c r="I642" s="2" t="s">
        <v>23201</v>
      </c>
      <c r="J642" s="2"/>
      <c r="K642" s="2"/>
      <c r="L642" s="2"/>
      <c r="M642" s="2"/>
      <c r="N642" s="2" t="s">
        <v>23202</v>
      </c>
      <c r="O642" s="2"/>
      <c r="P642" s="2" t="s">
        <v>23203</v>
      </c>
      <c r="Q642" s="2" t="s">
        <v>23204</v>
      </c>
      <c r="R642" s="2" t="s">
        <v>1490</v>
      </c>
      <c r="S642" s="2" t="s">
        <v>4236</v>
      </c>
      <c r="T642" s="2" t="s">
        <v>5369</v>
      </c>
      <c r="U642" s="2" t="s">
        <v>20281</v>
      </c>
      <c r="V642" s="2" t="s">
        <v>15919</v>
      </c>
      <c r="W642" s="2"/>
    </row>
    <row r="643">
      <c r="A643" s="2" t="n">
        <v>461</v>
      </c>
      <c r="B643" s="2" t="s">
        <v>13413</v>
      </c>
      <c r="C643" s="2" t="s">
        <v>20289</v>
      </c>
      <c r="D643" s="2" t="n">
        <v>819.52001928</v>
      </c>
      <c r="E643" s="2" t="n">
        <v>4.20103250135774</v>
      </c>
      <c r="F643" s="2" t="s">
        <v>20291</v>
      </c>
      <c r="G643" s="2" t="n">
        <v>54481</v>
      </c>
      <c r="H643" s="3" t="str">
        <f>HYPERLINK("http://funmeta.oebiotech.com/network/54481", "http://funmeta.oebiotech.com/network/54481")</f>
      </c>
      <c r="I643" s="2" t="s">
        <v>20293</v>
      </c>
      <c r="J643" s="2" t="s">
        <v>20294</v>
      </c>
      <c r="K643" s="2"/>
      <c r="L643" s="2"/>
      <c r="M643" s="2"/>
      <c r="N643" s="2" t="s">
        <v>20295</v>
      </c>
      <c r="O643" s="2" t="s">
        <v>20296</v>
      </c>
      <c r="P643" s="2" t="s">
        <v>20297</v>
      </c>
      <c r="Q643" s="2" t="s">
        <v>20298</v>
      </c>
      <c r="R643" s="2" t="s">
        <v>1490</v>
      </c>
      <c r="S643" s="2" t="s">
        <v>4971</v>
      </c>
      <c r="T643" s="2" t="s">
        <v>6983</v>
      </c>
      <c r="U643" s="2" t="s">
        <v>20290</v>
      </c>
      <c r="V643" s="2" t="s">
        <v>15611</v>
      </c>
      <c r="W643" s="2"/>
    </row>
    <row r="644">
      <c r="A644" s="2" t="n">
        <v>462</v>
      </c>
      <c r="B644" s="2" t="s">
        <v>13414</v>
      </c>
      <c r="C644" s="2" t="s">
        <v>20299</v>
      </c>
      <c r="D644" s="2" t="n">
        <v>820.522751367</v>
      </c>
      <c r="E644" s="2" t="n">
        <v>3.7269478975155</v>
      </c>
      <c r="F644" s="2" t="s">
        <v>20301</v>
      </c>
      <c r="G644" s="2" t="n">
        <v>50318</v>
      </c>
      <c r="H644" s="3" t="str">
        <f>HYPERLINK("http://funmeta.oebiotech.com/network/50318", "http://funmeta.oebiotech.com/network/50318")</f>
      </c>
      <c r="I644" s="2" t="s">
        <v>20303</v>
      </c>
      <c r="J644" s="2" t="s">
        <v>20304</v>
      </c>
      <c r="K644" s="2"/>
      <c r="L644" s="2" t="s">
        <v>7680</v>
      </c>
      <c r="M644" s="2"/>
      <c r="N644" s="2" t="s">
        <v>20305</v>
      </c>
      <c r="O644" s="2"/>
      <c r="P644" s="2" t="s">
        <v>20306</v>
      </c>
      <c r="Q644" s="2" t="s">
        <v>20307</v>
      </c>
      <c r="R644" s="2" t="s">
        <v>1490</v>
      </c>
      <c r="S644" s="2" t="s">
        <v>4236</v>
      </c>
      <c r="T644" s="2" t="s">
        <v>5369</v>
      </c>
      <c r="U644" s="2" t="s">
        <v>20300</v>
      </c>
      <c r="V644" s="2" t="s">
        <v>15691</v>
      </c>
      <c r="W644" s="2" t="s">
        <v>39</v>
      </c>
    </row>
    <row r="645">
      <c r="A645" s="2" t="n">
        <v>463</v>
      </c>
      <c r="B645" s="2" t="s">
        <v>13429</v>
      </c>
      <c r="C645" s="2" t="s">
        <v>20308</v>
      </c>
      <c r="D645" s="2" t="n">
        <v>822.540963117</v>
      </c>
      <c r="E645" s="2" t="n">
        <v>5.25118227313124</v>
      </c>
      <c r="F645" s="2" t="s">
        <v>20310</v>
      </c>
      <c r="G645" s="2" t="n">
        <v>18665</v>
      </c>
      <c r="H645" s="3" t="str">
        <f>HYPERLINK("http://funmeta.oebiotech.com/network/18665", "http://funmeta.oebiotech.com/network/18665")</f>
      </c>
      <c r="I645" s="2" t="s">
        <v>20312</v>
      </c>
      <c r="J645" s="2" t="s">
        <v>20313</v>
      </c>
      <c r="K645" s="2" t="s">
        <v>20314</v>
      </c>
      <c r="L645" s="2" t="s">
        <v>8608</v>
      </c>
      <c r="M645" s="2"/>
      <c r="N645" s="2" t="s">
        <v>20315</v>
      </c>
      <c r="O645" s="2"/>
      <c r="P645" s="2" t="s">
        <v>20316</v>
      </c>
      <c r="Q645" s="2" t="s">
        <v>20317</v>
      </c>
      <c r="R645" s="2" t="s">
        <v>1490</v>
      </c>
      <c r="S645" s="2" t="s">
        <v>4236</v>
      </c>
      <c r="T645" s="2" t="s">
        <v>8613</v>
      </c>
      <c r="U645" s="2" t="s">
        <v>20309</v>
      </c>
      <c r="V645" s="2" t="s">
        <v>15919</v>
      </c>
      <c r="W645" s="2" t="s">
        <v>39</v>
      </c>
    </row>
    <row r="646">
      <c r="A646" s="2" t="n">
        <v>464</v>
      </c>
      <c r="B646" s="2" t="s">
        <v>13430</v>
      </c>
      <c r="C646" s="2" t="s">
        <v>20318</v>
      </c>
      <c r="D646" s="2" t="n">
        <v>824.544159265</v>
      </c>
      <c r="E646" s="2" t="n">
        <v>3.66953805565842</v>
      </c>
      <c r="F646" s="2" t="s">
        <v>23205</v>
      </c>
      <c r="G646" s="2" t="n">
        <v>83032</v>
      </c>
      <c r="H646" s="3" t="str">
        <f>HYPERLINK("http://funmeta.oebiotech.com/network/83032", "http://funmeta.oebiotech.com/network/83032")</f>
      </c>
      <c r="I646" s="2" t="s">
        <v>23206</v>
      </c>
      <c r="J646" s="2"/>
      <c r="K646" s="2"/>
      <c r="L646" s="2"/>
      <c r="M646" s="2"/>
      <c r="N646" s="2"/>
      <c r="O646" s="2"/>
      <c r="P646" s="2" t="s">
        <v>23207</v>
      </c>
      <c r="Q646" s="2" t="s">
        <v>23208</v>
      </c>
      <c r="R646" s="2" t="s">
        <v>1490</v>
      </c>
      <c r="S646" s="2" t="s">
        <v>4236</v>
      </c>
      <c r="T646" s="2" t="s">
        <v>8613</v>
      </c>
      <c r="U646" s="2" t="s">
        <v>20319</v>
      </c>
      <c r="V646" s="2" t="s">
        <v>15624</v>
      </c>
      <c r="W646" s="2"/>
    </row>
    <row r="647">
      <c r="A647" s="2" t="n">
        <v>464</v>
      </c>
      <c r="B647" s="2" t="s">
        <v>23209</v>
      </c>
      <c r="C647" s="2" t="s">
        <v>20318</v>
      </c>
      <c r="D647" s="2" t="n">
        <v>824.544159265</v>
      </c>
      <c r="E647" s="2" t="n">
        <v>3.66953805565842</v>
      </c>
      <c r="F647" s="2" t="s">
        <v>23210</v>
      </c>
      <c r="G647" s="2" t="n">
        <v>83035</v>
      </c>
      <c r="H647" s="3" t="str">
        <f>HYPERLINK("http://funmeta.oebiotech.com/network/83035", "http://funmeta.oebiotech.com/network/83035")</f>
      </c>
      <c r="I647" s="2" t="s">
        <v>23211</v>
      </c>
      <c r="J647" s="2"/>
      <c r="K647" s="2"/>
      <c r="L647" s="2"/>
      <c r="M647" s="2"/>
      <c r="N647" s="2"/>
      <c r="O647" s="2"/>
      <c r="P647" s="2" t="s">
        <v>23212</v>
      </c>
      <c r="Q647" s="2" t="s">
        <v>23213</v>
      </c>
      <c r="R647" s="2" t="s">
        <v>1490</v>
      </c>
      <c r="S647" s="2" t="s">
        <v>4236</v>
      </c>
      <c r="T647" s="2" t="s">
        <v>8613</v>
      </c>
      <c r="U647" s="2" t="s">
        <v>20319</v>
      </c>
      <c r="V647" s="2" t="s">
        <v>15624</v>
      </c>
      <c r="W647" s="2"/>
    </row>
    <row r="648">
      <c r="A648" s="2" t="n">
        <v>464</v>
      </c>
      <c r="B648" s="2" t="s">
        <v>23214</v>
      </c>
      <c r="C648" s="2" t="s">
        <v>20318</v>
      </c>
      <c r="D648" s="2" t="n">
        <v>824.544159265</v>
      </c>
      <c r="E648" s="2" t="n">
        <v>3.66953805565842</v>
      </c>
      <c r="F648" s="2" t="s">
        <v>23215</v>
      </c>
      <c r="G648" s="2" t="n">
        <v>83048</v>
      </c>
      <c r="H648" s="3" t="str">
        <f>HYPERLINK("http://funmeta.oebiotech.com/network/83048", "http://funmeta.oebiotech.com/network/83048")</f>
      </c>
      <c r="I648" s="2" t="s">
        <v>23216</v>
      </c>
      <c r="J648" s="2"/>
      <c r="K648" s="2"/>
      <c r="L648" s="2"/>
      <c r="M648" s="2"/>
      <c r="N648" s="2"/>
      <c r="O648" s="2"/>
      <c r="P648" s="2" t="s">
        <v>23217</v>
      </c>
      <c r="Q648" s="2" t="s">
        <v>23218</v>
      </c>
      <c r="R648" s="2" t="s">
        <v>1490</v>
      </c>
      <c r="S648" s="2" t="s">
        <v>4236</v>
      </c>
      <c r="T648" s="2" t="s">
        <v>8613</v>
      </c>
      <c r="U648" s="2" t="s">
        <v>20319</v>
      </c>
      <c r="V648" s="2" t="s">
        <v>15624</v>
      </c>
      <c r="W648" s="2"/>
    </row>
    <row r="649">
      <c r="A649" s="2" t="n">
        <v>465</v>
      </c>
      <c r="B649" s="2" t="s">
        <v>13431</v>
      </c>
      <c r="C649" s="2" t="s">
        <v>20326</v>
      </c>
      <c r="D649" s="2" t="n">
        <v>825.564011324</v>
      </c>
      <c r="E649" s="2" t="n">
        <v>8.02179156840349</v>
      </c>
      <c r="F649" s="2" t="s">
        <v>20328</v>
      </c>
      <c r="G649" s="2" t="n">
        <v>51096</v>
      </c>
      <c r="H649" s="3" t="str">
        <f>HYPERLINK("http://funmeta.oebiotech.com/network/51096", "http://funmeta.oebiotech.com/network/51096")</f>
      </c>
      <c r="I649" s="2" t="s">
        <v>20330</v>
      </c>
      <c r="J649" s="2" t="s">
        <v>20331</v>
      </c>
      <c r="K649" s="2"/>
      <c r="L649" s="2"/>
      <c r="M649" s="2" t="s">
        <v>20332</v>
      </c>
      <c r="N649" s="2" t="s">
        <v>20333</v>
      </c>
      <c r="O649" s="2"/>
      <c r="P649" s="2" t="s">
        <v>20334</v>
      </c>
      <c r="Q649" s="2" t="s">
        <v>20335</v>
      </c>
      <c r="R649" s="2" t="s">
        <v>1490</v>
      </c>
      <c r="S649" s="2" t="s">
        <v>4236</v>
      </c>
      <c r="T649" s="2" t="s">
        <v>8063</v>
      </c>
      <c r="U649" s="2" t="s">
        <v>20327</v>
      </c>
      <c r="V649" s="2" t="s">
        <v>15649</v>
      </c>
      <c r="W649" s="2"/>
    </row>
    <row r="650">
      <c r="A650" s="2" t="n">
        <v>466</v>
      </c>
      <c r="B650" s="2" t="s">
        <v>13456</v>
      </c>
      <c r="C650" s="2" t="s">
        <v>20336</v>
      </c>
      <c r="D650" s="2" t="n">
        <v>830.99225941</v>
      </c>
      <c r="E650" s="2" t="n">
        <v>9.05243232665592</v>
      </c>
      <c r="F650" s="2" t="s">
        <v>20338</v>
      </c>
      <c r="G650" s="2" t="n">
        <v>56072</v>
      </c>
      <c r="H650" s="3" t="str">
        <f>HYPERLINK("http://funmeta.oebiotech.com/network/56072", "http://funmeta.oebiotech.com/network/56072")</f>
      </c>
      <c r="I650" s="2" t="s">
        <v>20340</v>
      </c>
      <c r="J650" s="2"/>
      <c r="K650" s="2"/>
      <c r="L650" s="2" t="s">
        <v>20341</v>
      </c>
      <c r="M650" s="2"/>
      <c r="N650" s="2" t="s">
        <v>20342</v>
      </c>
      <c r="O650" s="2" t="s">
        <v>20343</v>
      </c>
      <c r="P650" s="2" t="s">
        <v>20344</v>
      </c>
      <c r="Q650" s="2" t="s">
        <v>20345</v>
      </c>
      <c r="R650" s="2" t="s">
        <v>64</v>
      </c>
      <c r="S650" s="2" t="s">
        <v>65</v>
      </c>
      <c r="T650" s="2" t="s">
        <v>66</v>
      </c>
      <c r="U650" s="2" t="s">
        <v>20337</v>
      </c>
      <c r="V650" s="2" t="s">
        <v>16225</v>
      </c>
      <c r="W650" s="2" t="s">
        <v>39</v>
      </c>
    </row>
    <row r="651">
      <c r="A651" s="2" t="n">
        <v>467</v>
      </c>
      <c r="B651" s="2" t="s">
        <v>13457</v>
      </c>
      <c r="C651" s="2" t="s">
        <v>20346</v>
      </c>
      <c r="D651" s="2" t="n">
        <v>832.45254252</v>
      </c>
      <c r="E651" s="2" t="n">
        <v>9.1286955063088</v>
      </c>
      <c r="F651" s="2" t="s">
        <v>20348</v>
      </c>
      <c r="G651" s="2" t="n">
        <v>21421</v>
      </c>
      <c r="H651" s="3" t="str">
        <f>HYPERLINK("http://funmeta.oebiotech.com/network/21421", "http://funmeta.oebiotech.com/network/21421")</f>
      </c>
      <c r="I651" s="2" t="s">
        <v>20350</v>
      </c>
      <c r="J651" s="2" t="s">
        <v>20351</v>
      </c>
      <c r="K651" s="2" t="s">
        <v>20352</v>
      </c>
      <c r="L651" s="2"/>
      <c r="M651" s="2"/>
      <c r="N651" s="2" t="s">
        <v>20353</v>
      </c>
      <c r="O651" s="2"/>
      <c r="P651" s="2" t="s">
        <v>20354</v>
      </c>
      <c r="Q651" s="2" t="s">
        <v>20355</v>
      </c>
      <c r="R651" s="2" t="s">
        <v>1490</v>
      </c>
      <c r="S651" s="2" t="s">
        <v>4236</v>
      </c>
      <c r="T651" s="2" t="s">
        <v>8380</v>
      </c>
      <c r="U651" s="2" t="s">
        <v>20347</v>
      </c>
      <c r="V651" s="2" t="s">
        <v>15919</v>
      </c>
      <c r="W651" s="2"/>
    </row>
    <row r="652">
      <c r="A652" s="2" t="n">
        <v>468</v>
      </c>
      <c r="B652" s="2" t="s">
        <v>13458</v>
      </c>
      <c r="C652" s="2" t="s">
        <v>20356</v>
      </c>
      <c r="D652" s="2" t="n">
        <v>833.118611678</v>
      </c>
      <c r="E652" s="2" t="n">
        <v>3.30463734468128</v>
      </c>
      <c r="F652" s="2" t="s">
        <v>20358</v>
      </c>
      <c r="G652" s="2" t="n">
        <v>205898</v>
      </c>
      <c r="H652" s="3" t="str">
        <f>HYPERLINK("http://funmeta.oebiotech.com/network/205898", "http://funmeta.oebiotech.com/network/205898")</f>
      </c>
      <c r="I652" s="2" t="s">
        <v>20360</v>
      </c>
      <c r="J652" s="2" t="s">
        <v>20361</v>
      </c>
      <c r="K652" s="2"/>
      <c r="L652" s="2" t="s">
        <v>20362</v>
      </c>
      <c r="M652" s="2" t="s">
        <v>20363</v>
      </c>
      <c r="N652" s="2" t="s">
        <v>20364</v>
      </c>
      <c r="O652" s="2" t="s">
        <v>20365</v>
      </c>
      <c r="P652" s="2" t="s">
        <v>20366</v>
      </c>
      <c r="Q652" s="2" t="s">
        <v>20367</v>
      </c>
      <c r="R652" s="2" t="s">
        <v>502</v>
      </c>
      <c r="S652" s="2" t="s">
        <v>503</v>
      </c>
      <c r="T652" s="2" t="s">
        <v>3258</v>
      </c>
      <c r="U652" s="2" t="s">
        <v>20357</v>
      </c>
      <c r="V652" s="2" t="s">
        <v>17922</v>
      </c>
      <c r="W652" s="2" t="s">
        <v>39</v>
      </c>
    </row>
    <row r="653">
      <c r="A653" s="2" t="n">
        <v>469</v>
      </c>
      <c r="B653" s="2" t="s">
        <v>13473</v>
      </c>
      <c r="C653" s="2" t="s">
        <v>20368</v>
      </c>
      <c r="D653" s="2" t="n">
        <v>833.584469112</v>
      </c>
      <c r="E653" s="2" t="n">
        <v>0.837493994683914</v>
      </c>
      <c r="F653" s="2" t="s">
        <v>20370</v>
      </c>
      <c r="G653" s="2" t="n">
        <v>37427</v>
      </c>
      <c r="H653" s="3" t="str">
        <f>HYPERLINK("http://funmeta.oebiotech.com/network/37427", "http://funmeta.oebiotech.com/network/37427")</f>
      </c>
      <c r="I653" s="2" t="s">
        <v>20372</v>
      </c>
      <c r="J653" s="2" t="s">
        <v>20373</v>
      </c>
      <c r="K653" s="2" t="s">
        <v>20374</v>
      </c>
      <c r="L653" s="2" t="s">
        <v>20375</v>
      </c>
      <c r="M653" s="2" t="s">
        <v>20376</v>
      </c>
      <c r="N653" s="2" t="s">
        <v>20377</v>
      </c>
      <c r="O653" s="2" t="s">
        <v>20378</v>
      </c>
      <c r="P653" s="2" t="s">
        <v>20379</v>
      </c>
      <c r="Q653" s="2" t="s">
        <v>20380</v>
      </c>
      <c r="R653" s="2" t="s">
        <v>1490</v>
      </c>
      <c r="S653" s="2" t="s">
        <v>4971</v>
      </c>
      <c r="T653" s="2" t="s">
        <v>5979</v>
      </c>
      <c r="U653" s="2" t="s">
        <v>20369</v>
      </c>
      <c r="V653" s="2" t="s">
        <v>15919</v>
      </c>
      <c r="W653" s="2" t="s">
        <v>39</v>
      </c>
    </row>
    <row r="654">
      <c r="A654" s="2" t="n">
        <v>470</v>
      </c>
      <c r="B654" s="2" t="s">
        <v>13474</v>
      </c>
      <c r="C654" s="2" t="s">
        <v>20381</v>
      </c>
      <c r="D654" s="2" t="n">
        <v>834.584761696</v>
      </c>
      <c r="E654" s="2" t="n">
        <v>0.573431305863444</v>
      </c>
      <c r="F654" s="2" t="s">
        <v>20383</v>
      </c>
      <c r="G654" s="2" t="n">
        <v>204121</v>
      </c>
      <c r="H654" s="3" t="str">
        <f>HYPERLINK("http://funmeta.oebiotech.com/network/204121", "http://funmeta.oebiotech.com/network/204121")</f>
      </c>
      <c r="I654" s="2" t="s">
        <v>20385</v>
      </c>
      <c r="J654" s="2" t="s">
        <v>20386</v>
      </c>
      <c r="K654" s="2"/>
      <c r="L654" s="2" t="s">
        <v>20387</v>
      </c>
      <c r="M654" s="2" t="s">
        <v>20388</v>
      </c>
      <c r="N654" s="2" t="s">
        <v>20389</v>
      </c>
      <c r="O654" s="2" t="s">
        <v>20390</v>
      </c>
      <c r="P654" s="2" t="s">
        <v>20391</v>
      </c>
      <c r="Q654" s="2" t="s">
        <v>20392</v>
      </c>
      <c r="R654" s="2" t="s">
        <v>203</v>
      </c>
      <c r="S654" s="2" t="s">
        <v>599</v>
      </c>
      <c r="T654" s="2" t="s">
        <v>20393</v>
      </c>
      <c r="U654" s="2" t="s">
        <v>20382</v>
      </c>
      <c r="V654" s="2" t="s">
        <v>17922</v>
      </c>
      <c r="W654" s="2" t="s">
        <v>39</v>
      </c>
    </row>
    <row r="655">
      <c r="A655" s="2" t="n">
        <v>471</v>
      </c>
      <c r="B655" s="2" t="s">
        <v>13475</v>
      </c>
      <c r="C655" s="2" t="s">
        <v>20394</v>
      </c>
      <c r="D655" s="2" t="n">
        <v>836.522480861</v>
      </c>
      <c r="E655" s="2" t="n">
        <v>7.89326869695513</v>
      </c>
      <c r="F655" s="2" t="s">
        <v>20396</v>
      </c>
      <c r="G655" s="2" t="n">
        <v>19953</v>
      </c>
      <c r="H655" s="3" t="str">
        <f>HYPERLINK("http://funmeta.oebiotech.com/network/19953", "http://funmeta.oebiotech.com/network/19953")</f>
      </c>
      <c r="I655" s="2" t="s">
        <v>20398</v>
      </c>
      <c r="J655" s="2" t="s">
        <v>20399</v>
      </c>
      <c r="K655" s="2" t="s">
        <v>20400</v>
      </c>
      <c r="L655" s="2"/>
      <c r="M655" s="2" t="s">
        <v>20401</v>
      </c>
      <c r="N655" s="2" t="s">
        <v>20402</v>
      </c>
      <c r="O655" s="2"/>
      <c r="P655" s="2" t="s">
        <v>20403</v>
      </c>
      <c r="Q655" s="2" t="s">
        <v>20404</v>
      </c>
      <c r="R655" s="2" t="s">
        <v>1490</v>
      </c>
      <c r="S655" s="2" t="s">
        <v>4236</v>
      </c>
      <c r="T655" s="2" t="s">
        <v>5369</v>
      </c>
      <c r="U655" s="2" t="s">
        <v>20395</v>
      </c>
      <c r="V655" s="2" t="s">
        <v>15649</v>
      </c>
      <c r="W655" s="2"/>
    </row>
    <row r="656">
      <c r="A656" s="2" t="n">
        <v>472</v>
      </c>
      <c r="B656" s="2" t="s">
        <v>13476</v>
      </c>
      <c r="C656" s="2" t="s">
        <v>20405</v>
      </c>
      <c r="D656" s="2" t="n">
        <v>844.505885339</v>
      </c>
      <c r="E656" s="2" t="n">
        <v>6.63995783942303</v>
      </c>
      <c r="F656" s="2" t="s">
        <v>20407</v>
      </c>
      <c r="G656" s="2" t="n">
        <v>206483</v>
      </c>
      <c r="H656" s="3" t="str">
        <f>HYPERLINK("http://funmeta.oebiotech.com/network/206483", "http://funmeta.oebiotech.com/network/206483")</f>
      </c>
      <c r="I656" s="2" t="s">
        <v>20409</v>
      </c>
      <c r="J656" s="2"/>
      <c r="K656" s="2"/>
      <c r="L656" s="2"/>
      <c r="M656" s="2" t="s">
        <v>20410</v>
      </c>
      <c r="N656" s="2" t="s">
        <v>20411</v>
      </c>
      <c r="O656" s="2"/>
      <c r="P656" s="2" t="s">
        <v>20412</v>
      </c>
      <c r="Q656" s="2" t="s">
        <v>20413</v>
      </c>
      <c r="R656" s="2" t="s">
        <v>64</v>
      </c>
      <c r="S656" s="2" t="s">
        <v>65</v>
      </c>
      <c r="T656" s="2" t="s">
        <v>66</v>
      </c>
      <c r="U656" s="2" t="s">
        <v>20406</v>
      </c>
      <c r="V656" s="2" t="s">
        <v>15611</v>
      </c>
      <c r="W656" s="2"/>
    </row>
    <row r="657">
      <c r="A657" s="2" t="n">
        <v>473</v>
      </c>
      <c r="B657" s="2" t="s">
        <v>13477</v>
      </c>
      <c r="C657" s="2" t="s">
        <v>20414</v>
      </c>
      <c r="D657" s="2" t="n">
        <v>849.452486298</v>
      </c>
      <c r="E657" s="2" t="n">
        <v>7.7753520348613</v>
      </c>
      <c r="F657" s="2" t="s">
        <v>20416</v>
      </c>
      <c r="G657" s="2" t="n">
        <v>24924</v>
      </c>
      <c r="H657" s="3" t="str">
        <f>HYPERLINK("http://funmeta.oebiotech.com/network/24924", "http://funmeta.oebiotech.com/network/24924")</f>
      </c>
      <c r="I657" s="2" t="s">
        <v>20418</v>
      </c>
      <c r="J657" s="2" t="s">
        <v>20419</v>
      </c>
      <c r="K657" s="2" t="s">
        <v>20420</v>
      </c>
      <c r="L657" s="2"/>
      <c r="M657" s="2" t="s">
        <v>20421</v>
      </c>
      <c r="N657" s="2" t="s">
        <v>20422</v>
      </c>
      <c r="O657" s="2"/>
      <c r="P657" s="2" t="s">
        <v>20423</v>
      </c>
      <c r="Q657" s="2" t="s">
        <v>20424</v>
      </c>
      <c r="R657" s="2" t="s">
        <v>1490</v>
      </c>
      <c r="S657" s="2" t="s">
        <v>4236</v>
      </c>
      <c r="T657" s="2" t="s">
        <v>5175</v>
      </c>
      <c r="U657" s="2" t="s">
        <v>20415</v>
      </c>
      <c r="V657" s="2" t="s">
        <v>15778</v>
      </c>
      <c r="W657" s="2"/>
    </row>
    <row r="658">
      <c r="A658" s="2" t="n">
        <v>474</v>
      </c>
      <c r="B658" s="2" t="s">
        <v>13478</v>
      </c>
      <c r="C658" s="2" t="s">
        <v>20425</v>
      </c>
      <c r="D658" s="2" t="n">
        <v>853.121312854</v>
      </c>
      <c r="E658" s="2" t="n">
        <v>3.38021496407853</v>
      </c>
      <c r="F658" s="2" t="s">
        <v>20427</v>
      </c>
      <c r="G658" s="2" t="n">
        <v>256487</v>
      </c>
      <c r="H658" s="3" t="str">
        <f>HYPERLINK("http://funmeta.oebiotech.com/network/256487", "http://funmeta.oebiotech.com/network/256487")</f>
      </c>
      <c r="I658" s="2" t="s">
        <v>20429</v>
      </c>
      <c r="J658" s="2" t="s">
        <v>20430</v>
      </c>
      <c r="K658" s="2"/>
      <c r="L658" s="2" t="s">
        <v>20431</v>
      </c>
      <c r="M658" s="2" t="s">
        <v>20432</v>
      </c>
      <c r="N658" s="2" t="s">
        <v>20433</v>
      </c>
      <c r="O658" s="2" t="s">
        <v>20434</v>
      </c>
      <c r="P658" s="2" t="s">
        <v>20435</v>
      </c>
      <c r="Q658" s="2" t="s">
        <v>20436</v>
      </c>
      <c r="R658" s="2" t="s">
        <v>355</v>
      </c>
      <c r="S658" s="2" t="s">
        <v>4796</v>
      </c>
      <c r="T658" s="2" t="s">
        <v>4797</v>
      </c>
      <c r="U658" s="2" t="s">
        <v>20426</v>
      </c>
      <c r="V658" s="2" t="s">
        <v>17922</v>
      </c>
      <c r="W658" s="2" t="s">
        <v>39</v>
      </c>
    </row>
    <row r="659">
      <c r="A659" s="2" t="n">
        <v>475</v>
      </c>
      <c r="B659" s="2" t="s">
        <v>13507</v>
      </c>
      <c r="C659" s="2" t="s">
        <v>20437</v>
      </c>
      <c r="D659" s="2" t="n">
        <v>853.468732428</v>
      </c>
      <c r="E659" s="2" t="n">
        <v>8.52845148182591</v>
      </c>
      <c r="F659" s="2" t="s">
        <v>20439</v>
      </c>
      <c r="G659" s="2" t="n">
        <v>52843</v>
      </c>
      <c r="H659" s="3" t="str">
        <f>HYPERLINK("http://funmeta.oebiotech.com/network/52843", "http://funmeta.oebiotech.com/network/52843")</f>
      </c>
      <c r="I659" s="2" t="s">
        <v>20440</v>
      </c>
      <c r="J659" s="2" t="s">
        <v>20441</v>
      </c>
      <c r="K659" s="2"/>
      <c r="L659" s="2"/>
      <c r="M659" s="2" t="s">
        <v>20442</v>
      </c>
      <c r="N659" s="2" t="s">
        <v>20443</v>
      </c>
      <c r="O659" s="2" t="s">
        <v>20444</v>
      </c>
      <c r="P659" s="2" t="s">
        <v>20445</v>
      </c>
      <c r="Q659" s="2" t="s">
        <v>20446</v>
      </c>
      <c r="R659" s="2" t="s">
        <v>502</v>
      </c>
      <c r="S659" s="2" t="s">
        <v>503</v>
      </c>
      <c r="T659" s="2" t="s">
        <v>5166</v>
      </c>
      <c r="U659" s="2" t="s">
        <v>20438</v>
      </c>
      <c r="V659" s="2" t="s">
        <v>15778</v>
      </c>
      <c r="W659" s="2"/>
    </row>
    <row r="660">
      <c r="A660" s="2" t="n">
        <v>476</v>
      </c>
      <c r="B660" s="2" t="s">
        <v>13521</v>
      </c>
      <c r="C660" s="2" t="s">
        <v>20447</v>
      </c>
      <c r="D660" s="2" t="n">
        <v>855.145679526</v>
      </c>
      <c r="E660" s="2" t="n">
        <v>4.36040413031005</v>
      </c>
      <c r="F660" s="2" t="s">
        <v>20449</v>
      </c>
      <c r="G660" s="2" t="n">
        <v>206855</v>
      </c>
      <c r="H660" s="3" t="str">
        <f>HYPERLINK("http://funmeta.oebiotech.com/network/206855", "http://funmeta.oebiotech.com/network/206855")</f>
      </c>
      <c r="I660" s="2" t="s">
        <v>20451</v>
      </c>
      <c r="J660" s="2"/>
      <c r="K660" s="2"/>
      <c r="L660" s="2"/>
      <c r="M660" s="2"/>
      <c r="N660" s="2"/>
      <c r="O660" s="2"/>
      <c r="P660" s="2" t="s">
        <v>20452</v>
      </c>
      <c r="Q660" s="2" t="s">
        <v>20453</v>
      </c>
      <c r="R660" s="2" t="s">
        <v>355</v>
      </c>
      <c r="S660" s="2" t="s">
        <v>5537</v>
      </c>
      <c r="T660" s="2" t="s">
        <v>5538</v>
      </c>
      <c r="U660" s="2" t="s">
        <v>20448</v>
      </c>
      <c r="V660" s="2" t="s">
        <v>15778</v>
      </c>
      <c r="W660" s="2"/>
    </row>
    <row r="661">
      <c r="A661" s="2" t="n">
        <v>477</v>
      </c>
      <c r="B661" s="2" t="s">
        <v>13522</v>
      </c>
      <c r="C661" s="2" t="s">
        <v>20454</v>
      </c>
      <c r="D661" s="2" t="n">
        <v>861.138207808</v>
      </c>
      <c r="E661" s="2" t="n">
        <v>1.83141149393288</v>
      </c>
      <c r="F661" s="2" t="s">
        <v>20456</v>
      </c>
      <c r="G661" s="2" t="n">
        <v>82073</v>
      </c>
      <c r="H661" s="3" t="str">
        <f>HYPERLINK("http://funmeta.oebiotech.com/network/82073", "http://funmeta.oebiotech.com/network/82073")</f>
      </c>
      <c r="I661" s="2" t="s">
        <v>20458</v>
      </c>
      <c r="J661" s="2" t="s">
        <v>20459</v>
      </c>
      <c r="K661" s="2"/>
      <c r="L661" s="2" t="s">
        <v>20460</v>
      </c>
      <c r="M661" s="2" t="s">
        <v>20461</v>
      </c>
      <c r="N661" s="2" t="s">
        <v>20462</v>
      </c>
      <c r="O661" s="2"/>
      <c r="P661" s="2" t="s">
        <v>20463</v>
      </c>
      <c r="Q661" s="2" t="s">
        <v>20464</v>
      </c>
      <c r="R661" s="2" t="s">
        <v>64</v>
      </c>
      <c r="S661" s="2" t="s">
        <v>65</v>
      </c>
      <c r="T661" s="2" t="s">
        <v>66</v>
      </c>
      <c r="U661" s="2" t="s">
        <v>20455</v>
      </c>
      <c r="V661" s="2" t="s">
        <v>15778</v>
      </c>
      <c r="W661" s="2" t="s">
        <v>39</v>
      </c>
    </row>
    <row r="662">
      <c r="A662" s="2" t="n">
        <v>478</v>
      </c>
      <c r="B662" s="2" t="s">
        <v>13523</v>
      </c>
      <c r="C662" s="2" t="s">
        <v>20465</v>
      </c>
      <c r="D662" s="2" t="n">
        <v>862.104581115</v>
      </c>
      <c r="E662" s="2" t="n">
        <v>6.65463148868608</v>
      </c>
      <c r="F662" s="2" t="s">
        <v>20467</v>
      </c>
      <c r="G662" s="2" t="n">
        <v>8162</v>
      </c>
      <c r="H662" s="3" t="str">
        <f>HYPERLINK("http://funmeta.oebiotech.com/network/8162", "http://funmeta.oebiotech.com/network/8162")</f>
      </c>
      <c r="I662" s="2" t="s">
        <v>20469</v>
      </c>
      <c r="J662" s="2"/>
      <c r="K662" s="2" t="s">
        <v>20470</v>
      </c>
      <c r="L662" s="2" t="s">
        <v>20471</v>
      </c>
      <c r="M662" s="2" t="s">
        <v>20472</v>
      </c>
      <c r="N662" s="2" t="s">
        <v>20473</v>
      </c>
      <c r="O662" s="2" t="s">
        <v>20474</v>
      </c>
      <c r="P662" s="2" t="s">
        <v>20475</v>
      </c>
      <c r="Q662" s="2" t="s">
        <v>20476</v>
      </c>
      <c r="R662" s="2" t="s">
        <v>1490</v>
      </c>
      <c r="S662" s="2" t="s">
        <v>1491</v>
      </c>
      <c r="T662" s="2" t="s">
        <v>9107</v>
      </c>
      <c r="U662" s="2" t="s">
        <v>20466</v>
      </c>
      <c r="V662" s="2" t="s">
        <v>15919</v>
      </c>
      <c r="W662" s="2" t="s">
        <v>39</v>
      </c>
    </row>
    <row r="663">
      <c r="A663" s="2" t="n">
        <v>479</v>
      </c>
      <c r="B663" s="2" t="s">
        <v>13524</v>
      </c>
      <c r="C663" s="2" t="s">
        <v>20477</v>
      </c>
      <c r="D663" s="2" t="n">
        <v>864.553781474</v>
      </c>
      <c r="E663" s="2" t="n">
        <v>5.06090106332412</v>
      </c>
      <c r="F663" s="2" t="s">
        <v>20479</v>
      </c>
      <c r="G663" s="2" t="n">
        <v>134704</v>
      </c>
      <c r="H663" s="3" t="str">
        <f>HYPERLINK("http://funmeta.oebiotech.com/network/134704", "http://funmeta.oebiotech.com/network/134704")</f>
      </c>
      <c r="I663" s="2" t="s">
        <v>20481</v>
      </c>
      <c r="J663" s="2"/>
      <c r="K663" s="2"/>
      <c r="L663" s="2"/>
      <c r="M663" s="2"/>
      <c r="N663" s="2" t="s">
        <v>20482</v>
      </c>
      <c r="O663" s="2"/>
      <c r="P663" s="2" t="s">
        <v>20483</v>
      </c>
      <c r="Q663" s="2" t="s">
        <v>20484</v>
      </c>
      <c r="R663" s="2" t="s">
        <v>1490</v>
      </c>
      <c r="S663" s="2" t="s">
        <v>4236</v>
      </c>
      <c r="T663" s="2" t="s">
        <v>5369</v>
      </c>
      <c r="U663" s="2" t="s">
        <v>20478</v>
      </c>
      <c r="V663" s="2" t="s">
        <v>15649</v>
      </c>
      <c r="W663" s="2"/>
    </row>
    <row r="664">
      <c r="A664" s="2" t="n">
        <v>480</v>
      </c>
      <c r="B664" s="2" t="s">
        <v>13525</v>
      </c>
      <c r="C664" s="2" t="s">
        <v>20485</v>
      </c>
      <c r="D664" s="2" t="n">
        <v>873.497075076</v>
      </c>
      <c r="E664" s="2" t="n">
        <v>4.35024724823433</v>
      </c>
      <c r="F664" s="2" t="s">
        <v>23219</v>
      </c>
      <c r="G664" s="2" t="n">
        <v>58596</v>
      </c>
      <c r="H664" s="3" t="str">
        <f>HYPERLINK("http://funmeta.oebiotech.com/network/58596", "http://funmeta.oebiotech.com/network/58596")</f>
      </c>
      <c r="I664" s="2" t="s">
        <v>23220</v>
      </c>
      <c r="J664" s="2"/>
      <c r="K664" s="2"/>
      <c r="L664" s="2"/>
      <c r="M664" s="2"/>
      <c r="N664" s="2" t="s">
        <v>23221</v>
      </c>
      <c r="O664" s="2" t="s">
        <v>23222</v>
      </c>
      <c r="P664" s="2" t="s">
        <v>23223</v>
      </c>
      <c r="Q664" s="2" t="s">
        <v>23224</v>
      </c>
      <c r="R664" s="2" t="s">
        <v>1490</v>
      </c>
      <c r="S664" s="2" t="s">
        <v>3546</v>
      </c>
      <c r="T664" s="2" t="s">
        <v>7355</v>
      </c>
      <c r="U664" s="2" t="s">
        <v>20486</v>
      </c>
      <c r="V664" s="2" t="s">
        <v>15858</v>
      </c>
      <c r="W664" s="2"/>
    </row>
    <row r="665">
      <c r="A665" s="2" t="n">
        <v>480</v>
      </c>
      <c r="B665" s="2" t="s">
        <v>23225</v>
      </c>
      <c r="C665" s="2" t="s">
        <v>20485</v>
      </c>
      <c r="D665" s="2" t="n">
        <v>873.497075076</v>
      </c>
      <c r="E665" s="2" t="n">
        <v>4.35024724823433</v>
      </c>
      <c r="F665" s="2" t="s">
        <v>23226</v>
      </c>
      <c r="G665" s="2" t="n">
        <v>59790</v>
      </c>
      <c r="H665" s="3" t="str">
        <f>HYPERLINK("http://funmeta.oebiotech.com/network/59790", "http://funmeta.oebiotech.com/network/59790")</f>
      </c>
      <c r="I665" s="2" t="s">
        <v>23227</v>
      </c>
      <c r="J665" s="2"/>
      <c r="K665" s="2"/>
      <c r="L665" s="2"/>
      <c r="M665" s="2"/>
      <c r="N665" s="2" t="s">
        <v>23228</v>
      </c>
      <c r="O665" s="2" t="s">
        <v>23229</v>
      </c>
      <c r="P665" s="2" t="s">
        <v>23230</v>
      </c>
      <c r="Q665" s="2" t="s">
        <v>23231</v>
      </c>
      <c r="R665" s="2" t="s">
        <v>1490</v>
      </c>
      <c r="S665" s="2" t="s">
        <v>3546</v>
      </c>
      <c r="T665" s="2" t="s">
        <v>7355</v>
      </c>
      <c r="U665" s="2" t="s">
        <v>20486</v>
      </c>
      <c r="V665" s="2" t="s">
        <v>15858</v>
      </c>
      <c r="W665" s="2"/>
    </row>
    <row r="666">
      <c r="A666" s="2" t="n">
        <v>481</v>
      </c>
      <c r="B666" s="2" t="s">
        <v>13526</v>
      </c>
      <c r="C666" s="2" t="s">
        <v>20495</v>
      </c>
      <c r="D666" s="2" t="n">
        <v>875.157190216</v>
      </c>
      <c r="E666" s="2" t="n">
        <v>3.11261153966357</v>
      </c>
      <c r="F666" s="2" t="s">
        <v>20497</v>
      </c>
      <c r="G666" s="2" t="n">
        <v>51942</v>
      </c>
      <c r="H666" s="3" t="str">
        <f>HYPERLINK("http://funmeta.oebiotech.com/network/51942", "http://funmeta.oebiotech.com/network/51942")</f>
      </c>
      <c r="I666" s="2" t="s">
        <v>20499</v>
      </c>
      <c r="J666" s="2"/>
      <c r="K666" s="2"/>
      <c r="L666" s="2" t="s">
        <v>20500</v>
      </c>
      <c r="M666" s="2" t="s">
        <v>20501</v>
      </c>
      <c r="N666" s="2" t="s">
        <v>20502</v>
      </c>
      <c r="O666" s="2"/>
      <c r="P666" s="2" t="s">
        <v>20503</v>
      </c>
      <c r="Q666" s="2" t="s">
        <v>20504</v>
      </c>
      <c r="R666" s="2" t="s">
        <v>1490</v>
      </c>
      <c r="S666" s="2" t="s">
        <v>1491</v>
      </c>
      <c r="T666" s="2" t="s">
        <v>9107</v>
      </c>
      <c r="U666" s="2" t="s">
        <v>20496</v>
      </c>
      <c r="V666" s="2" t="s">
        <v>15858</v>
      </c>
      <c r="W666" s="2" t="s">
        <v>39</v>
      </c>
    </row>
    <row r="667">
      <c r="A667" s="2" t="n">
        <v>482</v>
      </c>
      <c r="B667" s="2" t="s">
        <v>13527</v>
      </c>
      <c r="C667" s="2" t="s">
        <v>20505</v>
      </c>
      <c r="D667" s="2" t="n">
        <v>876.47860252</v>
      </c>
      <c r="E667" s="2" t="n">
        <v>5.60318558133309</v>
      </c>
      <c r="F667" s="2" t="s">
        <v>20507</v>
      </c>
      <c r="G667" s="2" t="n">
        <v>22117</v>
      </c>
      <c r="H667" s="3" t="str">
        <f>HYPERLINK("http://funmeta.oebiotech.com/network/22117", "http://funmeta.oebiotech.com/network/22117")</f>
      </c>
      <c r="I667" s="2" t="s">
        <v>20509</v>
      </c>
      <c r="J667" s="2" t="s">
        <v>20510</v>
      </c>
      <c r="K667" s="2" t="s">
        <v>20511</v>
      </c>
      <c r="L667" s="2"/>
      <c r="M667" s="2"/>
      <c r="N667" s="2" t="s">
        <v>20512</v>
      </c>
      <c r="O667" s="2"/>
      <c r="P667" s="2" t="s">
        <v>20513</v>
      </c>
      <c r="Q667" s="2" t="s">
        <v>20514</v>
      </c>
      <c r="R667" s="2" t="s">
        <v>1490</v>
      </c>
      <c r="S667" s="2" t="s">
        <v>4236</v>
      </c>
      <c r="T667" s="2" t="s">
        <v>8380</v>
      </c>
      <c r="U667" s="2" t="s">
        <v>20506</v>
      </c>
      <c r="V667" s="2" t="s">
        <v>15858</v>
      </c>
      <c r="W667" s="2"/>
    </row>
    <row r="668">
      <c r="A668" s="2" t="n">
        <v>483</v>
      </c>
      <c r="B668" s="2" t="s">
        <v>13528</v>
      </c>
      <c r="C668" s="2" t="s">
        <v>20515</v>
      </c>
      <c r="D668" s="2" t="n">
        <v>876.9873148</v>
      </c>
      <c r="E668" s="2" t="n">
        <v>0.817596119758093</v>
      </c>
      <c r="F668" s="2" t="s">
        <v>20517</v>
      </c>
      <c r="G668" s="2" t="n">
        <v>206915</v>
      </c>
      <c r="H668" s="3" t="str">
        <f>HYPERLINK("http://funmeta.oebiotech.com/network/206915", "http://funmeta.oebiotech.com/network/206915")</f>
      </c>
      <c r="I668" s="2" t="s">
        <v>20519</v>
      </c>
      <c r="J668" s="2" t="s">
        <v>20520</v>
      </c>
      <c r="K668" s="2"/>
      <c r="L668" s="2" t="s">
        <v>20521</v>
      </c>
      <c r="M668" s="2" t="s">
        <v>20522</v>
      </c>
      <c r="N668" s="2" t="s">
        <v>20523</v>
      </c>
      <c r="O668" s="2" t="s">
        <v>20524</v>
      </c>
      <c r="P668" s="2" t="s">
        <v>20525</v>
      </c>
      <c r="Q668" s="2" t="s">
        <v>20526</v>
      </c>
      <c r="R668" s="2" t="s">
        <v>502</v>
      </c>
      <c r="S668" s="2" t="s">
        <v>503</v>
      </c>
      <c r="T668" s="2" t="s">
        <v>3258</v>
      </c>
      <c r="U668" s="2" t="s">
        <v>20516</v>
      </c>
      <c r="V668" s="2" t="s">
        <v>15778</v>
      </c>
      <c r="W668" s="2" t="s">
        <v>39</v>
      </c>
    </row>
    <row r="669">
      <c r="A669" s="2" t="n">
        <v>484</v>
      </c>
      <c r="B669" s="2" t="s">
        <v>13529</v>
      </c>
      <c r="C669" s="2" t="s">
        <v>20527</v>
      </c>
      <c r="D669" s="2" t="n">
        <v>891.683848811</v>
      </c>
      <c r="E669" s="2" t="n">
        <v>0.685394727649866</v>
      </c>
      <c r="F669" s="2" t="s">
        <v>20529</v>
      </c>
      <c r="G669" s="2" t="n">
        <v>48506</v>
      </c>
      <c r="H669" s="3" t="str">
        <f>HYPERLINK("http://funmeta.oebiotech.com/network/48506", "http://funmeta.oebiotech.com/network/48506")</f>
      </c>
      <c r="I669" s="2" t="s">
        <v>20531</v>
      </c>
      <c r="J669" s="2"/>
      <c r="K669" s="2"/>
      <c r="L669" s="2" t="s">
        <v>20532</v>
      </c>
      <c r="M669" s="2"/>
      <c r="N669" s="2" t="s">
        <v>20533</v>
      </c>
      <c r="O669" s="2"/>
      <c r="P669" s="2" t="s">
        <v>20534</v>
      </c>
      <c r="Q669" s="2" t="s">
        <v>20535</v>
      </c>
      <c r="R669" s="2" t="s">
        <v>1490</v>
      </c>
      <c r="S669" s="2" t="s">
        <v>6728</v>
      </c>
      <c r="T669" s="2" t="s">
        <v>6754</v>
      </c>
      <c r="U669" s="2" t="s">
        <v>20528</v>
      </c>
      <c r="V669" s="2" t="s">
        <v>15919</v>
      </c>
      <c r="W669" s="2" t="s">
        <v>39</v>
      </c>
    </row>
    <row r="670">
      <c r="A670" s="2" t="n">
        <v>485</v>
      </c>
      <c r="B670" s="2" t="s">
        <v>13551</v>
      </c>
      <c r="C670" s="2" t="s">
        <v>20536</v>
      </c>
      <c r="D670" s="2" t="n">
        <v>893.702340747</v>
      </c>
      <c r="E670" s="2" t="n">
        <v>2.25324113016061</v>
      </c>
      <c r="F670" s="2" t="s">
        <v>20538</v>
      </c>
      <c r="G670" s="2" t="n">
        <v>66686</v>
      </c>
      <c r="H670" s="3" t="str">
        <f>HYPERLINK("http://funmeta.oebiotech.com/network/66686", "http://funmeta.oebiotech.com/network/66686")</f>
      </c>
      <c r="I670" s="2" t="s">
        <v>20540</v>
      </c>
      <c r="J670" s="2"/>
      <c r="K670" s="2"/>
      <c r="L670" s="2"/>
      <c r="M670" s="2"/>
      <c r="N670" s="2" t="s">
        <v>20541</v>
      </c>
      <c r="O670" s="2"/>
      <c r="P670" s="2" t="s">
        <v>20542</v>
      </c>
      <c r="Q670" s="2" t="s">
        <v>20543</v>
      </c>
      <c r="R670" s="2" t="s">
        <v>1490</v>
      </c>
      <c r="S670" s="2" t="s">
        <v>6728</v>
      </c>
      <c r="T670" s="2" t="s">
        <v>6754</v>
      </c>
      <c r="U670" s="2" t="s">
        <v>20537</v>
      </c>
      <c r="V670" s="2" t="s">
        <v>15611</v>
      </c>
      <c r="W670" s="2"/>
    </row>
    <row r="671">
      <c r="A671" s="2" t="n">
        <v>486</v>
      </c>
      <c r="B671" s="2" t="s">
        <v>13552</v>
      </c>
      <c r="C671" s="2" t="s">
        <v>20544</v>
      </c>
      <c r="D671" s="2" t="n">
        <v>894.731605757</v>
      </c>
      <c r="E671" s="2" t="n">
        <v>1.72328835386167</v>
      </c>
      <c r="F671" s="2" t="s">
        <v>20546</v>
      </c>
      <c r="G671" s="2" t="n">
        <v>50423</v>
      </c>
      <c r="H671" s="3" t="str">
        <f>HYPERLINK("http://funmeta.oebiotech.com/network/50423", "http://funmeta.oebiotech.com/network/50423")</f>
      </c>
      <c r="I671" s="2" t="s">
        <v>20548</v>
      </c>
      <c r="J671" s="2" t="s">
        <v>20549</v>
      </c>
      <c r="K671" s="2"/>
      <c r="L671" s="2" t="s">
        <v>7680</v>
      </c>
      <c r="M671" s="2"/>
      <c r="N671" s="2" t="s">
        <v>20550</v>
      </c>
      <c r="O671" s="2"/>
      <c r="P671" s="2" t="s">
        <v>20551</v>
      </c>
      <c r="Q671" s="2" t="s">
        <v>20552</v>
      </c>
      <c r="R671" s="2" t="s">
        <v>1490</v>
      </c>
      <c r="S671" s="2" t="s">
        <v>4236</v>
      </c>
      <c r="T671" s="2" t="s">
        <v>5369</v>
      </c>
      <c r="U671" s="2" t="s">
        <v>20545</v>
      </c>
      <c r="V671" s="2" t="s">
        <v>15611</v>
      </c>
      <c r="W671" s="2" t="s">
        <v>39</v>
      </c>
    </row>
    <row r="672">
      <c r="A672" s="2" t="n">
        <v>487</v>
      </c>
      <c r="B672" s="2" t="s">
        <v>13553</v>
      </c>
      <c r="C672" s="2" t="s">
        <v>20553</v>
      </c>
      <c r="D672" s="2" t="n">
        <v>898.499492714</v>
      </c>
      <c r="E672" s="2" t="n">
        <v>0.625167641307477</v>
      </c>
      <c r="F672" s="2" t="s">
        <v>20555</v>
      </c>
      <c r="G672" s="2" t="n">
        <v>132826</v>
      </c>
      <c r="H672" s="3" t="str">
        <f>HYPERLINK("http://funmeta.oebiotech.com/network/132826", "http://funmeta.oebiotech.com/network/132826")</f>
      </c>
      <c r="I672" s="2" t="s">
        <v>20557</v>
      </c>
      <c r="J672" s="2"/>
      <c r="K672" s="2"/>
      <c r="L672" s="2"/>
      <c r="M672" s="2"/>
      <c r="N672" s="2" t="s">
        <v>20558</v>
      </c>
      <c r="O672" s="2"/>
      <c r="P672" s="2" t="s">
        <v>20559</v>
      </c>
      <c r="Q672" s="2" t="s">
        <v>20560</v>
      </c>
      <c r="R672" s="2" t="s">
        <v>1490</v>
      </c>
      <c r="S672" s="2" t="s">
        <v>4236</v>
      </c>
      <c r="T672" s="2" t="s">
        <v>8380</v>
      </c>
      <c r="U672" s="2" t="s">
        <v>20554</v>
      </c>
      <c r="V672" s="2" t="s">
        <v>15919</v>
      </c>
      <c r="W672" s="2"/>
    </row>
    <row r="673">
      <c r="A673" s="2" t="n">
        <v>488</v>
      </c>
      <c r="B673" s="2" t="s">
        <v>13554</v>
      </c>
      <c r="C673" s="2" t="s">
        <v>20561</v>
      </c>
      <c r="D673" s="2" t="n">
        <v>899.483391542</v>
      </c>
      <c r="E673" s="2" t="n">
        <v>3.14303030226547</v>
      </c>
      <c r="F673" s="2" t="s">
        <v>20563</v>
      </c>
      <c r="G673" s="2" t="n">
        <v>52373</v>
      </c>
      <c r="H673" s="3" t="str">
        <f>HYPERLINK("http://funmeta.oebiotech.com/network/52373", "http://funmeta.oebiotech.com/network/52373")</f>
      </c>
      <c r="I673" s="2" t="s">
        <v>20565</v>
      </c>
      <c r="J673" s="2"/>
      <c r="K673" s="2"/>
      <c r="L673" s="2"/>
      <c r="M673" s="2"/>
      <c r="N673" s="2" t="s">
        <v>20566</v>
      </c>
      <c r="O673" s="2"/>
      <c r="P673" s="2" t="s">
        <v>20567</v>
      </c>
      <c r="Q673" s="2" t="s">
        <v>20568</v>
      </c>
      <c r="R673" s="2" t="s">
        <v>1490</v>
      </c>
      <c r="S673" s="2" t="s">
        <v>4236</v>
      </c>
      <c r="T673" s="2" t="s">
        <v>9187</v>
      </c>
      <c r="U673" s="2" t="s">
        <v>20562</v>
      </c>
      <c r="V673" s="2" t="s">
        <v>15649</v>
      </c>
      <c r="W673" s="2"/>
    </row>
    <row r="674">
      <c r="A674" s="2" t="n">
        <v>489</v>
      </c>
      <c r="B674" s="2" t="s">
        <v>13555</v>
      </c>
      <c r="C674" s="2" t="s">
        <v>20569</v>
      </c>
      <c r="D674" s="2" t="n">
        <v>903.837517262</v>
      </c>
      <c r="E674" s="2" t="n">
        <v>6.43595231238328</v>
      </c>
      <c r="F674" s="2" t="s">
        <v>20571</v>
      </c>
      <c r="G674" s="2" t="n">
        <v>65990</v>
      </c>
      <c r="H674" s="3" t="str">
        <f>HYPERLINK("http://funmeta.oebiotech.com/network/65990", "http://funmeta.oebiotech.com/network/65990")</f>
      </c>
      <c r="I674" s="2" t="s">
        <v>20573</v>
      </c>
      <c r="J674" s="2"/>
      <c r="K674" s="2"/>
      <c r="L674" s="2"/>
      <c r="M674" s="2"/>
      <c r="N674" s="2" t="s">
        <v>20574</v>
      </c>
      <c r="O674" s="2"/>
      <c r="P674" s="2" t="s">
        <v>20575</v>
      </c>
      <c r="Q674" s="2" t="s">
        <v>20576</v>
      </c>
      <c r="R674" s="2" t="s">
        <v>1490</v>
      </c>
      <c r="S674" s="2" t="s">
        <v>6728</v>
      </c>
      <c r="T674" s="2" t="s">
        <v>6754</v>
      </c>
      <c r="U674" s="2" t="s">
        <v>20570</v>
      </c>
      <c r="V674" s="2" t="s">
        <v>15649</v>
      </c>
      <c r="W674" s="2"/>
    </row>
    <row r="675">
      <c r="A675" s="2" t="n">
        <v>490</v>
      </c>
      <c r="B675" s="2" t="s">
        <v>13556</v>
      </c>
      <c r="C675" s="2" t="s">
        <v>20577</v>
      </c>
      <c r="D675" s="2" t="n">
        <v>907.575325396</v>
      </c>
      <c r="E675" s="2" t="n">
        <v>9.50573935544955</v>
      </c>
      <c r="F675" s="2" t="s">
        <v>20579</v>
      </c>
      <c r="G675" s="2" t="n">
        <v>7480</v>
      </c>
      <c r="H675" s="3" t="str">
        <f>HYPERLINK("http://funmeta.oebiotech.com/network/7480", "http://funmeta.oebiotech.com/network/7480")</f>
      </c>
      <c r="I675" s="2" t="s">
        <v>20581</v>
      </c>
      <c r="J675" s="2" t="s">
        <v>20582</v>
      </c>
      <c r="K675" s="2" t="s">
        <v>20583</v>
      </c>
      <c r="L675" s="2"/>
      <c r="M675" s="2"/>
      <c r="N675" s="2" t="s">
        <v>20584</v>
      </c>
      <c r="O675" s="2" t="s">
        <v>20585</v>
      </c>
      <c r="P675" s="2" t="s">
        <v>20586</v>
      </c>
      <c r="Q675" s="2" t="s">
        <v>20587</v>
      </c>
      <c r="R675" s="2" t="s">
        <v>1490</v>
      </c>
      <c r="S675" s="2" t="s">
        <v>1491</v>
      </c>
      <c r="T675" s="2" t="s">
        <v>3884</v>
      </c>
      <c r="U675" s="2" t="s">
        <v>20578</v>
      </c>
      <c r="V675" s="2" t="s">
        <v>17922</v>
      </c>
      <c r="W675" s="2"/>
    </row>
    <row r="676">
      <c r="A676" s="2" t="n">
        <v>491</v>
      </c>
      <c r="B676" s="2" t="s">
        <v>13557</v>
      </c>
      <c r="C676" s="2" t="s">
        <v>20588</v>
      </c>
      <c r="D676" s="2" t="n">
        <v>908.480292787</v>
      </c>
      <c r="E676" s="2" t="n">
        <v>9.66612306386856</v>
      </c>
      <c r="F676" s="2" t="s">
        <v>20590</v>
      </c>
      <c r="G676" s="2" t="n">
        <v>135742</v>
      </c>
      <c r="H676" s="3" t="str">
        <f>HYPERLINK("http://funmeta.oebiotech.com/network/135742", "http://funmeta.oebiotech.com/network/135742")</f>
      </c>
      <c r="I676" s="2" t="s">
        <v>20592</v>
      </c>
      <c r="J676" s="2"/>
      <c r="K676" s="2"/>
      <c r="L676" s="2"/>
      <c r="M676" s="2"/>
      <c r="N676" s="2" t="s">
        <v>20593</v>
      </c>
      <c r="O676" s="2"/>
      <c r="P676" s="2" t="s">
        <v>20594</v>
      </c>
      <c r="Q676" s="2" t="s">
        <v>20595</v>
      </c>
      <c r="R676" s="2" t="s">
        <v>1490</v>
      </c>
      <c r="S676" s="2" t="s">
        <v>4236</v>
      </c>
      <c r="T676" s="2" t="s">
        <v>9778</v>
      </c>
      <c r="U676" s="2" t="s">
        <v>20589</v>
      </c>
      <c r="V676" s="2" t="s">
        <v>15611</v>
      </c>
      <c r="W676" s="2"/>
    </row>
    <row r="677">
      <c r="A677" s="2" t="n">
        <v>492</v>
      </c>
      <c r="B677" s="2" t="s">
        <v>13558</v>
      </c>
      <c r="C677" s="2" t="s">
        <v>20596</v>
      </c>
      <c r="D677" s="2" t="n">
        <v>908.577743036</v>
      </c>
      <c r="E677" s="2" t="n">
        <v>1.61442789479606</v>
      </c>
      <c r="F677" s="2" t="s">
        <v>20598</v>
      </c>
      <c r="G677" s="2" t="n">
        <v>132758</v>
      </c>
      <c r="H677" s="3" t="str">
        <f>HYPERLINK("http://funmeta.oebiotech.com/network/132758", "http://funmeta.oebiotech.com/network/132758")</f>
      </c>
      <c r="I677" s="2" t="s">
        <v>20600</v>
      </c>
      <c r="J677" s="2"/>
      <c r="K677" s="2"/>
      <c r="L677" s="2"/>
      <c r="M677" s="2"/>
      <c r="N677" s="2" t="s">
        <v>20601</v>
      </c>
      <c r="O677" s="2"/>
      <c r="P677" s="2" t="s">
        <v>20602</v>
      </c>
      <c r="Q677" s="2" t="s">
        <v>20603</v>
      </c>
      <c r="R677" s="2" t="s">
        <v>1490</v>
      </c>
      <c r="S677" s="2" t="s">
        <v>4236</v>
      </c>
      <c r="T677" s="2" t="s">
        <v>8380</v>
      </c>
      <c r="U677" s="2" t="s">
        <v>20597</v>
      </c>
      <c r="V677" s="2" t="s">
        <v>15919</v>
      </c>
      <c r="W677" s="2"/>
    </row>
    <row r="678">
      <c r="A678" s="2" t="n">
        <v>493</v>
      </c>
      <c r="B678" s="2" t="s">
        <v>13591</v>
      </c>
      <c r="C678" s="2" t="s">
        <v>20604</v>
      </c>
      <c r="D678" s="2" t="n">
        <v>908.969283226</v>
      </c>
      <c r="E678" s="2" t="n">
        <v>8.73247103208932</v>
      </c>
      <c r="F678" s="2" t="s">
        <v>20606</v>
      </c>
      <c r="G678" s="2" t="n">
        <v>48171</v>
      </c>
      <c r="H678" s="3" t="str">
        <f>HYPERLINK("http://funmeta.oebiotech.com/network/48171", "http://funmeta.oebiotech.com/network/48171")</f>
      </c>
      <c r="I678" s="2" t="s">
        <v>20608</v>
      </c>
      <c r="J678" s="2" t="s">
        <v>20609</v>
      </c>
      <c r="K678" s="2"/>
      <c r="L678" s="2" t="s">
        <v>20610</v>
      </c>
      <c r="M678" s="2" t="s">
        <v>20611</v>
      </c>
      <c r="N678" s="2" t="s">
        <v>20612</v>
      </c>
      <c r="O678" s="2"/>
      <c r="P678" s="2" t="s">
        <v>20613</v>
      </c>
      <c r="Q678" s="2" t="s">
        <v>20614</v>
      </c>
      <c r="R678" s="2" t="s">
        <v>2590</v>
      </c>
      <c r="S678" s="2" t="s">
        <v>7892</v>
      </c>
      <c r="T678" s="2" t="s">
        <v>205</v>
      </c>
      <c r="U678" s="2" t="s">
        <v>20605</v>
      </c>
      <c r="V678" s="2" t="s">
        <v>15919</v>
      </c>
      <c r="W678" s="2" t="s">
        <v>39</v>
      </c>
    </row>
    <row r="679">
      <c r="A679" s="2" t="n">
        <v>494</v>
      </c>
      <c r="B679" s="2" t="s">
        <v>13592</v>
      </c>
      <c r="C679" s="2" t="s">
        <v>20615</v>
      </c>
      <c r="D679" s="2" t="n">
        <v>915.683848811</v>
      </c>
      <c r="E679" s="2" t="n">
        <v>0.756329106332937</v>
      </c>
      <c r="F679" s="2" t="s">
        <v>20617</v>
      </c>
      <c r="G679" s="2" t="n">
        <v>48569</v>
      </c>
      <c r="H679" s="3" t="str">
        <f>HYPERLINK("http://funmeta.oebiotech.com/network/48569", "http://funmeta.oebiotech.com/network/48569")</f>
      </c>
      <c r="I679" s="2" t="s">
        <v>20619</v>
      </c>
      <c r="J679" s="2"/>
      <c r="K679" s="2"/>
      <c r="L679" s="2" t="s">
        <v>20532</v>
      </c>
      <c r="M679" s="2"/>
      <c r="N679" s="2" t="s">
        <v>20620</v>
      </c>
      <c r="O679" s="2"/>
      <c r="P679" s="2" t="s">
        <v>20621</v>
      </c>
      <c r="Q679" s="2" t="s">
        <v>20622</v>
      </c>
      <c r="R679" s="2" t="s">
        <v>1490</v>
      </c>
      <c r="S679" s="2" t="s">
        <v>6728</v>
      </c>
      <c r="T679" s="2" t="s">
        <v>6754</v>
      </c>
      <c r="U679" s="2" t="s">
        <v>20616</v>
      </c>
      <c r="V679" s="2" t="s">
        <v>15919</v>
      </c>
      <c r="W679" s="2" t="s">
        <v>39</v>
      </c>
    </row>
    <row r="680">
      <c r="A680" s="2" t="n">
        <v>495</v>
      </c>
      <c r="B680" s="2" t="s">
        <v>13593</v>
      </c>
      <c r="C680" s="2" t="s">
        <v>20623</v>
      </c>
      <c r="D680" s="2" t="n">
        <v>917.696190752</v>
      </c>
      <c r="E680" s="2" t="n">
        <v>3.33593876431403</v>
      </c>
      <c r="F680" s="2" t="s">
        <v>20625</v>
      </c>
      <c r="G680" s="2" t="n">
        <v>207563</v>
      </c>
      <c r="H680" s="3" t="str">
        <f>HYPERLINK("http://funmeta.oebiotech.com/network/207563", "http://funmeta.oebiotech.com/network/207563")</f>
      </c>
      <c r="I680" s="2" t="s">
        <v>20627</v>
      </c>
      <c r="J680" s="2"/>
      <c r="K680" s="2"/>
      <c r="L680" s="2"/>
      <c r="M680" s="2"/>
      <c r="N680" s="2" t="s">
        <v>20628</v>
      </c>
      <c r="O680" s="2"/>
      <c r="P680" s="2" t="s">
        <v>20629</v>
      </c>
      <c r="Q680" s="2" t="s">
        <v>20630</v>
      </c>
      <c r="R680" s="2" t="s">
        <v>502</v>
      </c>
      <c r="S680" s="2" t="s">
        <v>503</v>
      </c>
      <c r="T680" s="2" t="s">
        <v>2651</v>
      </c>
      <c r="U680" s="2" t="s">
        <v>20624</v>
      </c>
      <c r="V680" s="2" t="s">
        <v>17922</v>
      </c>
      <c r="W680" s="2"/>
    </row>
    <row r="681">
      <c r="A681" s="2" t="n">
        <v>496</v>
      </c>
      <c r="B681" s="2" t="s">
        <v>13594</v>
      </c>
      <c r="C681" s="2" t="s">
        <v>20631</v>
      </c>
      <c r="D681" s="2" t="n">
        <v>918.692223629</v>
      </c>
      <c r="E681" s="2" t="n">
        <v>9.59973947202888</v>
      </c>
      <c r="F681" s="2" t="s">
        <v>20633</v>
      </c>
      <c r="G681" s="2" t="n">
        <v>49670</v>
      </c>
      <c r="H681" s="3" t="str">
        <f>HYPERLINK("http://funmeta.oebiotech.com/network/49670", "http://funmeta.oebiotech.com/network/49670")</f>
      </c>
      <c r="I681" s="2" t="s">
        <v>20635</v>
      </c>
      <c r="J681" s="2" t="s">
        <v>20636</v>
      </c>
      <c r="K681" s="2"/>
      <c r="L681" s="2" t="s">
        <v>8608</v>
      </c>
      <c r="M681" s="2"/>
      <c r="N681" s="2" t="s">
        <v>20637</v>
      </c>
      <c r="O681" s="2"/>
      <c r="P681" s="2" t="s">
        <v>20638</v>
      </c>
      <c r="Q681" s="2" t="s">
        <v>20639</v>
      </c>
      <c r="R681" s="2" t="s">
        <v>1490</v>
      </c>
      <c r="S681" s="2" t="s">
        <v>4236</v>
      </c>
      <c r="T681" s="2" t="s">
        <v>8613</v>
      </c>
      <c r="U681" s="2" t="s">
        <v>20632</v>
      </c>
      <c r="V681" s="2" t="s">
        <v>15858</v>
      </c>
      <c r="W681" s="2" t="s">
        <v>39</v>
      </c>
    </row>
    <row r="682">
      <c r="A682" s="2" t="n">
        <v>497</v>
      </c>
      <c r="B682" s="2" t="s">
        <v>13606</v>
      </c>
      <c r="C682" s="2" t="s">
        <v>20640</v>
      </c>
      <c r="D682" s="2" t="n">
        <v>919.548477536</v>
      </c>
      <c r="E682" s="2" t="n">
        <v>8.02095612889008</v>
      </c>
      <c r="F682" s="2" t="s">
        <v>23232</v>
      </c>
      <c r="G682" s="2" t="n">
        <v>52043</v>
      </c>
      <c r="H682" s="3" t="str">
        <f>HYPERLINK("http://funmeta.oebiotech.com/network/52043", "http://funmeta.oebiotech.com/network/52043")</f>
      </c>
      <c r="I682" s="2" t="s">
        <v>23233</v>
      </c>
      <c r="J682" s="2"/>
      <c r="K682" s="2"/>
      <c r="L682" s="2"/>
      <c r="M682" s="2" t="s">
        <v>23234</v>
      </c>
      <c r="N682" s="2" t="s">
        <v>23235</v>
      </c>
      <c r="O682" s="2"/>
      <c r="P682" s="2" t="s">
        <v>23236</v>
      </c>
      <c r="Q682" s="2" t="s">
        <v>23237</v>
      </c>
      <c r="R682" s="2" t="s">
        <v>1490</v>
      </c>
      <c r="S682" s="2" t="s">
        <v>4971</v>
      </c>
      <c r="T682" s="2" t="s">
        <v>5979</v>
      </c>
      <c r="U682" s="2" t="s">
        <v>20641</v>
      </c>
      <c r="V682" s="2" t="s">
        <v>16225</v>
      </c>
      <c r="W682" s="2"/>
    </row>
    <row r="683">
      <c r="A683" s="2" t="n">
        <v>497</v>
      </c>
      <c r="B683" s="2" t="s">
        <v>13612</v>
      </c>
      <c r="C683" s="2" t="s">
        <v>20640</v>
      </c>
      <c r="D683" s="2" t="n">
        <v>919.548477536</v>
      </c>
      <c r="E683" s="2" t="n">
        <v>8.02095612889008</v>
      </c>
      <c r="F683" s="2" t="s">
        <v>23238</v>
      </c>
      <c r="G683" s="2" t="n">
        <v>58389</v>
      </c>
      <c r="H683" s="3" t="str">
        <f>HYPERLINK("http://funmeta.oebiotech.com/network/58389", "http://funmeta.oebiotech.com/network/58389")</f>
      </c>
      <c r="I683" s="2" t="s">
        <v>23239</v>
      </c>
      <c r="J683" s="2"/>
      <c r="K683" s="2"/>
      <c r="L683" s="2"/>
      <c r="M683" s="2"/>
      <c r="N683" s="2" t="s">
        <v>23240</v>
      </c>
      <c r="O683" s="2" t="s">
        <v>23241</v>
      </c>
      <c r="P683" s="2" t="s">
        <v>23242</v>
      </c>
      <c r="Q683" s="2" t="s">
        <v>23243</v>
      </c>
      <c r="R683" s="2" t="s">
        <v>1490</v>
      </c>
      <c r="S683" s="2" t="s">
        <v>4971</v>
      </c>
      <c r="T683" s="2" t="s">
        <v>6983</v>
      </c>
      <c r="U683" s="2" t="s">
        <v>20641</v>
      </c>
      <c r="V683" s="2" t="s">
        <v>16225</v>
      </c>
      <c r="W683" s="2"/>
    </row>
    <row r="684">
      <c r="A684" s="2" t="n">
        <v>497</v>
      </c>
      <c r="B684" s="2" t="s">
        <v>23244</v>
      </c>
      <c r="C684" s="2" t="s">
        <v>20640</v>
      </c>
      <c r="D684" s="2" t="n">
        <v>919.548477536</v>
      </c>
      <c r="E684" s="2" t="n">
        <v>8.02095612889008</v>
      </c>
      <c r="F684" s="2" t="s">
        <v>23245</v>
      </c>
      <c r="G684" s="2" t="n">
        <v>63880</v>
      </c>
      <c r="H684" s="3" t="str">
        <f>HYPERLINK("http://funmeta.oebiotech.com/network/63880", "http://funmeta.oebiotech.com/network/63880")</f>
      </c>
      <c r="I684" s="2" t="s">
        <v>23246</v>
      </c>
      <c r="J684" s="2" t="s">
        <v>23247</v>
      </c>
      <c r="K684" s="2"/>
      <c r="L684" s="2"/>
      <c r="M684" s="2"/>
      <c r="N684" s="2" t="s">
        <v>23248</v>
      </c>
      <c r="O684" s="2" t="s">
        <v>23249</v>
      </c>
      <c r="P684" s="2" t="s">
        <v>23250</v>
      </c>
      <c r="Q684" s="2" t="s">
        <v>23251</v>
      </c>
      <c r="R684" s="2" t="s">
        <v>1490</v>
      </c>
      <c r="S684" s="2" t="s">
        <v>4971</v>
      </c>
      <c r="T684" s="2" t="s">
        <v>6983</v>
      </c>
      <c r="U684" s="2" t="s">
        <v>20641</v>
      </c>
      <c r="V684" s="2" t="s">
        <v>16225</v>
      </c>
      <c r="W684" s="2"/>
    </row>
    <row r="685">
      <c r="A685" s="2" t="n">
        <v>498</v>
      </c>
      <c r="B685" s="2" t="s">
        <v>13618</v>
      </c>
      <c r="C685" s="2" t="s">
        <v>20652</v>
      </c>
      <c r="D685" s="2" t="n">
        <v>919.71514894</v>
      </c>
      <c r="E685" s="2" t="n">
        <v>3.6053690572865</v>
      </c>
      <c r="F685" s="2" t="s">
        <v>20654</v>
      </c>
      <c r="G685" s="2" t="n">
        <v>48511</v>
      </c>
      <c r="H685" s="3" t="str">
        <f>HYPERLINK("http://funmeta.oebiotech.com/network/48511", "http://funmeta.oebiotech.com/network/48511")</f>
      </c>
      <c r="I685" s="2" t="s">
        <v>20656</v>
      </c>
      <c r="J685" s="2"/>
      <c r="K685" s="2"/>
      <c r="L685" s="2" t="s">
        <v>20532</v>
      </c>
      <c r="M685" s="2"/>
      <c r="N685" s="2" t="s">
        <v>20657</v>
      </c>
      <c r="O685" s="2"/>
      <c r="P685" s="2" t="s">
        <v>20658</v>
      </c>
      <c r="Q685" s="2" t="s">
        <v>20659</v>
      </c>
      <c r="R685" s="2" t="s">
        <v>1490</v>
      </c>
      <c r="S685" s="2" t="s">
        <v>6728</v>
      </c>
      <c r="T685" s="2" t="s">
        <v>6754</v>
      </c>
      <c r="U685" s="2" t="s">
        <v>20653</v>
      </c>
      <c r="V685" s="2" t="s">
        <v>15919</v>
      </c>
      <c r="W685" s="2" t="s">
        <v>39</v>
      </c>
    </row>
    <row r="686">
      <c r="A686" s="2" t="n">
        <v>499</v>
      </c>
      <c r="B686" s="2" t="s">
        <v>13619</v>
      </c>
      <c r="C686" s="2" t="s">
        <v>20660</v>
      </c>
      <c r="D686" s="2" t="n">
        <v>920.504972018</v>
      </c>
      <c r="E686" s="2" t="n">
        <v>5.87118205826131</v>
      </c>
      <c r="F686" s="2" t="s">
        <v>23252</v>
      </c>
      <c r="G686" s="2" t="n">
        <v>83168</v>
      </c>
      <c r="H686" s="3" t="str">
        <f>HYPERLINK("http://funmeta.oebiotech.com/network/83168", "http://funmeta.oebiotech.com/network/83168")</f>
      </c>
      <c r="I686" s="2" t="s">
        <v>23253</v>
      </c>
      <c r="J686" s="2"/>
      <c r="K686" s="2"/>
      <c r="L686" s="2"/>
      <c r="M686" s="2"/>
      <c r="N686" s="2"/>
      <c r="O686" s="2"/>
      <c r="P686" s="2" t="s">
        <v>23254</v>
      </c>
      <c r="Q686" s="2" t="s">
        <v>23255</v>
      </c>
      <c r="R686" s="2" t="s">
        <v>1490</v>
      </c>
      <c r="S686" s="2" t="s">
        <v>4236</v>
      </c>
      <c r="T686" s="2" t="s">
        <v>8380</v>
      </c>
      <c r="U686" s="2" t="s">
        <v>20661</v>
      </c>
      <c r="V686" s="2" t="s">
        <v>15919</v>
      </c>
      <c r="W686" s="2"/>
    </row>
    <row r="687">
      <c r="A687" s="2" t="n">
        <v>499</v>
      </c>
      <c r="B687" s="2" t="s">
        <v>23256</v>
      </c>
      <c r="C687" s="2" t="s">
        <v>20660</v>
      </c>
      <c r="D687" s="2" t="n">
        <v>920.504972018</v>
      </c>
      <c r="E687" s="2" t="n">
        <v>5.87118205826131</v>
      </c>
      <c r="F687" s="2" t="s">
        <v>23257</v>
      </c>
      <c r="G687" s="2" t="n">
        <v>83176</v>
      </c>
      <c r="H687" s="3" t="str">
        <f>HYPERLINK("http://funmeta.oebiotech.com/network/83176", "http://funmeta.oebiotech.com/network/83176")</f>
      </c>
      <c r="I687" s="2" t="s">
        <v>23258</v>
      </c>
      <c r="J687" s="2"/>
      <c r="K687" s="2"/>
      <c r="L687" s="2"/>
      <c r="M687" s="2"/>
      <c r="N687" s="2"/>
      <c r="O687" s="2"/>
      <c r="P687" s="2" t="s">
        <v>23259</v>
      </c>
      <c r="Q687" s="2" t="s">
        <v>23260</v>
      </c>
      <c r="R687" s="2" t="s">
        <v>1490</v>
      </c>
      <c r="S687" s="2" t="s">
        <v>4236</v>
      </c>
      <c r="T687" s="2" t="s">
        <v>8380</v>
      </c>
      <c r="U687" s="2" t="s">
        <v>20661</v>
      </c>
      <c r="V687" s="2" t="s">
        <v>15919</v>
      </c>
      <c r="W687" s="2"/>
    </row>
    <row r="688">
      <c r="A688" s="2" t="n">
        <v>499</v>
      </c>
      <c r="B688" s="2" t="s">
        <v>23261</v>
      </c>
      <c r="C688" s="2" t="s">
        <v>20660</v>
      </c>
      <c r="D688" s="2" t="n">
        <v>920.504972018</v>
      </c>
      <c r="E688" s="2" t="n">
        <v>5.87118205826131</v>
      </c>
      <c r="F688" s="2" t="s">
        <v>23262</v>
      </c>
      <c r="G688" s="2" t="n">
        <v>83179</v>
      </c>
      <c r="H688" s="3" t="str">
        <f>HYPERLINK("http://funmeta.oebiotech.com/network/83179", "http://funmeta.oebiotech.com/network/83179")</f>
      </c>
      <c r="I688" s="2" t="s">
        <v>23263</v>
      </c>
      <c r="J688" s="2"/>
      <c r="K688" s="2"/>
      <c r="L688" s="2"/>
      <c r="M688" s="2"/>
      <c r="N688" s="2"/>
      <c r="O688" s="2"/>
      <c r="P688" s="2" t="s">
        <v>23264</v>
      </c>
      <c r="Q688" s="2" t="s">
        <v>23265</v>
      </c>
      <c r="R688" s="2" t="s">
        <v>1490</v>
      </c>
      <c r="S688" s="2" t="s">
        <v>4236</v>
      </c>
      <c r="T688" s="2" t="s">
        <v>8380</v>
      </c>
      <c r="U688" s="2" t="s">
        <v>20661</v>
      </c>
      <c r="V688" s="2" t="s">
        <v>15919</v>
      </c>
      <c r="W688" s="2"/>
    </row>
    <row r="689">
      <c r="A689" s="2" t="n">
        <v>500</v>
      </c>
      <c r="B689" s="2" t="s">
        <v>13620</v>
      </c>
      <c r="C689" s="2" t="s">
        <v>20668</v>
      </c>
      <c r="D689" s="2" t="n">
        <v>921.489459536</v>
      </c>
      <c r="E689" s="2" t="n">
        <v>2.07154287393893</v>
      </c>
      <c r="F689" s="2" t="s">
        <v>20670</v>
      </c>
      <c r="G689" s="2" t="n">
        <v>50574</v>
      </c>
      <c r="H689" s="3" t="str">
        <f>HYPERLINK("http://funmeta.oebiotech.com/network/50574", "http://funmeta.oebiotech.com/network/50574")</f>
      </c>
      <c r="I689" s="2" t="s">
        <v>20672</v>
      </c>
      <c r="J689" s="2" t="s">
        <v>20673</v>
      </c>
      <c r="K689" s="2"/>
      <c r="L689" s="2" t="s">
        <v>20674</v>
      </c>
      <c r="M689" s="2"/>
      <c r="N689" s="2" t="s">
        <v>20675</v>
      </c>
      <c r="O689" s="2"/>
      <c r="P689" s="2" t="s">
        <v>20676</v>
      </c>
      <c r="Q689" s="2" t="s">
        <v>20677</v>
      </c>
      <c r="R689" s="2" t="s">
        <v>1490</v>
      </c>
      <c r="S689" s="2" t="s">
        <v>4236</v>
      </c>
      <c r="T689" s="2" t="s">
        <v>20678</v>
      </c>
      <c r="U689" s="2" t="s">
        <v>20669</v>
      </c>
      <c r="V689" s="2" t="s">
        <v>15611</v>
      </c>
      <c r="W689" s="2" t="s">
        <v>39</v>
      </c>
    </row>
    <row r="690">
      <c r="A690" s="2" t="n">
        <v>501</v>
      </c>
      <c r="B690" s="2" t="s">
        <v>13621</v>
      </c>
      <c r="C690" s="2" t="s">
        <v>20679</v>
      </c>
      <c r="D690" s="2" t="n">
        <v>925.830647</v>
      </c>
      <c r="E690" s="2" t="n">
        <v>0.315320493123694</v>
      </c>
      <c r="F690" s="2" t="s">
        <v>20681</v>
      </c>
      <c r="G690" s="2" t="n">
        <v>207872</v>
      </c>
      <c r="H690" s="3" t="str">
        <f>HYPERLINK("http://funmeta.oebiotech.com/network/207872", "http://funmeta.oebiotech.com/network/207872")</f>
      </c>
      <c r="I690" s="2" t="s">
        <v>20683</v>
      </c>
      <c r="J690" s="2"/>
      <c r="K690" s="2"/>
      <c r="L690" s="2"/>
      <c r="M690" s="2"/>
      <c r="N690" s="2"/>
      <c r="O690" s="2"/>
      <c r="P690" s="2" t="s">
        <v>20684</v>
      </c>
      <c r="Q690" s="2" t="s">
        <v>20685</v>
      </c>
      <c r="R690" s="2" t="s">
        <v>502</v>
      </c>
      <c r="S690" s="2" t="s">
        <v>503</v>
      </c>
      <c r="T690" s="2" t="s">
        <v>2174</v>
      </c>
      <c r="U690" s="2" t="s">
        <v>20680</v>
      </c>
      <c r="V690" s="2" t="s">
        <v>15722</v>
      </c>
      <c r="W690" s="2"/>
    </row>
    <row r="691">
      <c r="A691" s="2" t="n">
        <v>502</v>
      </c>
      <c r="B691" s="2" t="s">
        <v>13641</v>
      </c>
      <c r="C691" s="2" t="s">
        <v>20686</v>
      </c>
      <c r="D691" s="2" t="n">
        <v>929.592595536</v>
      </c>
      <c r="E691" s="2" t="n">
        <v>0.493118672840305</v>
      </c>
      <c r="F691" s="2" t="s">
        <v>20688</v>
      </c>
      <c r="G691" s="2" t="n">
        <v>210578</v>
      </c>
      <c r="H691" s="3" t="str">
        <f>HYPERLINK("http://funmeta.oebiotech.com/network/210578", "http://funmeta.oebiotech.com/network/210578")</f>
      </c>
      <c r="I691" s="2" t="s">
        <v>20690</v>
      </c>
      <c r="J691" s="2"/>
      <c r="K691" s="2"/>
      <c r="L691" s="2"/>
      <c r="M691" s="2"/>
      <c r="N691" s="2" t="s">
        <v>20691</v>
      </c>
      <c r="O691" s="2"/>
      <c r="P691" s="2" t="s">
        <v>20692</v>
      </c>
      <c r="Q691" s="2" t="s">
        <v>20693</v>
      </c>
      <c r="R691" s="2" t="s">
        <v>1490</v>
      </c>
      <c r="S691" s="2" t="s">
        <v>4971</v>
      </c>
      <c r="T691" s="2" t="s">
        <v>7445</v>
      </c>
      <c r="U691" s="2" t="s">
        <v>20687</v>
      </c>
      <c r="V691" s="2" t="s">
        <v>15778</v>
      </c>
      <c r="W691" s="2"/>
    </row>
    <row r="692">
      <c r="A692" s="2" t="n">
        <v>503</v>
      </c>
      <c r="B692" s="2" t="s">
        <v>13642</v>
      </c>
      <c r="C692" s="2" t="s">
        <v>20694</v>
      </c>
      <c r="D692" s="2" t="n">
        <v>932.674485293</v>
      </c>
      <c r="E692" s="2" t="n">
        <v>1.94541761560309</v>
      </c>
      <c r="F692" s="2" t="s">
        <v>23266</v>
      </c>
      <c r="G692" s="2" t="n">
        <v>133899</v>
      </c>
      <c r="H692" s="3" t="str">
        <f>HYPERLINK("http://funmeta.oebiotech.com/network/133899", "http://funmeta.oebiotech.com/network/133899")</f>
      </c>
      <c r="I692" s="2" t="s">
        <v>23267</v>
      </c>
      <c r="J692" s="2"/>
      <c r="K692" s="2"/>
      <c r="L692" s="2"/>
      <c r="M692" s="2"/>
      <c r="N692" s="2"/>
      <c r="O692" s="2"/>
      <c r="P692" s="2" t="s">
        <v>23268</v>
      </c>
      <c r="Q692" s="2" t="s">
        <v>23269</v>
      </c>
      <c r="R692" s="2" t="s">
        <v>1490</v>
      </c>
      <c r="S692" s="2" t="s">
        <v>4236</v>
      </c>
      <c r="T692" s="2" t="s">
        <v>5369</v>
      </c>
      <c r="U692" s="2" t="s">
        <v>20695</v>
      </c>
      <c r="V692" s="2" t="s">
        <v>15611</v>
      </c>
      <c r="W692" s="2"/>
    </row>
    <row r="693">
      <c r="A693" s="2" t="n">
        <v>503</v>
      </c>
      <c r="B693" s="2" t="s">
        <v>23270</v>
      </c>
      <c r="C693" s="2" t="s">
        <v>20694</v>
      </c>
      <c r="D693" s="2" t="n">
        <v>932.674485293</v>
      </c>
      <c r="E693" s="2" t="n">
        <v>1.94541761560309</v>
      </c>
      <c r="F693" s="2" t="s">
        <v>23271</v>
      </c>
      <c r="G693" s="2" t="n">
        <v>134804</v>
      </c>
      <c r="H693" s="3" t="str">
        <f>HYPERLINK("http://funmeta.oebiotech.com/network/134804", "http://funmeta.oebiotech.com/network/134804")</f>
      </c>
      <c r="I693" s="2" t="s">
        <v>23272</v>
      </c>
      <c r="J693" s="2"/>
      <c r="K693" s="2"/>
      <c r="L693" s="2"/>
      <c r="M693" s="2"/>
      <c r="N693" s="2"/>
      <c r="O693" s="2"/>
      <c r="P693" s="2" t="s">
        <v>23273</v>
      </c>
      <c r="Q693" s="2" t="s">
        <v>23274</v>
      </c>
      <c r="R693" s="2" t="s">
        <v>1490</v>
      </c>
      <c r="S693" s="2" t="s">
        <v>4236</v>
      </c>
      <c r="T693" s="2" t="s">
        <v>5369</v>
      </c>
      <c r="U693" s="2" t="s">
        <v>20695</v>
      </c>
      <c r="V693" s="2" t="s">
        <v>15611</v>
      </c>
      <c r="W693" s="2"/>
    </row>
    <row r="694">
      <c r="A694" s="2" t="n">
        <v>503</v>
      </c>
      <c r="B694" s="2" t="s">
        <v>23275</v>
      </c>
      <c r="C694" s="2" t="s">
        <v>20694</v>
      </c>
      <c r="D694" s="2" t="n">
        <v>932.674485293</v>
      </c>
      <c r="E694" s="2" t="n">
        <v>1.94541761560309</v>
      </c>
      <c r="F694" s="2" t="s">
        <v>23276</v>
      </c>
      <c r="G694" s="2" t="n">
        <v>134812</v>
      </c>
      <c r="H694" s="3" t="str">
        <f>HYPERLINK("http://funmeta.oebiotech.com/network/134812", "http://funmeta.oebiotech.com/network/134812")</f>
      </c>
      <c r="I694" s="2" t="s">
        <v>23277</v>
      </c>
      <c r="J694" s="2"/>
      <c r="K694" s="2"/>
      <c r="L694" s="2"/>
      <c r="M694" s="2"/>
      <c r="N694" s="2"/>
      <c r="O694" s="2"/>
      <c r="P694" s="2" t="s">
        <v>23278</v>
      </c>
      <c r="Q694" s="2" t="s">
        <v>23279</v>
      </c>
      <c r="R694" s="2" t="s">
        <v>1490</v>
      </c>
      <c r="S694" s="2" t="s">
        <v>4236</v>
      </c>
      <c r="T694" s="2" t="s">
        <v>5369</v>
      </c>
      <c r="U694" s="2" t="s">
        <v>20695</v>
      </c>
      <c r="V694" s="2" t="s">
        <v>15611</v>
      </c>
      <c r="W694" s="2"/>
    </row>
    <row r="695">
      <c r="A695" s="2" t="n">
        <v>504</v>
      </c>
      <c r="B695" s="2" t="s">
        <v>13643</v>
      </c>
      <c r="C695" s="2" t="s">
        <v>20701</v>
      </c>
      <c r="D695" s="2" t="n">
        <v>935.716069513</v>
      </c>
      <c r="E695" s="2" t="n">
        <v>9.85469470492176</v>
      </c>
      <c r="F695" s="2" t="s">
        <v>20703</v>
      </c>
      <c r="G695" s="2" t="n">
        <v>50894</v>
      </c>
      <c r="H695" s="3" t="str">
        <f>HYPERLINK("http://funmeta.oebiotech.com/network/50894", "http://funmeta.oebiotech.com/network/50894")</f>
      </c>
      <c r="I695" s="2" t="s">
        <v>20705</v>
      </c>
      <c r="J695" s="2" t="s">
        <v>20706</v>
      </c>
      <c r="K695" s="2"/>
      <c r="L695" s="2"/>
      <c r="M695" s="2"/>
      <c r="N695" s="2" t="s">
        <v>20707</v>
      </c>
      <c r="O695" s="2" t="s">
        <v>20708</v>
      </c>
      <c r="P695" s="2" t="s">
        <v>20709</v>
      </c>
      <c r="Q695" s="2" t="s">
        <v>20710</v>
      </c>
      <c r="R695" s="2" t="s">
        <v>49</v>
      </c>
      <c r="S695" s="2" t="s">
        <v>165</v>
      </c>
      <c r="T695" s="2" t="s">
        <v>166</v>
      </c>
      <c r="U695" s="2" t="s">
        <v>20702</v>
      </c>
      <c r="V695" s="2" t="s">
        <v>15611</v>
      </c>
      <c r="W695" s="2"/>
    </row>
    <row r="696">
      <c r="A696" s="2" t="n">
        <v>505</v>
      </c>
      <c r="B696" s="2" t="s">
        <v>13644</v>
      </c>
      <c r="C696" s="2" t="s">
        <v>20711</v>
      </c>
      <c r="D696" s="2" t="n">
        <v>940.534670385</v>
      </c>
      <c r="E696" s="2" t="n">
        <v>3.09284102452724</v>
      </c>
      <c r="F696" s="2" t="s">
        <v>20713</v>
      </c>
      <c r="G696" s="2" t="n">
        <v>51992</v>
      </c>
      <c r="H696" s="3" t="str">
        <f>HYPERLINK("http://funmeta.oebiotech.com/network/51992", "http://funmeta.oebiotech.com/network/51992")</f>
      </c>
      <c r="I696" s="2" t="s">
        <v>20715</v>
      </c>
      <c r="J696" s="2" t="s">
        <v>20716</v>
      </c>
      <c r="K696" s="2"/>
      <c r="L696" s="2" t="s">
        <v>9059</v>
      </c>
      <c r="M696" s="2"/>
      <c r="N696" s="2" t="s">
        <v>20717</v>
      </c>
      <c r="O696" s="2" t="s">
        <v>20718</v>
      </c>
      <c r="P696" s="2" t="s">
        <v>20719</v>
      </c>
      <c r="Q696" s="2" t="s">
        <v>20720</v>
      </c>
      <c r="R696" s="2" t="s">
        <v>1490</v>
      </c>
      <c r="S696" s="2" t="s">
        <v>8433</v>
      </c>
      <c r="T696" s="2" t="s">
        <v>8434</v>
      </c>
      <c r="U696" s="2" t="s">
        <v>20712</v>
      </c>
      <c r="V696" s="2" t="s">
        <v>15722</v>
      </c>
      <c r="W696" s="2" t="s">
        <v>39</v>
      </c>
    </row>
    <row r="697">
      <c r="A697" s="2" t="n">
        <v>506</v>
      </c>
      <c r="B697" s="2" t="s">
        <v>13668</v>
      </c>
      <c r="C697" s="2" t="s">
        <v>20721</v>
      </c>
      <c r="D697" s="2" t="n">
        <v>941.156281348</v>
      </c>
      <c r="E697" s="2" t="n">
        <v>2.33544627332683</v>
      </c>
      <c r="F697" s="2" t="s">
        <v>20723</v>
      </c>
      <c r="G697" s="2" t="n">
        <v>201857</v>
      </c>
      <c r="H697" s="3" t="str">
        <f>HYPERLINK("http://funmeta.oebiotech.com/network/201857", "http://funmeta.oebiotech.com/network/201857")</f>
      </c>
      <c r="I697" s="2" t="s">
        <v>20725</v>
      </c>
      <c r="J697" s="2"/>
      <c r="K697" s="2"/>
      <c r="L697" s="2"/>
      <c r="M697" s="2"/>
      <c r="N697" s="2" t="s">
        <v>20726</v>
      </c>
      <c r="O697" s="2"/>
      <c r="P697" s="2" t="s">
        <v>20727</v>
      </c>
      <c r="Q697" s="2" t="s">
        <v>20728</v>
      </c>
      <c r="R697" s="2" t="s">
        <v>2509</v>
      </c>
      <c r="S697" s="2" t="s">
        <v>2840</v>
      </c>
      <c r="T697" s="2" t="s">
        <v>20729</v>
      </c>
      <c r="U697" s="2" t="s">
        <v>20722</v>
      </c>
      <c r="V697" s="2" t="s">
        <v>17922</v>
      </c>
      <c r="W697" s="2"/>
    </row>
    <row r="698">
      <c r="A698" s="2" t="n">
        <v>507</v>
      </c>
      <c r="B698" s="2" t="s">
        <v>13669</v>
      </c>
      <c r="C698" s="2" t="s">
        <v>20730</v>
      </c>
      <c r="D698" s="2" t="n">
        <v>947.658267164</v>
      </c>
      <c r="E698" s="2" t="n">
        <v>7.07183026094348</v>
      </c>
      <c r="F698" s="2" t="s">
        <v>23280</v>
      </c>
      <c r="G698" s="2" t="n">
        <v>58377</v>
      </c>
      <c r="H698" s="3" t="str">
        <f>HYPERLINK("http://funmeta.oebiotech.com/network/58377", "http://funmeta.oebiotech.com/network/58377")</f>
      </c>
      <c r="I698" s="2" t="s">
        <v>23281</v>
      </c>
      <c r="J698" s="2" t="s">
        <v>23282</v>
      </c>
      <c r="K698" s="2"/>
      <c r="L698" s="2"/>
      <c r="M698" s="2"/>
      <c r="N698" s="2" t="s">
        <v>23283</v>
      </c>
      <c r="O698" s="2" t="s">
        <v>23284</v>
      </c>
      <c r="P698" s="2" t="s">
        <v>23285</v>
      </c>
      <c r="Q698" s="2" t="s">
        <v>23286</v>
      </c>
      <c r="R698" s="2" t="s">
        <v>1490</v>
      </c>
      <c r="S698" s="2" t="s">
        <v>3546</v>
      </c>
      <c r="T698" s="2" t="s">
        <v>9677</v>
      </c>
      <c r="U698" s="2" t="s">
        <v>20731</v>
      </c>
      <c r="V698" s="2" t="s">
        <v>17922</v>
      </c>
      <c r="W698" s="2"/>
    </row>
    <row r="699">
      <c r="A699" s="2" t="n">
        <v>507</v>
      </c>
      <c r="B699" s="2" t="s">
        <v>23287</v>
      </c>
      <c r="C699" s="2" t="s">
        <v>20730</v>
      </c>
      <c r="D699" s="2" t="n">
        <v>947.658267164</v>
      </c>
      <c r="E699" s="2" t="n">
        <v>7.07183026094348</v>
      </c>
      <c r="F699" s="2" t="s">
        <v>23288</v>
      </c>
      <c r="G699" s="2" t="n">
        <v>61876</v>
      </c>
      <c r="H699" s="3" t="str">
        <f>HYPERLINK("http://funmeta.oebiotech.com/network/61876", "http://funmeta.oebiotech.com/network/61876")</f>
      </c>
      <c r="I699" s="2" t="s">
        <v>23289</v>
      </c>
      <c r="J699" s="2"/>
      <c r="K699" s="2"/>
      <c r="L699" s="2"/>
      <c r="M699" s="2"/>
      <c r="N699" s="2" t="s">
        <v>23290</v>
      </c>
      <c r="O699" s="2" t="s">
        <v>23291</v>
      </c>
      <c r="P699" s="2" t="s">
        <v>23292</v>
      </c>
      <c r="Q699" s="2" t="s">
        <v>23293</v>
      </c>
      <c r="R699" s="2" t="s">
        <v>1490</v>
      </c>
      <c r="S699" s="2" t="s">
        <v>3546</v>
      </c>
      <c r="T699" s="2" t="s">
        <v>9677</v>
      </c>
      <c r="U699" s="2" t="s">
        <v>20731</v>
      </c>
      <c r="V699" s="2" t="s">
        <v>17922</v>
      </c>
      <c r="W699" s="2"/>
    </row>
    <row r="700">
      <c r="A700" s="2" t="n">
        <v>508</v>
      </c>
      <c r="B700" s="2" t="s">
        <v>13670</v>
      </c>
      <c r="C700" s="2" t="s">
        <v>20740</v>
      </c>
      <c r="D700" s="2" t="n">
        <v>948.681814182</v>
      </c>
      <c r="E700" s="2" t="n">
        <v>6.44286550285627</v>
      </c>
      <c r="F700" s="2" t="s">
        <v>20742</v>
      </c>
      <c r="G700" s="2" t="n">
        <v>134597</v>
      </c>
      <c r="H700" s="3" t="str">
        <f>HYPERLINK("http://funmeta.oebiotech.com/network/134597", "http://funmeta.oebiotech.com/network/134597")</f>
      </c>
      <c r="I700" s="2" t="s">
        <v>20744</v>
      </c>
      <c r="J700" s="2"/>
      <c r="K700" s="2"/>
      <c r="L700" s="2"/>
      <c r="M700" s="2"/>
      <c r="N700" s="2" t="s">
        <v>20745</v>
      </c>
      <c r="O700" s="2"/>
      <c r="P700" s="2" t="s">
        <v>20746</v>
      </c>
      <c r="Q700" s="2" t="s">
        <v>20747</v>
      </c>
      <c r="R700" s="2" t="s">
        <v>1490</v>
      </c>
      <c r="S700" s="2" t="s">
        <v>4236</v>
      </c>
      <c r="T700" s="2" t="s">
        <v>5369</v>
      </c>
      <c r="U700" s="2" t="s">
        <v>20741</v>
      </c>
      <c r="V700" s="2" t="s">
        <v>15919</v>
      </c>
      <c r="W700" s="2"/>
    </row>
    <row r="701">
      <c r="A701" s="2" t="n">
        <v>509</v>
      </c>
      <c r="B701" s="2" t="s">
        <v>13671</v>
      </c>
      <c r="C701" s="2" t="s">
        <v>20748</v>
      </c>
      <c r="D701" s="2" t="n">
        <v>949.682198402</v>
      </c>
      <c r="E701" s="2" t="n">
        <v>1.63911848549224</v>
      </c>
      <c r="F701" s="2" t="s">
        <v>20750</v>
      </c>
      <c r="G701" s="2" t="n">
        <v>51168</v>
      </c>
      <c r="H701" s="3" t="str">
        <f>HYPERLINK("http://funmeta.oebiotech.com/network/51168", "http://funmeta.oebiotech.com/network/51168")</f>
      </c>
      <c r="I701" s="2" t="s">
        <v>20752</v>
      </c>
      <c r="J701" s="2" t="s">
        <v>20753</v>
      </c>
      <c r="K701" s="2"/>
      <c r="L701" s="2"/>
      <c r="M701" s="2"/>
      <c r="N701" s="2" t="s">
        <v>20754</v>
      </c>
      <c r="O701" s="2"/>
      <c r="P701" s="2" t="s">
        <v>20755</v>
      </c>
      <c r="Q701" s="2" t="s">
        <v>20756</v>
      </c>
      <c r="R701" s="2" t="s">
        <v>1490</v>
      </c>
      <c r="S701" s="2" t="s">
        <v>6728</v>
      </c>
      <c r="T701" s="2" t="s">
        <v>9027</v>
      </c>
      <c r="U701" s="2" t="s">
        <v>20749</v>
      </c>
      <c r="V701" s="2" t="s">
        <v>15649</v>
      </c>
      <c r="W701" s="2"/>
    </row>
    <row r="702">
      <c r="A702" s="2" t="n">
        <v>510</v>
      </c>
      <c r="B702" s="2" t="s">
        <v>13672</v>
      </c>
      <c r="C702" s="2" t="s">
        <v>20757</v>
      </c>
      <c r="D702" s="2" t="n">
        <v>951.689567292</v>
      </c>
      <c r="E702" s="2" t="n">
        <v>5.37618621317338</v>
      </c>
      <c r="F702" s="2" t="s">
        <v>20759</v>
      </c>
      <c r="G702" s="2" t="n">
        <v>256256</v>
      </c>
      <c r="H702" s="3" t="str">
        <f>HYPERLINK("http://funmeta.oebiotech.com/network/256256", "http://funmeta.oebiotech.com/network/256256")</f>
      </c>
      <c r="I702" s="2" t="s">
        <v>20761</v>
      </c>
      <c r="J702" s="2" t="s">
        <v>20762</v>
      </c>
      <c r="K702" s="2"/>
      <c r="L702" s="2" t="s">
        <v>20763</v>
      </c>
      <c r="M702" s="2" t="s">
        <v>20764</v>
      </c>
      <c r="N702" s="2" t="s">
        <v>20765</v>
      </c>
      <c r="O702" s="2"/>
      <c r="P702" s="2" t="s">
        <v>20766</v>
      </c>
      <c r="Q702" s="2" t="s">
        <v>20767</v>
      </c>
      <c r="R702" s="2" t="s">
        <v>1490</v>
      </c>
      <c r="S702" s="2" t="s">
        <v>3546</v>
      </c>
      <c r="T702" s="2" t="s">
        <v>8600</v>
      </c>
      <c r="U702" s="2" t="s">
        <v>20758</v>
      </c>
      <c r="V702" s="2" t="s">
        <v>17922</v>
      </c>
      <c r="W702" s="2" t="s">
        <v>39</v>
      </c>
    </row>
    <row r="703">
      <c r="A703" s="2" t="n">
        <v>511</v>
      </c>
      <c r="B703" s="2" t="s">
        <v>13673</v>
      </c>
      <c r="C703" s="2" t="s">
        <v>20768</v>
      </c>
      <c r="D703" s="2" t="n">
        <v>955.575480134</v>
      </c>
      <c r="E703" s="2" t="n">
        <v>2.19814954626088</v>
      </c>
      <c r="F703" s="2" t="s">
        <v>23294</v>
      </c>
      <c r="G703" s="2" t="n">
        <v>213221</v>
      </c>
      <c r="H703" s="3" t="str">
        <f>HYPERLINK("http://funmeta.oebiotech.com/network/213221", "http://funmeta.oebiotech.com/network/213221")</f>
      </c>
      <c r="I703" s="2" t="s">
        <v>23295</v>
      </c>
      <c r="J703" s="2"/>
      <c r="K703" s="2"/>
      <c r="L703" s="2"/>
      <c r="M703" s="2"/>
      <c r="N703" s="2" t="s">
        <v>23296</v>
      </c>
      <c r="O703" s="2"/>
      <c r="P703" s="2" t="s">
        <v>23297</v>
      </c>
      <c r="Q703" s="2" t="s">
        <v>23298</v>
      </c>
      <c r="R703" s="2" t="s">
        <v>1490</v>
      </c>
      <c r="S703" s="2" t="s">
        <v>6728</v>
      </c>
      <c r="T703" s="2" t="s">
        <v>9027</v>
      </c>
      <c r="U703" s="2" t="s">
        <v>20769</v>
      </c>
      <c r="V703" s="2" t="s">
        <v>15919</v>
      </c>
      <c r="W703" s="2"/>
    </row>
    <row r="704">
      <c r="A704" s="2" t="n">
        <v>511</v>
      </c>
      <c r="B704" s="2" t="s">
        <v>23299</v>
      </c>
      <c r="C704" s="2" t="s">
        <v>20768</v>
      </c>
      <c r="D704" s="2" t="n">
        <v>955.575480146</v>
      </c>
      <c r="E704" s="2" t="n">
        <v>2.19814954626088</v>
      </c>
      <c r="F704" s="2" t="s">
        <v>23300</v>
      </c>
      <c r="G704" s="2" t="n">
        <v>64593</v>
      </c>
      <c r="H704" s="3" t="str">
        <f>HYPERLINK("http://funmeta.oebiotech.com/network/64593", "http://funmeta.oebiotech.com/network/64593")</f>
      </c>
      <c r="I704" s="2" t="s">
        <v>23301</v>
      </c>
      <c r="J704" s="2" t="s">
        <v>23302</v>
      </c>
      <c r="K704" s="2"/>
      <c r="L704" s="2"/>
      <c r="M704" s="2"/>
      <c r="N704" s="2" t="s">
        <v>23303</v>
      </c>
      <c r="O704" s="2" t="s">
        <v>23304</v>
      </c>
      <c r="P704" s="2" t="s">
        <v>23305</v>
      </c>
      <c r="Q704" s="2" t="s">
        <v>23306</v>
      </c>
      <c r="R704" s="2" t="s">
        <v>1490</v>
      </c>
      <c r="S704" s="2" t="s">
        <v>6728</v>
      </c>
      <c r="T704" s="2" t="s">
        <v>9027</v>
      </c>
      <c r="U704" s="2" t="s">
        <v>20769</v>
      </c>
      <c r="V704" s="2" t="s">
        <v>15919</v>
      </c>
      <c r="W704" s="2"/>
    </row>
    <row r="705">
      <c r="A705" s="2" t="n">
        <v>512</v>
      </c>
      <c r="B705" s="2" t="s">
        <v>13674</v>
      </c>
      <c r="C705" s="2" t="s">
        <v>20780</v>
      </c>
      <c r="D705" s="2" t="n">
        <v>956.577743036</v>
      </c>
      <c r="E705" s="2" t="n">
        <v>1.02436858696361</v>
      </c>
      <c r="F705" s="2" t="s">
        <v>20782</v>
      </c>
      <c r="G705" s="2" t="n">
        <v>132983</v>
      </c>
      <c r="H705" s="3" t="str">
        <f>HYPERLINK("http://funmeta.oebiotech.com/network/132983", "http://funmeta.oebiotech.com/network/132983")</f>
      </c>
      <c r="I705" s="2" t="s">
        <v>20784</v>
      </c>
      <c r="J705" s="2"/>
      <c r="K705" s="2"/>
      <c r="L705" s="2"/>
      <c r="M705" s="2"/>
      <c r="N705" s="2" t="s">
        <v>20785</v>
      </c>
      <c r="O705" s="2"/>
      <c r="P705" s="2" t="s">
        <v>20786</v>
      </c>
      <c r="Q705" s="2" t="s">
        <v>20787</v>
      </c>
      <c r="R705" s="2" t="s">
        <v>1490</v>
      </c>
      <c r="S705" s="2" t="s">
        <v>4236</v>
      </c>
      <c r="T705" s="2" t="s">
        <v>8380</v>
      </c>
      <c r="U705" s="2" t="s">
        <v>20781</v>
      </c>
      <c r="V705" s="2" t="s">
        <v>15919</v>
      </c>
      <c r="W705" s="2"/>
    </row>
    <row r="706">
      <c r="A706" s="2" t="n">
        <v>513</v>
      </c>
      <c r="B706" s="2" t="s">
        <v>13675</v>
      </c>
      <c r="C706" s="2" t="s">
        <v>20788</v>
      </c>
      <c r="D706" s="2" t="n">
        <v>963.66843792</v>
      </c>
      <c r="E706" s="2" t="n">
        <v>5.45175060604844</v>
      </c>
      <c r="F706" s="2" t="s">
        <v>20790</v>
      </c>
      <c r="G706" s="2" t="n">
        <v>51424</v>
      </c>
      <c r="H706" s="3" t="str">
        <f>HYPERLINK("http://funmeta.oebiotech.com/network/51424", "http://funmeta.oebiotech.com/network/51424")</f>
      </c>
      <c r="I706" s="2" t="s">
        <v>20792</v>
      </c>
      <c r="J706" s="2"/>
      <c r="K706" s="2"/>
      <c r="L706" s="2" t="s">
        <v>20793</v>
      </c>
      <c r="M706" s="2" t="s">
        <v>20794</v>
      </c>
      <c r="N706" s="2" t="s">
        <v>20795</v>
      </c>
      <c r="O706" s="2" t="s">
        <v>20796</v>
      </c>
      <c r="P706" s="2" t="s">
        <v>20797</v>
      </c>
      <c r="Q706" s="2" t="s">
        <v>20798</v>
      </c>
      <c r="R706" s="2" t="s">
        <v>1490</v>
      </c>
      <c r="S706" s="2" t="s">
        <v>4971</v>
      </c>
      <c r="T706" s="2" t="s">
        <v>7445</v>
      </c>
      <c r="U706" s="2" t="s">
        <v>20789</v>
      </c>
      <c r="V706" s="2" t="s">
        <v>17922</v>
      </c>
      <c r="W706" s="2" t="s">
        <v>39</v>
      </c>
    </row>
    <row r="707">
      <c r="A707" s="2" t="n">
        <v>514</v>
      </c>
      <c r="B707" s="2" t="s">
        <v>13676</v>
      </c>
      <c r="C707" s="2" t="s">
        <v>20799</v>
      </c>
      <c r="D707" s="2" t="n">
        <v>965.543628704</v>
      </c>
      <c r="E707" s="2" t="n">
        <v>4.66274786427852</v>
      </c>
      <c r="F707" s="2" t="s">
        <v>20801</v>
      </c>
      <c r="G707" s="2" t="n">
        <v>203275</v>
      </c>
      <c r="H707" s="3" t="str">
        <f>HYPERLINK("http://funmeta.oebiotech.com/network/203275", "http://funmeta.oebiotech.com/network/203275")</f>
      </c>
      <c r="I707" s="2" t="s">
        <v>20803</v>
      </c>
      <c r="J707" s="2" t="s">
        <v>20804</v>
      </c>
      <c r="K707" s="2"/>
      <c r="L707" s="2"/>
      <c r="M707" s="2" t="s">
        <v>20805</v>
      </c>
      <c r="N707" s="2" t="s">
        <v>20806</v>
      </c>
      <c r="O707" s="2"/>
      <c r="P707" s="2" t="s">
        <v>20807</v>
      </c>
      <c r="Q707" s="2" t="s">
        <v>20808</v>
      </c>
      <c r="R707" s="2" t="s">
        <v>355</v>
      </c>
      <c r="S707" s="2" t="s">
        <v>2424</v>
      </c>
      <c r="T707" s="2" t="s">
        <v>20809</v>
      </c>
      <c r="U707" s="2" t="s">
        <v>20800</v>
      </c>
      <c r="V707" s="2" t="s">
        <v>15778</v>
      </c>
      <c r="W707" s="2"/>
    </row>
    <row r="708">
      <c r="A708" s="2" t="n">
        <v>515</v>
      </c>
      <c r="B708" s="2" t="s">
        <v>13677</v>
      </c>
      <c r="C708" s="2" t="s">
        <v>20810</v>
      </c>
      <c r="D708" s="2" t="n">
        <v>977.552873233</v>
      </c>
      <c r="E708" s="2" t="n">
        <v>3.16667572808169</v>
      </c>
      <c r="F708" s="2" t="s">
        <v>20812</v>
      </c>
      <c r="G708" s="2" t="n">
        <v>256230</v>
      </c>
      <c r="H708" s="3" t="str">
        <f>HYPERLINK("http://funmeta.oebiotech.com/network/256230", "http://funmeta.oebiotech.com/network/256230")</f>
      </c>
      <c r="I708" s="2" t="s">
        <v>20814</v>
      </c>
      <c r="J708" s="2"/>
      <c r="K708" s="2"/>
      <c r="L708" s="2"/>
      <c r="M708" s="2"/>
      <c r="N708" s="2" t="s">
        <v>20815</v>
      </c>
      <c r="O708" s="2"/>
      <c r="P708" s="2" t="s">
        <v>20816</v>
      </c>
      <c r="Q708" s="2" t="s">
        <v>20817</v>
      </c>
      <c r="R708" s="2" t="s">
        <v>49</v>
      </c>
      <c r="S708" s="2" t="s">
        <v>165</v>
      </c>
      <c r="T708" s="2" t="s">
        <v>166</v>
      </c>
      <c r="U708" s="2" t="s">
        <v>20811</v>
      </c>
      <c r="V708" s="2" t="s">
        <v>15649</v>
      </c>
      <c r="W708" s="2"/>
    </row>
    <row r="709">
      <c r="A709" s="2" t="n">
        <v>516</v>
      </c>
      <c r="B709" s="2" t="s">
        <v>13678</v>
      </c>
      <c r="C709" s="2" t="s">
        <v>20818</v>
      </c>
      <c r="D709" s="2" t="n">
        <v>979.569954696</v>
      </c>
      <c r="E709" s="2" t="n">
        <v>1.7589546436761</v>
      </c>
      <c r="F709" s="2" t="s">
        <v>20820</v>
      </c>
      <c r="G709" s="2" t="n">
        <v>205507</v>
      </c>
      <c r="H709" s="3" t="str">
        <f>HYPERLINK("http://funmeta.oebiotech.com/network/205507", "http://funmeta.oebiotech.com/network/205507")</f>
      </c>
      <c r="I709" s="2" t="s">
        <v>20822</v>
      </c>
      <c r="J709" s="2"/>
      <c r="K709" s="2"/>
      <c r="L709" s="2"/>
      <c r="M709" s="2"/>
      <c r="N709" s="2" t="s">
        <v>20823</v>
      </c>
      <c r="O709" s="2"/>
      <c r="P709" s="2" t="s">
        <v>20824</v>
      </c>
      <c r="Q709" s="2" t="s">
        <v>20825</v>
      </c>
      <c r="R709" s="2" t="s">
        <v>49</v>
      </c>
      <c r="S709" s="2" t="s">
        <v>165</v>
      </c>
      <c r="T709" s="2" t="s">
        <v>166</v>
      </c>
      <c r="U709" s="2" t="s">
        <v>20819</v>
      </c>
      <c r="V709" s="2" t="s">
        <v>17922</v>
      </c>
      <c r="W709" s="2"/>
    </row>
    <row r="710">
      <c r="A710" s="2" t="n">
        <v>517</v>
      </c>
      <c r="B710" s="2" t="s">
        <v>13702</v>
      </c>
      <c r="C710" s="2" t="s">
        <v>20826</v>
      </c>
      <c r="D710" s="2" t="n">
        <v>987.554691655</v>
      </c>
      <c r="E710" s="2" t="n">
        <v>2.04299934638349</v>
      </c>
      <c r="F710" s="2" t="s">
        <v>20828</v>
      </c>
      <c r="G710" s="2" t="n">
        <v>210456</v>
      </c>
      <c r="H710" s="3" t="str">
        <f>HYPERLINK("http://funmeta.oebiotech.com/network/210456", "http://funmeta.oebiotech.com/network/210456")</f>
      </c>
      <c r="I710" s="2" t="s">
        <v>20830</v>
      </c>
      <c r="J710" s="2"/>
      <c r="K710" s="2"/>
      <c r="L710" s="2"/>
      <c r="M710" s="2"/>
      <c r="N710" s="2" t="s">
        <v>20831</v>
      </c>
      <c r="O710" s="2"/>
      <c r="P710" s="2" t="s">
        <v>20832</v>
      </c>
      <c r="Q710" s="2" t="s">
        <v>20833</v>
      </c>
      <c r="R710" s="2" t="s">
        <v>49</v>
      </c>
      <c r="S710" s="2" t="s">
        <v>165</v>
      </c>
      <c r="T710" s="2" t="s">
        <v>166</v>
      </c>
      <c r="U710" s="2" t="s">
        <v>20827</v>
      </c>
      <c r="V710" s="2" t="s">
        <v>15691</v>
      </c>
      <c r="W710" s="2"/>
    </row>
    <row r="711">
      <c r="A711" s="2" t="n">
        <v>518</v>
      </c>
      <c r="B711" s="2" t="s">
        <v>13716</v>
      </c>
      <c r="C711" s="2" t="s">
        <v>20834</v>
      </c>
      <c r="D711" s="2" t="n">
        <v>996.141360551</v>
      </c>
      <c r="E711" s="2" t="n">
        <v>4.65582177163187</v>
      </c>
      <c r="F711" s="2" t="s">
        <v>20836</v>
      </c>
      <c r="G711" s="2" t="n">
        <v>51851</v>
      </c>
      <c r="H711" s="3" t="str">
        <f>HYPERLINK("http://funmeta.oebiotech.com/network/51851", "http://funmeta.oebiotech.com/network/51851")</f>
      </c>
      <c r="I711" s="2" t="s">
        <v>20838</v>
      </c>
      <c r="J711" s="2" t="s">
        <v>20839</v>
      </c>
      <c r="K711" s="2"/>
      <c r="L711" s="2" t="s">
        <v>20840</v>
      </c>
      <c r="M711" s="2"/>
      <c r="N711" s="2" t="s">
        <v>20841</v>
      </c>
      <c r="O711" s="2"/>
      <c r="P711" s="2" t="s">
        <v>20842</v>
      </c>
      <c r="Q711" s="2" t="s">
        <v>20843</v>
      </c>
      <c r="R711" s="2" t="s">
        <v>1490</v>
      </c>
      <c r="S711" s="2" t="s">
        <v>1491</v>
      </c>
      <c r="T711" s="2" t="s">
        <v>9107</v>
      </c>
      <c r="U711" s="2" t="s">
        <v>20835</v>
      </c>
      <c r="V711" s="2" t="s">
        <v>15919</v>
      </c>
      <c r="W711" s="2" t="s">
        <v>39</v>
      </c>
    </row>
    <row r="712">
      <c r="A712" s="2" t="n">
        <v>519</v>
      </c>
      <c r="B712" s="2" t="s">
        <v>13717</v>
      </c>
      <c r="C712" s="2" t="s">
        <v>20844</v>
      </c>
      <c r="D712" s="2" t="n">
        <v>996.568519109</v>
      </c>
      <c r="E712" s="2" t="n">
        <v>4.82293433412054</v>
      </c>
      <c r="F712" s="2" t="s">
        <v>20846</v>
      </c>
      <c r="G712" s="2" t="n">
        <v>135755</v>
      </c>
      <c r="H712" s="3" t="str">
        <f>HYPERLINK("http://funmeta.oebiotech.com/network/135755", "http://funmeta.oebiotech.com/network/135755")</f>
      </c>
      <c r="I712" s="2" t="s">
        <v>20848</v>
      </c>
      <c r="J712" s="2"/>
      <c r="K712" s="2"/>
      <c r="L712" s="2"/>
      <c r="M712" s="2"/>
      <c r="N712" s="2" t="s">
        <v>20849</v>
      </c>
      <c r="O712" s="2"/>
      <c r="P712" s="2" t="s">
        <v>20850</v>
      </c>
      <c r="Q712" s="2" t="s">
        <v>20851</v>
      </c>
      <c r="R712" s="2" t="s">
        <v>1490</v>
      </c>
      <c r="S712" s="2" t="s">
        <v>4236</v>
      </c>
      <c r="T712" s="2" t="s">
        <v>9778</v>
      </c>
      <c r="U712" s="2" t="s">
        <v>20845</v>
      </c>
      <c r="V712" s="2" t="s">
        <v>15649</v>
      </c>
      <c r="W712" s="2"/>
    </row>
    <row r="713">
      <c r="A713" s="2" t="n">
        <v>520</v>
      </c>
      <c r="B713" s="2" t="s">
        <v>13732</v>
      </c>
      <c r="C713" s="2" t="s">
        <v>20852</v>
      </c>
      <c r="D713" s="2" t="n">
        <v>1007.079175182</v>
      </c>
      <c r="E713" s="2" t="n">
        <v>7.44878447067184</v>
      </c>
      <c r="F713" s="2" t="s">
        <v>23307</v>
      </c>
      <c r="G713" s="2" t="n">
        <v>211727</v>
      </c>
      <c r="H713" s="3" t="str">
        <f>HYPERLINK("http://funmeta.oebiotech.com/network/211727", "http://funmeta.oebiotech.com/network/211727")</f>
      </c>
      <c r="I713" s="2" t="s">
        <v>23308</v>
      </c>
      <c r="J713" s="2"/>
      <c r="K713" s="2"/>
      <c r="L713" s="2"/>
      <c r="M713" s="2"/>
      <c r="N713" s="2" t="s">
        <v>23309</v>
      </c>
      <c r="O713" s="2"/>
      <c r="P713" s="2" t="s">
        <v>23310</v>
      </c>
      <c r="Q713" s="2" t="s">
        <v>23311</v>
      </c>
      <c r="R713" s="2" t="s">
        <v>355</v>
      </c>
      <c r="S713" s="2" t="s">
        <v>3869</v>
      </c>
      <c r="T713" s="2" t="s">
        <v>23312</v>
      </c>
      <c r="U713" s="2" t="s">
        <v>20853</v>
      </c>
      <c r="V713" s="2" t="s">
        <v>17922</v>
      </c>
      <c r="W713" s="2"/>
    </row>
    <row r="714">
      <c r="A714" s="2" t="n">
        <v>520</v>
      </c>
      <c r="B714" s="2" t="s">
        <v>23313</v>
      </c>
      <c r="C714" s="2" t="s">
        <v>20852</v>
      </c>
      <c r="D714" s="2" t="n">
        <v>1007.079175182</v>
      </c>
      <c r="E714" s="2" t="n">
        <v>7.44878447067184</v>
      </c>
      <c r="F714" s="2" t="s">
        <v>23314</v>
      </c>
      <c r="G714" s="2" t="n">
        <v>201951</v>
      </c>
      <c r="H714" s="3" t="str">
        <f>HYPERLINK("http://funmeta.oebiotech.com/network/201951", "http://funmeta.oebiotech.com/network/201951")</f>
      </c>
      <c r="I714" s="2" t="s">
        <v>23315</v>
      </c>
      <c r="J714" s="2"/>
      <c r="K714" s="2"/>
      <c r="L714" s="2"/>
      <c r="M714" s="2"/>
      <c r="N714" s="2" t="s">
        <v>23316</v>
      </c>
      <c r="O714" s="2"/>
      <c r="P714" s="2" t="s">
        <v>23317</v>
      </c>
      <c r="Q714" s="2" t="s">
        <v>23318</v>
      </c>
      <c r="R714" s="2" t="s">
        <v>355</v>
      </c>
      <c r="S714" s="2" t="s">
        <v>23319</v>
      </c>
      <c r="T714" s="2" t="s">
        <v>205</v>
      </c>
      <c r="U714" s="2" t="s">
        <v>20853</v>
      </c>
      <c r="V714" s="2" t="s">
        <v>17922</v>
      </c>
      <c r="W714" s="2"/>
    </row>
    <row r="715">
      <c r="A715" s="2" t="n">
        <v>521</v>
      </c>
      <c r="B715" s="2" t="s">
        <v>13733</v>
      </c>
      <c r="C715" s="2" t="s">
        <v>20862</v>
      </c>
      <c r="D715" s="2" t="n">
        <v>1017.540393798</v>
      </c>
      <c r="E715" s="2" t="n">
        <v>8.08155707532404</v>
      </c>
      <c r="F715" s="2" t="s">
        <v>20864</v>
      </c>
      <c r="G715" s="2" t="n">
        <v>204816</v>
      </c>
      <c r="H715" s="3" t="str">
        <f>HYPERLINK("http://funmeta.oebiotech.com/network/204816", "http://funmeta.oebiotech.com/network/204816")</f>
      </c>
      <c r="I715" s="2" t="s">
        <v>20866</v>
      </c>
      <c r="J715" s="2"/>
      <c r="K715" s="2"/>
      <c r="L715" s="2"/>
      <c r="M715" s="2"/>
      <c r="N715" s="2" t="s">
        <v>20867</v>
      </c>
      <c r="O715" s="2"/>
      <c r="P715" s="2" t="s">
        <v>20868</v>
      </c>
      <c r="Q715" s="2" t="s">
        <v>20869</v>
      </c>
      <c r="R715" s="2" t="s">
        <v>49</v>
      </c>
      <c r="S715" s="2" t="s">
        <v>165</v>
      </c>
      <c r="T715" s="2" t="s">
        <v>166</v>
      </c>
      <c r="U715" s="2" t="s">
        <v>20863</v>
      </c>
      <c r="V715" s="2" t="s">
        <v>15649</v>
      </c>
      <c r="W715" s="2"/>
    </row>
    <row r="716">
      <c r="A716" s="2" t="n">
        <v>522</v>
      </c>
      <c r="B716" s="2" t="s">
        <v>13755</v>
      </c>
      <c r="C716" s="2" t="s">
        <v>20870</v>
      </c>
      <c r="D716" s="2" t="n">
        <v>1030.552868089</v>
      </c>
      <c r="E716" s="2" t="n">
        <v>7.79199036137599</v>
      </c>
      <c r="F716" s="2" t="s">
        <v>23320</v>
      </c>
      <c r="G716" s="2" t="n">
        <v>48954</v>
      </c>
      <c r="H716" s="3" t="str">
        <f>HYPERLINK("http://funmeta.oebiotech.com/network/48954", "http://funmeta.oebiotech.com/network/48954")</f>
      </c>
      <c r="I716" s="2" t="s">
        <v>23321</v>
      </c>
      <c r="J716" s="2" t="s">
        <v>23322</v>
      </c>
      <c r="K716" s="2"/>
      <c r="L716" s="2"/>
      <c r="M716" s="2"/>
      <c r="N716" s="2" t="s">
        <v>23323</v>
      </c>
      <c r="O716" s="2"/>
      <c r="P716" s="2" t="s">
        <v>23324</v>
      </c>
      <c r="Q716" s="2" t="s">
        <v>23325</v>
      </c>
      <c r="R716" s="2" t="s">
        <v>1490</v>
      </c>
      <c r="S716" s="2" t="s">
        <v>4236</v>
      </c>
      <c r="T716" s="2" t="s">
        <v>9778</v>
      </c>
      <c r="U716" s="2" t="s">
        <v>20871</v>
      </c>
      <c r="V716" s="2" t="s">
        <v>15649</v>
      </c>
      <c r="W716" s="2"/>
    </row>
    <row r="717">
      <c r="A717" s="2" t="n">
        <v>522</v>
      </c>
      <c r="B717" s="2" t="s">
        <v>23326</v>
      </c>
      <c r="C717" s="2" t="s">
        <v>20870</v>
      </c>
      <c r="D717" s="2" t="n">
        <v>1030.552869045</v>
      </c>
      <c r="E717" s="2" t="n">
        <v>7.79199036137599</v>
      </c>
      <c r="F717" s="2" t="s">
        <v>23327</v>
      </c>
      <c r="G717" s="2" t="n">
        <v>135657</v>
      </c>
      <c r="H717" s="3" t="str">
        <f>HYPERLINK("http://funmeta.oebiotech.com/network/135657", "http://funmeta.oebiotech.com/network/135657")</f>
      </c>
      <c r="I717" s="2" t="s">
        <v>23328</v>
      </c>
      <c r="J717" s="2"/>
      <c r="K717" s="2"/>
      <c r="L717" s="2"/>
      <c r="M717" s="2"/>
      <c r="N717" s="2" t="s">
        <v>23329</v>
      </c>
      <c r="O717" s="2"/>
      <c r="P717" s="2" t="s">
        <v>23330</v>
      </c>
      <c r="Q717" s="2" t="s">
        <v>23331</v>
      </c>
      <c r="R717" s="2" t="s">
        <v>1490</v>
      </c>
      <c r="S717" s="2" t="s">
        <v>4236</v>
      </c>
      <c r="T717" s="2" t="s">
        <v>9778</v>
      </c>
      <c r="U717" s="2" t="s">
        <v>20871</v>
      </c>
      <c r="V717" s="2" t="s">
        <v>15649</v>
      </c>
      <c r="W717" s="2"/>
    </row>
    <row r="718">
      <c r="A718" s="2" t="n">
        <v>523</v>
      </c>
      <c r="B718" s="2" t="s">
        <v>13756</v>
      </c>
      <c r="C718" s="2" t="s">
        <v>20880</v>
      </c>
      <c r="D718" s="2" t="n">
        <v>1032.058467</v>
      </c>
      <c r="E718" s="2" t="n">
        <v>2.77157019530256</v>
      </c>
      <c r="F718" s="2" t="s">
        <v>20882</v>
      </c>
      <c r="G718" s="2" t="n">
        <v>205001</v>
      </c>
      <c r="H718" s="3" t="str">
        <f>HYPERLINK("http://funmeta.oebiotech.com/network/205001", "http://funmeta.oebiotech.com/network/205001")</f>
      </c>
      <c r="I718" s="2" t="s">
        <v>20884</v>
      </c>
      <c r="J718" s="2"/>
      <c r="K718" s="2"/>
      <c r="L718" s="2"/>
      <c r="M718" s="2"/>
      <c r="N718" s="2" t="s">
        <v>20885</v>
      </c>
      <c r="O718" s="2"/>
      <c r="P718" s="2" t="s">
        <v>20886</v>
      </c>
      <c r="Q718" s="2" t="s">
        <v>20887</v>
      </c>
      <c r="R718" s="2" t="s">
        <v>1490</v>
      </c>
      <c r="S718" s="2" t="s">
        <v>3546</v>
      </c>
      <c r="T718" s="2" t="s">
        <v>20888</v>
      </c>
      <c r="U718" s="2" t="s">
        <v>20881</v>
      </c>
      <c r="V718" s="2" t="s">
        <v>15722</v>
      </c>
      <c r="W718" s="2"/>
    </row>
    <row r="719">
      <c r="A719" s="2" t="n">
        <v>524</v>
      </c>
      <c r="B719" s="2" t="s">
        <v>13757</v>
      </c>
      <c r="C719" s="2" t="s">
        <v>20889</v>
      </c>
      <c r="D719" s="2" t="n">
        <v>1041.586952698</v>
      </c>
      <c r="E719" s="2" t="n">
        <v>2.77028917216035</v>
      </c>
      <c r="F719" s="2" t="s">
        <v>20891</v>
      </c>
      <c r="G719" s="2" t="n">
        <v>205190</v>
      </c>
      <c r="H719" s="3" t="str">
        <f>HYPERLINK("http://funmeta.oebiotech.com/network/205190", "http://funmeta.oebiotech.com/network/205190")</f>
      </c>
      <c r="I719" s="2" t="s">
        <v>20893</v>
      </c>
      <c r="J719" s="2"/>
      <c r="K719" s="2"/>
      <c r="L719" s="2"/>
      <c r="M719" s="2"/>
      <c r="N719" s="2" t="s">
        <v>20894</v>
      </c>
      <c r="O719" s="2"/>
      <c r="P719" s="2" t="s">
        <v>20895</v>
      </c>
      <c r="Q719" s="2" t="s">
        <v>20896</v>
      </c>
      <c r="R719" s="2" t="s">
        <v>1490</v>
      </c>
      <c r="S719" s="2" t="s">
        <v>4971</v>
      </c>
      <c r="T719" s="2" t="s">
        <v>7445</v>
      </c>
      <c r="U719" s="2" t="s">
        <v>20890</v>
      </c>
      <c r="V719" s="2" t="s">
        <v>17922</v>
      </c>
      <c r="W719" s="2"/>
    </row>
    <row r="720">
      <c r="A720" s="2" t="n">
        <v>525</v>
      </c>
      <c r="B720" s="2" t="s">
        <v>13758</v>
      </c>
      <c r="C720" s="2" t="s">
        <v>20897</v>
      </c>
      <c r="D720" s="2" t="n">
        <v>1042.123909852</v>
      </c>
      <c r="E720" s="2" t="n">
        <v>1.2126508381995</v>
      </c>
      <c r="F720" s="2" t="s">
        <v>20899</v>
      </c>
      <c r="G720" s="2" t="n">
        <v>55648</v>
      </c>
      <c r="H720" s="3" t="str">
        <f>HYPERLINK("http://funmeta.oebiotech.com/network/55648", "http://funmeta.oebiotech.com/network/55648")</f>
      </c>
      <c r="I720" s="2" t="s">
        <v>20901</v>
      </c>
      <c r="J720" s="2" t="s">
        <v>20902</v>
      </c>
      <c r="K720" s="2"/>
      <c r="L720" s="2"/>
      <c r="M720" s="2"/>
      <c r="N720" s="2" t="s">
        <v>20903</v>
      </c>
      <c r="O720" s="2"/>
      <c r="P720" s="2" t="s">
        <v>20904</v>
      </c>
      <c r="Q720" s="2" t="s">
        <v>20905</v>
      </c>
      <c r="R720" s="2" t="s">
        <v>64</v>
      </c>
      <c r="S720" s="2" t="s">
        <v>65</v>
      </c>
      <c r="T720" s="2" t="s">
        <v>91</v>
      </c>
      <c r="U720" s="2" t="s">
        <v>20898</v>
      </c>
      <c r="V720" s="2" t="s">
        <v>15778</v>
      </c>
      <c r="W720" s="2"/>
    </row>
    <row r="721">
      <c r="A721" s="2" t="n">
        <v>526</v>
      </c>
      <c r="B721" s="2" t="s">
        <v>13759</v>
      </c>
      <c r="C721" s="2" t="s">
        <v>20906</v>
      </c>
      <c r="D721" s="2" t="n">
        <v>1050.1074755</v>
      </c>
      <c r="E721" s="2" t="n">
        <v>6.74242522700038</v>
      </c>
      <c r="F721" s="2" t="s">
        <v>20908</v>
      </c>
      <c r="G721" s="2" t="n">
        <v>208794</v>
      </c>
      <c r="H721" s="3" t="str">
        <f>HYPERLINK("http://funmeta.oebiotech.com/network/208794", "http://funmeta.oebiotech.com/network/208794")</f>
      </c>
      <c r="I721" s="2" t="s">
        <v>20910</v>
      </c>
      <c r="J721" s="2"/>
      <c r="K721" s="2"/>
      <c r="L721" s="2"/>
      <c r="M721" s="2"/>
      <c r="N721" s="2" t="s">
        <v>20911</v>
      </c>
      <c r="O721" s="2"/>
      <c r="P721" s="2" t="s">
        <v>20912</v>
      </c>
      <c r="Q721" s="2" t="s">
        <v>20913</v>
      </c>
      <c r="R721" s="2" t="s">
        <v>1490</v>
      </c>
      <c r="S721" s="2" t="s">
        <v>1491</v>
      </c>
      <c r="T721" s="2" t="s">
        <v>9107</v>
      </c>
      <c r="U721" s="2" t="s">
        <v>20907</v>
      </c>
      <c r="V721" s="2" t="s">
        <v>15919</v>
      </c>
      <c r="W721" s="2"/>
    </row>
    <row r="722">
      <c r="A722" s="2" t="n">
        <v>527</v>
      </c>
      <c r="B722" s="2" t="s">
        <v>13760</v>
      </c>
      <c r="C722" s="2" t="s">
        <v>20914</v>
      </c>
      <c r="D722" s="2" t="n">
        <v>1075.109378</v>
      </c>
      <c r="E722" s="2" t="n">
        <v>2.01136802840278</v>
      </c>
      <c r="F722" s="2" t="s">
        <v>20916</v>
      </c>
      <c r="G722" s="2" t="n">
        <v>210864</v>
      </c>
      <c r="H722" s="3" t="str">
        <f>HYPERLINK("http://funmeta.oebiotech.com/network/210864", "http://funmeta.oebiotech.com/network/210864")</f>
      </c>
      <c r="I722" s="2" t="s">
        <v>20918</v>
      </c>
      <c r="J722" s="2"/>
      <c r="K722" s="2"/>
      <c r="L722" s="2"/>
      <c r="M722" s="2"/>
      <c r="N722" s="2" t="s">
        <v>20919</v>
      </c>
      <c r="O722" s="2"/>
      <c r="P722" s="2" t="s">
        <v>20920</v>
      </c>
      <c r="Q722" s="2" t="s">
        <v>20921</v>
      </c>
      <c r="R722" s="2" t="s">
        <v>49</v>
      </c>
      <c r="S722" s="2" t="s">
        <v>165</v>
      </c>
      <c r="T722" s="2" t="s">
        <v>166</v>
      </c>
      <c r="U722" s="2" t="s">
        <v>20915</v>
      </c>
      <c r="V722" s="2" t="s">
        <v>17922</v>
      </c>
      <c r="W722" s="2"/>
    </row>
    <row r="723">
      <c r="A723" s="2" t="n">
        <v>528</v>
      </c>
      <c r="B723" s="2" t="s">
        <v>13761</v>
      </c>
      <c r="C723" s="2" t="s">
        <v>20922</v>
      </c>
      <c r="D723" s="2" t="n">
        <v>1083.591083692</v>
      </c>
      <c r="E723" s="2" t="n">
        <v>2.16162097785312</v>
      </c>
      <c r="F723" s="2" t="s">
        <v>20924</v>
      </c>
      <c r="G723" s="2" t="n">
        <v>136594</v>
      </c>
      <c r="H723" s="3" t="str">
        <f>HYPERLINK("http://funmeta.oebiotech.com/network/136594", "http://funmeta.oebiotech.com/network/136594")</f>
      </c>
      <c r="I723" s="2" t="s">
        <v>20926</v>
      </c>
      <c r="J723" s="2"/>
      <c r="K723" s="2"/>
      <c r="L723" s="2"/>
      <c r="M723" s="2"/>
      <c r="N723" s="2" t="s">
        <v>20927</v>
      </c>
      <c r="O723" s="2"/>
      <c r="P723" s="2" t="s">
        <v>20928</v>
      </c>
      <c r="Q723" s="2" t="s">
        <v>20929</v>
      </c>
      <c r="R723" s="2" t="s">
        <v>1490</v>
      </c>
      <c r="S723" s="2" t="s">
        <v>4236</v>
      </c>
      <c r="T723" s="2" t="s">
        <v>9758</v>
      </c>
      <c r="U723" s="2" t="s">
        <v>20923</v>
      </c>
      <c r="V723" s="2" t="s">
        <v>15919</v>
      </c>
      <c r="W723" s="2"/>
    </row>
    <row r="724">
      <c r="A724" s="2" t="n">
        <v>529</v>
      </c>
      <c r="B724" s="2" t="s">
        <v>13762</v>
      </c>
      <c r="C724" s="2" t="s">
        <v>20930</v>
      </c>
      <c r="D724" s="2" t="n">
        <v>1095.135810028</v>
      </c>
      <c r="E724" s="2" t="n">
        <v>2.5812522979</v>
      </c>
      <c r="F724" s="2" t="s">
        <v>23332</v>
      </c>
      <c r="G724" s="2" t="n">
        <v>254964</v>
      </c>
      <c r="H724" s="3" t="str">
        <f>HYPERLINK("http://funmeta.oebiotech.com/network/254964", "http://funmeta.oebiotech.com/network/254964")</f>
      </c>
      <c r="I724" s="2" t="s">
        <v>23333</v>
      </c>
      <c r="J724" s="2"/>
      <c r="K724" s="2"/>
      <c r="L724" s="2"/>
      <c r="M724" s="2"/>
      <c r="N724" s="2" t="s">
        <v>23334</v>
      </c>
      <c r="O724" s="2"/>
      <c r="P724" s="2" t="s">
        <v>23335</v>
      </c>
      <c r="Q724" s="2" t="s">
        <v>23336</v>
      </c>
      <c r="R724" s="2" t="s">
        <v>2509</v>
      </c>
      <c r="S724" s="2" t="s">
        <v>5520</v>
      </c>
      <c r="T724" s="2" t="s">
        <v>7136</v>
      </c>
      <c r="U724" s="2" t="s">
        <v>20931</v>
      </c>
      <c r="V724" s="2" t="s">
        <v>15722</v>
      </c>
      <c r="W724" s="2"/>
    </row>
    <row r="725">
      <c r="A725" s="2" t="n">
        <v>529</v>
      </c>
      <c r="B725" s="2" t="s">
        <v>23337</v>
      </c>
      <c r="C725" s="2" t="s">
        <v>20930</v>
      </c>
      <c r="D725" s="2" t="n">
        <v>1095.135810028</v>
      </c>
      <c r="E725" s="2" t="n">
        <v>2.5812522979</v>
      </c>
      <c r="F725" s="2" t="s">
        <v>23338</v>
      </c>
      <c r="G725" s="2" t="n">
        <v>254965</v>
      </c>
      <c r="H725" s="3" t="str">
        <f>HYPERLINK("http://funmeta.oebiotech.com/network/254965", "http://funmeta.oebiotech.com/network/254965")</f>
      </c>
      <c r="I725" s="2" t="s">
        <v>23339</v>
      </c>
      <c r="J725" s="2"/>
      <c r="K725" s="2"/>
      <c r="L725" s="2"/>
      <c r="M725" s="2"/>
      <c r="N725" s="2" t="s">
        <v>23340</v>
      </c>
      <c r="O725" s="2"/>
      <c r="P725" s="2" t="s">
        <v>23341</v>
      </c>
      <c r="Q725" s="2" t="s">
        <v>23342</v>
      </c>
      <c r="R725" s="2" t="s">
        <v>2509</v>
      </c>
      <c r="S725" s="2" t="s">
        <v>5520</v>
      </c>
      <c r="T725" s="2" t="s">
        <v>7136</v>
      </c>
      <c r="U725" s="2" t="s">
        <v>20931</v>
      </c>
      <c r="V725" s="2" t="s">
        <v>15722</v>
      </c>
      <c r="W725" s="2"/>
    </row>
    <row r="726">
      <c r="A726" s="2" t="n">
        <v>530</v>
      </c>
      <c r="B726" s="2" t="s">
        <v>13763</v>
      </c>
      <c r="C726" s="2" t="s">
        <v>20938</v>
      </c>
      <c r="D726" s="2" t="n">
        <v>1105.594171256</v>
      </c>
      <c r="E726" s="2" t="n">
        <v>9.44937231213895</v>
      </c>
      <c r="F726" s="2" t="s">
        <v>23343</v>
      </c>
      <c r="G726" s="2" t="n">
        <v>55402</v>
      </c>
      <c r="H726" s="3" t="str">
        <f>HYPERLINK("http://funmeta.oebiotech.com/network/55402", "http://funmeta.oebiotech.com/network/55402")</f>
      </c>
      <c r="I726" s="2" t="s">
        <v>23344</v>
      </c>
      <c r="J726" s="2" t="s">
        <v>23345</v>
      </c>
      <c r="K726" s="2"/>
      <c r="L726" s="2"/>
      <c r="M726" s="2"/>
      <c r="N726" s="2" t="s">
        <v>23346</v>
      </c>
      <c r="O726" s="2" t="s">
        <v>23347</v>
      </c>
      <c r="P726" s="2" t="s">
        <v>23348</v>
      </c>
      <c r="Q726" s="2" t="s">
        <v>23349</v>
      </c>
      <c r="R726" s="2" t="s">
        <v>1490</v>
      </c>
      <c r="S726" s="2" t="s">
        <v>3546</v>
      </c>
      <c r="T726" s="2" t="s">
        <v>8600</v>
      </c>
      <c r="U726" s="2" t="s">
        <v>20939</v>
      </c>
      <c r="V726" s="2" t="s">
        <v>15778</v>
      </c>
      <c r="W726" s="2"/>
    </row>
    <row r="727">
      <c r="A727" s="2" t="n">
        <v>530</v>
      </c>
      <c r="B727" s="2" t="s">
        <v>23350</v>
      </c>
      <c r="C727" s="2" t="s">
        <v>20938</v>
      </c>
      <c r="D727" s="2" t="n">
        <v>1105.594171256</v>
      </c>
      <c r="E727" s="2" t="n">
        <v>9.44937231213895</v>
      </c>
      <c r="F727" s="2" t="s">
        <v>23351</v>
      </c>
      <c r="G727" s="2" t="n">
        <v>57999</v>
      </c>
      <c r="H727" s="3" t="str">
        <f>HYPERLINK("http://funmeta.oebiotech.com/network/57999", "http://funmeta.oebiotech.com/network/57999")</f>
      </c>
      <c r="I727" s="2" t="s">
        <v>23352</v>
      </c>
      <c r="J727" s="2" t="s">
        <v>23353</v>
      </c>
      <c r="K727" s="2"/>
      <c r="L727" s="2"/>
      <c r="M727" s="2" t="s">
        <v>23354</v>
      </c>
      <c r="N727" s="2" t="s">
        <v>23355</v>
      </c>
      <c r="O727" s="2" t="s">
        <v>23356</v>
      </c>
      <c r="P727" s="2" t="s">
        <v>23357</v>
      </c>
      <c r="Q727" s="2" t="s">
        <v>23358</v>
      </c>
      <c r="R727" s="2" t="s">
        <v>1490</v>
      </c>
      <c r="S727" s="2" t="s">
        <v>3546</v>
      </c>
      <c r="T727" s="2" t="s">
        <v>8600</v>
      </c>
      <c r="U727" s="2" t="s">
        <v>20939</v>
      </c>
      <c r="V727" s="2" t="s">
        <v>15778</v>
      </c>
      <c r="W727" s="2"/>
    </row>
    <row r="728">
      <c r="A728" s="2" t="n">
        <v>531</v>
      </c>
      <c r="B728" s="2" t="s">
        <v>13764</v>
      </c>
      <c r="C728" s="2" t="s">
        <v>20949</v>
      </c>
      <c r="D728" s="2" t="n">
        <v>1117.143157448</v>
      </c>
      <c r="E728" s="2" t="n">
        <v>8.00756998733672</v>
      </c>
      <c r="F728" s="2" t="s">
        <v>20951</v>
      </c>
      <c r="G728" s="2" t="n">
        <v>60915</v>
      </c>
      <c r="H728" s="3" t="str">
        <f>HYPERLINK("http://funmeta.oebiotech.com/network/60915", "http://funmeta.oebiotech.com/network/60915")</f>
      </c>
      <c r="I728" s="2" t="s">
        <v>20953</v>
      </c>
      <c r="J728" s="2"/>
      <c r="K728" s="2"/>
      <c r="L728" s="2"/>
      <c r="M728" s="2"/>
      <c r="N728" s="2" t="s">
        <v>20954</v>
      </c>
      <c r="O728" s="2" t="s">
        <v>20955</v>
      </c>
      <c r="P728" s="2" t="s">
        <v>20956</v>
      </c>
      <c r="Q728" s="2" t="s">
        <v>20957</v>
      </c>
      <c r="R728" s="2" t="s">
        <v>2509</v>
      </c>
      <c r="S728" s="2" t="s">
        <v>5520</v>
      </c>
      <c r="T728" s="2" t="s">
        <v>5664</v>
      </c>
      <c r="U728" s="2" t="s">
        <v>20950</v>
      </c>
      <c r="V728" s="2" t="s">
        <v>15778</v>
      </c>
      <c r="W728" s="2"/>
    </row>
    <row r="729">
      <c r="A729" s="2" t="n">
        <v>532</v>
      </c>
      <c r="B729" s="2" t="s">
        <v>13765</v>
      </c>
      <c r="C729" s="2" t="s">
        <v>20958</v>
      </c>
      <c r="D729" s="2" t="n">
        <v>1117.631767624</v>
      </c>
      <c r="E729" s="2" t="n">
        <v>7.37792745820507</v>
      </c>
      <c r="F729" s="2" t="s">
        <v>20960</v>
      </c>
      <c r="G729" s="2" t="n">
        <v>205619</v>
      </c>
      <c r="H729" s="3" t="str">
        <f>HYPERLINK("http://funmeta.oebiotech.com/network/205619", "http://funmeta.oebiotech.com/network/205619")</f>
      </c>
      <c r="I729" s="2" t="s">
        <v>20962</v>
      </c>
      <c r="J729" s="2"/>
      <c r="K729" s="2"/>
      <c r="L729" s="2"/>
      <c r="M729" s="2"/>
      <c r="N729" s="2"/>
      <c r="O729" s="2"/>
      <c r="P729" s="2" t="s">
        <v>20963</v>
      </c>
      <c r="Q729" s="2" t="s">
        <v>20964</v>
      </c>
      <c r="R729" s="2" t="s">
        <v>64</v>
      </c>
      <c r="S729" s="2" t="s">
        <v>65</v>
      </c>
      <c r="T729" s="2" t="s">
        <v>66</v>
      </c>
      <c r="U729" s="2" t="s">
        <v>20959</v>
      </c>
      <c r="V729" s="2" t="s">
        <v>15611</v>
      </c>
      <c r="W729" s="2"/>
    </row>
    <row r="730">
      <c r="A730" s="2" t="n">
        <v>533</v>
      </c>
      <c r="B730" s="2" t="s">
        <v>13766</v>
      </c>
      <c r="C730" s="2" t="s">
        <v>20965</v>
      </c>
      <c r="D730" s="2" t="n">
        <v>1119.126121632</v>
      </c>
      <c r="E730" s="2" t="n">
        <v>4.90695448420599</v>
      </c>
      <c r="F730" s="2" t="s">
        <v>23359</v>
      </c>
      <c r="G730" s="2" t="n">
        <v>64469</v>
      </c>
      <c r="H730" s="3" t="str">
        <f>HYPERLINK("http://funmeta.oebiotech.com/network/64469", "http://funmeta.oebiotech.com/network/64469")</f>
      </c>
      <c r="I730" s="2" t="s">
        <v>23360</v>
      </c>
      <c r="J730" s="2" t="s">
        <v>23361</v>
      </c>
      <c r="K730" s="2"/>
      <c r="L730" s="2"/>
      <c r="M730" s="2"/>
      <c r="N730" s="2" t="s">
        <v>23362</v>
      </c>
      <c r="O730" s="2" t="s">
        <v>23363</v>
      </c>
      <c r="P730" s="2" t="s">
        <v>23364</v>
      </c>
      <c r="Q730" s="2" t="s">
        <v>23365</v>
      </c>
      <c r="R730" s="2" t="s">
        <v>2509</v>
      </c>
      <c r="S730" s="2" t="s">
        <v>4949</v>
      </c>
      <c r="T730" s="2" t="s">
        <v>9857</v>
      </c>
      <c r="U730" s="2" t="s">
        <v>20966</v>
      </c>
      <c r="V730" s="2" t="s">
        <v>15691</v>
      </c>
      <c r="W730" s="2"/>
    </row>
    <row r="731">
      <c r="A731" s="2" t="n">
        <v>533</v>
      </c>
      <c r="B731" s="2" t="s">
        <v>23366</v>
      </c>
      <c r="C731" s="2" t="s">
        <v>20965</v>
      </c>
      <c r="D731" s="2" t="n">
        <v>1119.126121632</v>
      </c>
      <c r="E731" s="2" t="n">
        <v>4.90695448420599</v>
      </c>
      <c r="F731" s="2" t="s">
        <v>23367</v>
      </c>
      <c r="G731" s="2" t="n">
        <v>64468</v>
      </c>
      <c r="H731" s="3" t="str">
        <f>HYPERLINK("http://funmeta.oebiotech.com/network/64468", "http://funmeta.oebiotech.com/network/64468")</f>
      </c>
      <c r="I731" s="2" t="s">
        <v>23368</v>
      </c>
      <c r="J731" s="2" t="s">
        <v>23369</v>
      </c>
      <c r="K731" s="2"/>
      <c r="L731" s="2"/>
      <c r="M731" s="2"/>
      <c r="N731" s="2" t="s">
        <v>23370</v>
      </c>
      <c r="O731" s="2" t="s">
        <v>23371</v>
      </c>
      <c r="P731" s="2" t="s">
        <v>23372</v>
      </c>
      <c r="Q731" s="2" t="s">
        <v>23373</v>
      </c>
      <c r="R731" s="2" t="s">
        <v>2509</v>
      </c>
      <c r="S731" s="2" t="s">
        <v>4949</v>
      </c>
      <c r="T731" s="2" t="s">
        <v>9857</v>
      </c>
      <c r="U731" s="2" t="s">
        <v>20966</v>
      </c>
      <c r="V731" s="2" t="s">
        <v>15691</v>
      </c>
      <c r="W731" s="2"/>
    </row>
    <row r="732">
      <c r="A732" s="2" t="n">
        <v>534</v>
      </c>
      <c r="B732" s="2" t="s">
        <v>13767</v>
      </c>
      <c r="C732" s="2" t="s">
        <v>20977</v>
      </c>
      <c r="D732" s="2" t="n">
        <v>1127.61336716</v>
      </c>
      <c r="E732" s="2" t="n">
        <v>0.110305594403895</v>
      </c>
      <c r="F732" s="2" t="s">
        <v>20979</v>
      </c>
      <c r="G732" s="2" t="n">
        <v>48279</v>
      </c>
      <c r="H732" s="3" t="str">
        <f>HYPERLINK("http://funmeta.oebiotech.com/network/48279", "http://funmeta.oebiotech.com/network/48279")</f>
      </c>
      <c r="I732" s="2" t="s">
        <v>20981</v>
      </c>
      <c r="J732" s="2" t="s">
        <v>20982</v>
      </c>
      <c r="K732" s="2"/>
      <c r="L732" s="2" t="s">
        <v>20983</v>
      </c>
      <c r="M732" s="2" t="s">
        <v>20984</v>
      </c>
      <c r="N732" s="2" t="s">
        <v>20985</v>
      </c>
      <c r="O732" s="2"/>
      <c r="P732" s="2" t="s">
        <v>20986</v>
      </c>
      <c r="Q732" s="2" t="s">
        <v>20987</v>
      </c>
      <c r="R732" s="2" t="s">
        <v>1490</v>
      </c>
      <c r="S732" s="2" t="s">
        <v>4971</v>
      </c>
      <c r="T732" s="2" t="s">
        <v>7445</v>
      </c>
      <c r="U732" s="2" t="s">
        <v>20978</v>
      </c>
      <c r="V732" s="2" t="s">
        <v>17922</v>
      </c>
      <c r="W732" s="2" t="s">
        <v>39</v>
      </c>
    </row>
    <row r="733">
      <c r="A733" s="2" t="n">
        <v>535</v>
      </c>
      <c r="B733" s="2" t="s">
        <v>13768</v>
      </c>
      <c r="C733" s="2" t="s">
        <v>20988</v>
      </c>
      <c r="D733" s="2" t="n">
        <v>1139.1585868</v>
      </c>
      <c r="E733" s="2" t="n">
        <v>6.15150579302355</v>
      </c>
      <c r="F733" s="2" t="s">
        <v>20990</v>
      </c>
      <c r="G733" s="2" t="n">
        <v>210874</v>
      </c>
      <c r="H733" s="3" t="str">
        <f>HYPERLINK("http://funmeta.oebiotech.com/network/210874", "http://funmeta.oebiotech.com/network/210874")</f>
      </c>
      <c r="I733" s="2" t="s">
        <v>20992</v>
      </c>
      <c r="J733" s="2"/>
      <c r="K733" s="2"/>
      <c r="L733" s="2"/>
      <c r="M733" s="2"/>
      <c r="N733" s="2" t="s">
        <v>20993</v>
      </c>
      <c r="O733" s="2"/>
      <c r="P733" s="2" t="s">
        <v>20994</v>
      </c>
      <c r="Q733" s="2" t="s">
        <v>20995</v>
      </c>
      <c r="R733" s="2" t="s">
        <v>355</v>
      </c>
      <c r="S733" s="2" t="s">
        <v>2424</v>
      </c>
      <c r="T733" s="2" t="s">
        <v>20809</v>
      </c>
      <c r="U733" s="2" t="s">
        <v>20989</v>
      </c>
      <c r="V733" s="2" t="s">
        <v>15778</v>
      </c>
      <c r="W733" s="2"/>
    </row>
    <row r="734">
      <c r="A734" s="2" t="n">
        <v>536</v>
      </c>
      <c r="B734" s="2" t="s">
        <v>13769</v>
      </c>
      <c r="C734" s="2" t="s">
        <v>20996</v>
      </c>
      <c r="D734" s="2" t="n">
        <v>1172.15051855</v>
      </c>
      <c r="E734" s="2" t="n">
        <v>8.41999126640446</v>
      </c>
      <c r="F734" s="2" t="s">
        <v>20998</v>
      </c>
      <c r="G734" s="2" t="n">
        <v>90981</v>
      </c>
      <c r="H734" s="3" t="str">
        <f>HYPERLINK("http://funmeta.oebiotech.com/network/90981", "http://funmeta.oebiotech.com/network/90981")</f>
      </c>
      <c r="I734" s="2" t="s">
        <v>21000</v>
      </c>
      <c r="J734" s="2"/>
      <c r="K734" s="2"/>
      <c r="L734" s="2"/>
      <c r="M734" s="2"/>
      <c r="N734" s="2" t="s">
        <v>21001</v>
      </c>
      <c r="O734" s="2"/>
      <c r="P734" s="2" t="s">
        <v>21002</v>
      </c>
      <c r="Q734" s="2" t="s">
        <v>21003</v>
      </c>
      <c r="R734" s="2" t="s">
        <v>1490</v>
      </c>
      <c r="S734" s="2" t="s">
        <v>6728</v>
      </c>
      <c r="T734" s="2" t="s">
        <v>6754</v>
      </c>
      <c r="U734" s="2" t="s">
        <v>20997</v>
      </c>
      <c r="V734" s="2" t="s">
        <v>15649</v>
      </c>
      <c r="W7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2024-07-25T12:06:56Z</dcterms:created>
</coreProperties>
</file>