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US-Home\Excel\"/>
    </mc:Choice>
  </mc:AlternateContent>
  <xr:revisionPtr revIDLastSave="0" documentId="13_ncr:1_{ACBC03A9-07A6-423B-8FC4-60B3CB29555A}" xr6:coauthVersionLast="45" xr6:coauthVersionMax="45" xr10:uidLastSave="{00000000-0000-0000-0000-000000000000}"/>
  <bookViews>
    <workbookView xWindow="345" yWindow="630" windowWidth="24270" windowHeight="20115" xr2:uid="{00000000-000D-0000-FFFF-FFFF00000000}"/>
  </bookViews>
  <sheets>
    <sheet name="Cons" sheetId="33" r:id="rId1"/>
  </sheets>
  <definedNames>
    <definedName name="Ec">#REF!</definedName>
    <definedName name="Ecb">#REF!</definedName>
    <definedName name="Ecd">#REF!</definedName>
    <definedName name="Es">#REF!</definedName>
    <definedName name="Fck">#REF!</definedName>
    <definedName name="Fckb">#REF!</definedName>
    <definedName name="Fy">#REF!</definedName>
    <definedName name="Fyf">#REF!</definedName>
    <definedName name="Fyr">Cons!$I$143</definedName>
    <definedName name="Fys">#REF!</definedName>
    <definedName name="Fyw">#REF!</definedName>
    <definedName name="_xlnm.Print_Area" localSheetId="0">Cons!$A$1:$O$321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1" i="33" l="1"/>
  <c r="G293" i="33" l="1"/>
  <c r="H293" i="33"/>
  <c r="E318" i="33" l="1"/>
  <c r="F213" i="33"/>
  <c r="E213" i="33"/>
  <c r="D213" i="33"/>
  <c r="C213" i="33"/>
  <c r="A318" i="33" l="1"/>
  <c r="A293" i="33"/>
  <c r="A240" i="33"/>
  <c r="A234" i="33"/>
  <c r="A219" i="33"/>
  <c r="A213" i="33"/>
  <c r="A207" i="33"/>
  <c r="A201" i="33" l="1"/>
  <c r="A196" i="33"/>
  <c r="A102" i="33"/>
  <c r="H318" i="33" l="1"/>
  <c r="I143" i="33" l="1"/>
  <c r="H201" i="33"/>
  <c r="M293" i="33"/>
  <c r="H207" i="33" l="1"/>
  <c r="H234" i="33"/>
  <c r="G240" i="33"/>
  <c r="F201" i="33"/>
  <c r="B318" i="33" l="1"/>
  <c r="E201" i="33"/>
  <c r="G201" i="33" s="1"/>
  <c r="J318" i="33" l="1"/>
  <c r="L97" i="33"/>
  <c r="K97" i="33"/>
  <c r="G318" i="33"/>
  <c r="C318" i="33"/>
  <c r="D318" i="33" s="1"/>
  <c r="F318" i="33" l="1"/>
  <c r="I318" i="33" s="1"/>
  <c r="K318" i="33" s="1"/>
  <c r="L318" i="33" l="1"/>
  <c r="M318" i="33"/>
  <c r="F97" i="33" l="1"/>
  <c r="H97" i="33" l="1"/>
  <c r="C293" i="33" l="1"/>
  <c r="B293" i="33" l="1"/>
  <c r="D293" i="33"/>
  <c r="B240" i="33"/>
  <c r="I293" i="33" l="1"/>
  <c r="L293" i="33" s="1"/>
  <c r="E293" i="33"/>
  <c r="D102" i="33"/>
  <c r="B234" i="33"/>
  <c r="I102" i="33" l="1"/>
  <c r="F293" i="33"/>
  <c r="F234" i="33" s="1"/>
  <c r="J293" i="33"/>
  <c r="K293" i="33"/>
  <c r="B201" i="33"/>
  <c r="C219" i="33" s="1"/>
  <c r="D234" i="33" s="1"/>
  <c r="L207" i="33"/>
  <c r="I219" i="33" s="1"/>
  <c r="K102" i="33"/>
  <c r="N102" i="33" s="1"/>
  <c r="B219" i="33"/>
  <c r="C234" i="33" s="1"/>
  <c r="B213" i="33"/>
  <c r="L201" i="33"/>
  <c r="M201" i="33" s="1"/>
  <c r="F196" i="33" l="1"/>
  <c r="J196" i="33"/>
  <c r="C240" i="33"/>
  <c r="E240" i="33" s="1"/>
  <c r="F240" i="33" s="1"/>
  <c r="E234" i="33"/>
  <c r="I234" i="33" s="1"/>
  <c r="J213" i="33"/>
  <c r="I213" i="33"/>
  <c r="G213" i="33"/>
  <c r="K213" i="33"/>
  <c r="H213" i="33" s="1"/>
  <c r="M207" i="33"/>
  <c r="H240" i="33" s="1"/>
  <c r="O293" i="33"/>
  <c r="N293" i="33"/>
  <c r="N196" i="33" l="1"/>
  <c r="L213" i="33"/>
  <c r="K240" i="33"/>
  <c r="J240" i="33"/>
  <c r="K234" i="33"/>
  <c r="D219" i="33"/>
  <c r="J234" i="33"/>
  <c r="G234" i="33"/>
  <c r="D240" i="33"/>
  <c r="M213" i="33"/>
  <c r="M102" i="33"/>
  <c r="H219" i="33" l="1"/>
  <c r="I240" i="33"/>
  <c r="E219" i="33"/>
  <c r="F219" i="33"/>
  <c r="G219" i="33" l="1"/>
  <c r="J219" i="33" s="1"/>
  <c r="K219" i="33" s="1"/>
  <c r="L234" i="33" s="1"/>
  <c r="M234" i="33" l="1"/>
  <c r="N23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Leave blank for the straight bridge</t>
        </r>
      </text>
    </comment>
    <comment ref="C199" authorId="0" shapeId="0" xr:uid="{0B9B7572-3BCF-49FE-95AB-B88605844E9D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M19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OF = Open flange</t>
        </r>
      </text>
    </comment>
    <comment ref="C2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J21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BF = box flange</t>
        </r>
      </text>
    </comment>
    <comment ref="K217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This value for all OF and BF (compressive flange)</t>
        </r>
      </text>
    </comment>
    <comment ref="D2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F23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Referred to Checking web Bend-Buckling Resistance Section (next section)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8" authorId="0" shapeId="0" xr:uid="{0B92CD7D-2A21-416C-876F-3800B72C21F0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</commentList>
</comments>
</file>

<file path=xl/sharedStrings.xml><?xml version="1.0" encoding="utf-8"?>
<sst xmlns="http://schemas.openxmlformats.org/spreadsheetml/2006/main" count="552" uniqueCount="446">
  <si>
    <t>DC2</t>
  </si>
  <si>
    <t>DC3</t>
  </si>
  <si>
    <r>
      <t>f</t>
    </r>
    <r>
      <rPr>
        <vertAlign val="subscript"/>
        <sz val="9"/>
        <rFont val="맑은 고딕"/>
        <family val="3"/>
        <charset val="129"/>
      </rPr>
      <t>l</t>
    </r>
  </si>
  <si>
    <t>Node</t>
  </si>
  <si>
    <t>Web</t>
  </si>
  <si>
    <r>
      <t>F</t>
    </r>
    <r>
      <rPr>
        <vertAlign val="subscript"/>
        <sz val="9"/>
        <rFont val="맑은 고딕"/>
        <family val="3"/>
        <charset val="129"/>
      </rPr>
      <t>cv</t>
    </r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</si>
  <si>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단면의 탄성중립축으로 부터 양플린지 안쪽 면까지의 거리 중 큰값</t>
    </r>
  </si>
  <si>
    <t>C</t>
  </si>
  <si>
    <t>k</t>
  </si>
  <si>
    <t>Case</t>
  </si>
  <si>
    <t>Otherwise</t>
  </si>
  <si>
    <r>
      <t>M</t>
    </r>
    <r>
      <rPr>
        <vertAlign val="subscript"/>
        <sz val="9"/>
        <rFont val="맑은 고딕"/>
        <family val="3"/>
        <charset val="129"/>
      </rPr>
      <t>lf</t>
    </r>
  </si>
  <si>
    <r>
      <t>M</t>
    </r>
    <r>
      <rPr>
        <vertAlign val="subscript"/>
        <sz val="9"/>
        <rFont val="맑은 고딕"/>
        <family val="3"/>
        <charset val="129"/>
      </rPr>
      <t>lc</t>
    </r>
  </si>
  <si>
    <r>
      <t>F</t>
    </r>
    <r>
      <rPr>
        <vertAlign val="subscript"/>
        <sz val="9"/>
        <rFont val="맑은 고딕"/>
        <family val="3"/>
        <charset val="129"/>
      </rPr>
      <t>cr</t>
    </r>
  </si>
  <si>
    <r>
      <t>L</t>
    </r>
    <r>
      <rPr>
        <vertAlign val="subscript"/>
        <sz val="9"/>
        <rFont val="맑은 고딕"/>
        <family val="3"/>
        <charset val="129"/>
      </rPr>
      <t>p</t>
    </r>
  </si>
  <si>
    <r>
      <t>F</t>
    </r>
    <r>
      <rPr>
        <vertAlign val="subscript"/>
        <sz val="9"/>
        <rFont val="맑은 고딕"/>
        <family val="3"/>
        <charset val="129"/>
      </rPr>
      <t>nc</t>
    </r>
  </si>
  <si>
    <r>
      <t>D</t>
    </r>
    <r>
      <rPr>
        <vertAlign val="subscript"/>
        <sz val="9"/>
        <rFont val="맑은 고딕"/>
        <family val="3"/>
        <charset val="129"/>
      </rPr>
      <t>c</t>
    </r>
  </si>
  <si>
    <r>
      <t>r</t>
    </r>
    <r>
      <rPr>
        <vertAlign val="subscript"/>
        <sz val="9"/>
        <rFont val="맑은 고딕"/>
        <family val="3"/>
        <charset val="129"/>
      </rPr>
      <t>t</t>
    </r>
  </si>
  <si>
    <t>(강.설 4.3-132)</t>
  </si>
  <si>
    <t>(강.설 4.3-133)</t>
  </si>
  <si>
    <t>(강.설 4.3-134)</t>
  </si>
  <si>
    <t>(강.설 4.3-247)</t>
  </si>
  <si>
    <t>(강.설 4.3-248)</t>
  </si>
  <si>
    <t>(강.설 4.3-135)</t>
  </si>
  <si>
    <t>(강.설 4.3-249)</t>
  </si>
  <si>
    <r>
      <t>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</si>
  <si>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 xml:space="preserve">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</si>
  <si>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/3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</si>
  <si>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</si>
  <si>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</si>
  <si>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Symbol"/>
        <family val="1"/>
        <charset val="2"/>
      </rPr>
      <t>D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</si>
  <si>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</si>
  <si>
    <r>
      <rPr>
        <sz val="9"/>
        <rFont val="Symbol"/>
        <family val="1"/>
        <charset val="2"/>
      </rPr>
      <t>q</t>
    </r>
    <r>
      <rPr>
        <sz val="9"/>
        <rFont val="맑은 고딕"/>
        <family val="3"/>
        <charset val="129"/>
      </rPr>
      <t xml:space="preserve"> = 연직축에 대한 웨브의 경사각</t>
    </r>
  </si>
  <si>
    <t>n = 1</t>
  </si>
  <si>
    <t>Open-flange</t>
  </si>
  <si>
    <t>Box-flange</t>
  </si>
  <si>
    <r>
      <t>1-f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cr</t>
    </r>
  </si>
  <si>
    <r>
      <t>1.75-1.05f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+ 0.3(f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2.3</t>
    </r>
  </si>
  <si>
    <r>
      <t>R</t>
    </r>
    <r>
      <rPr>
        <b/>
        <vertAlign val="subscript"/>
        <sz val="9"/>
        <rFont val="맑은 고딕"/>
        <family val="3"/>
        <charset val="129"/>
      </rPr>
      <t>h</t>
    </r>
  </si>
  <si>
    <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</si>
  <si>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Min (F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>)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</si>
  <si>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1.0 for checking constructibility</t>
    </r>
  </si>
  <si>
    <r>
      <t>F</t>
    </r>
    <r>
      <rPr>
        <b/>
        <vertAlign val="subscript"/>
        <sz val="9"/>
        <rFont val="맑은 고딕"/>
        <family val="3"/>
        <charset val="129"/>
      </rPr>
      <t>nc_LB</t>
    </r>
  </si>
  <si>
    <r>
      <rPr>
        <sz val="9"/>
        <rFont val="Symbol"/>
        <family val="1"/>
        <charset val="2"/>
      </rPr>
      <t>l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l</t>
    </r>
    <r>
      <rPr>
        <vertAlign val="subscript"/>
        <sz val="9"/>
        <rFont val="맑은 고딕"/>
        <family val="3"/>
        <charset val="129"/>
      </rPr>
      <t>pf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</si>
  <si>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</si>
  <si>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L</t>
    </r>
    <r>
      <rPr>
        <vertAlign val="subscript"/>
        <sz val="9"/>
        <rFont val="맑은 고딕"/>
        <family val="3"/>
        <charset val="129"/>
      </rPr>
      <t>p</t>
    </r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</si>
  <si>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L</t>
    </r>
    <r>
      <rPr>
        <vertAlign val="subscript"/>
        <sz val="9"/>
        <rFont val="맑은 고딕"/>
        <family val="3"/>
        <charset val="129"/>
      </rPr>
      <t>r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</si>
  <si>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&gt; L</t>
    </r>
    <r>
      <rPr>
        <vertAlign val="subscript"/>
        <sz val="9"/>
        <rFont val="맑은 고딕"/>
        <family val="3"/>
        <charset val="129"/>
      </rPr>
      <t>r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</si>
  <si>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unbraced length</t>
    </r>
  </si>
  <si>
    <r>
      <t>Calculation of F</t>
    </r>
    <r>
      <rPr>
        <vertAlign val="subscript"/>
        <sz val="9"/>
        <rFont val="맑은 고딕"/>
        <family val="3"/>
        <charset val="129"/>
      </rPr>
      <t>cb</t>
    </r>
  </si>
  <si>
    <r>
      <t>F</t>
    </r>
    <r>
      <rPr>
        <b/>
        <vertAlign val="subscript"/>
        <sz val="9"/>
        <rFont val="맑은 고딕"/>
        <family val="3"/>
        <charset val="129"/>
      </rPr>
      <t>cb</t>
    </r>
  </si>
  <si>
    <r>
      <t>Calculation of F</t>
    </r>
    <r>
      <rPr>
        <vertAlign val="subscript"/>
        <sz val="9"/>
        <rFont val="맑은 고딕"/>
        <family val="3"/>
        <charset val="129"/>
      </rPr>
      <t>cv</t>
    </r>
  </si>
  <si>
    <r>
      <t>F</t>
    </r>
    <r>
      <rPr>
        <b/>
        <vertAlign val="subscript"/>
        <sz val="9"/>
        <rFont val="맑은 고딕"/>
        <family val="3"/>
        <charset val="129"/>
      </rPr>
      <t>cv</t>
    </r>
  </si>
  <si>
    <r>
      <t>0.58F</t>
    </r>
    <r>
      <rPr>
        <vertAlign val="subscript"/>
        <sz val="9"/>
        <rFont val="맑은 고딕"/>
        <family val="3"/>
        <charset val="129"/>
      </rPr>
      <t>yc</t>
    </r>
  </si>
  <si>
    <r>
      <t>k</t>
    </r>
    <r>
      <rPr>
        <b/>
        <vertAlign val="subscript"/>
        <sz val="9"/>
        <rFont val="맑은 고딕"/>
        <family val="3"/>
        <charset val="129"/>
      </rPr>
      <t>s</t>
    </r>
  </si>
  <si>
    <t>종리브 없음</t>
  </si>
  <si>
    <t>종리브 있음</t>
  </si>
  <si>
    <t>n = 2</t>
  </si>
  <si>
    <r>
      <t>F</t>
    </r>
    <r>
      <rPr>
        <vertAlign val="subscript"/>
        <sz val="9"/>
        <rFont val="맑은 고딕"/>
        <family val="3"/>
        <charset val="129"/>
      </rPr>
      <t>crw</t>
    </r>
    <r>
      <rPr>
        <sz val="9"/>
        <rFont val="맑은 고딕"/>
        <family val="3"/>
        <charset val="129"/>
      </rPr>
      <t xml:space="preserve"> = </t>
    </r>
  </si>
  <si>
    <t>0.9Ek</t>
  </si>
  <si>
    <r>
      <t>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</si>
  <si>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r>
      <t>11.64/[(D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-d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)/D]</t>
    </r>
    <r>
      <rPr>
        <vertAlign val="superscript"/>
        <sz val="9"/>
        <rFont val="맑은 고딕"/>
        <family val="3"/>
        <charset val="129"/>
      </rPr>
      <t>2</t>
    </r>
  </si>
  <si>
    <r>
      <t>V</t>
    </r>
    <r>
      <rPr>
        <vertAlign val="subscript"/>
        <sz val="9"/>
        <rFont val="맑은 고딕"/>
        <family val="3"/>
        <charset val="129"/>
      </rPr>
      <t>ui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/cos</t>
    </r>
    <r>
      <rPr>
        <sz val="9"/>
        <rFont val="Symbol"/>
        <family val="1"/>
        <charset val="2"/>
      </rPr>
      <t>q</t>
    </r>
  </si>
  <si>
    <r>
      <t>V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CV</t>
    </r>
    <r>
      <rPr>
        <vertAlign val="subscript"/>
        <sz val="9"/>
        <rFont val="맑은 고딕"/>
        <family val="3"/>
        <charset val="129"/>
      </rPr>
      <t>p</t>
    </r>
  </si>
  <si>
    <r>
      <t>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</si>
  <si>
    <t>Calculation of C</t>
  </si>
  <si>
    <r>
      <t>k = 5+5/(d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</si>
  <si>
    <t>=</t>
    <phoneticPr fontId="29" type="noConversion"/>
  </si>
  <si>
    <t>=</t>
    <phoneticPr fontId="29" type="noConversion"/>
  </si>
  <si>
    <t>Node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</si>
  <si>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29" type="noConversion"/>
  </si>
  <si>
    <t>β</t>
    <phoneticPr fontId="29" type="noConversion"/>
  </si>
  <si>
    <t>여기서,</t>
    <phoneticPr fontId="29" type="noConversion"/>
  </si>
  <si>
    <t>=</t>
    <phoneticPr fontId="29" type="noConversion"/>
  </si>
  <si>
    <t>소성거동을 보장하는 비지지길이의 한계</t>
    <phoneticPr fontId="29" type="noConversion"/>
  </si>
  <si>
    <r>
      <t>1.0•r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•</t>
    </r>
    <r>
      <rPr>
        <sz val="9"/>
        <rFont val="Symbol"/>
        <family val="1"/>
        <charset val="2"/>
      </rPr>
      <t>Ö</t>
    </r>
    <r>
      <rPr>
        <sz val="9"/>
        <rFont val="맑은 고딕"/>
        <family val="3"/>
        <charset val="129"/>
      </rPr>
      <t>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</si>
  <si>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</si>
  <si>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</si>
  <si>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t>for constructibility (A.C.6.10.1.10.2)</t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</si>
  <si>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  <phoneticPr fontId="29" type="noConversion"/>
  </si>
  <si>
    <r>
      <t>if f</t>
    </r>
    <r>
      <rPr>
        <vertAlign val="subscript"/>
        <sz val="9"/>
        <rFont val="맑은 고딕"/>
        <family val="3"/>
        <charset val="129"/>
      </rPr>
      <t>mid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&gt; 1</t>
    </r>
    <phoneticPr fontId="29" type="noConversion"/>
  </si>
  <si>
    <r>
      <t>If 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= 0</t>
    </r>
    <phoneticPr fontId="29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</si>
  <si>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</si>
  <si>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  <phoneticPr fontId="29" type="noConversion"/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</si>
  <si>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</si>
  <si>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</si>
  <si>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t</t>
    </r>
    <phoneticPr fontId="29" type="noConversion"/>
  </si>
  <si>
    <t>section modulus of top flange about a vertical axis through the web</t>
    <phoneticPr fontId="29" type="noConversion"/>
  </si>
  <si>
    <t>largest values of compressive stress in the flange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</si>
  <si>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</si>
  <si>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phoneticPr fontId="29" type="noConversion"/>
  </si>
  <si>
    <t>비지지걸이</t>
    <phoneticPr fontId="29" type="noConversion"/>
  </si>
  <si>
    <t>상연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</si>
  <si>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9" type="noConversion"/>
  </si>
  <si>
    <t>R</t>
    <phoneticPr fontId="29" type="noConversion"/>
  </si>
  <si>
    <t>N - a constant taken as 12, R - girder radius, D - web depth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</si>
  <si>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l1</t>
    </r>
    <phoneticPr fontId="29" type="noConversion"/>
  </si>
  <si>
    <t>하연</t>
    <phoneticPr fontId="29" type="noConversion"/>
  </si>
  <si>
    <t>+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</si>
  <si>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 xml:space="preserve">  = </t>
    </r>
    <phoneticPr fontId="29" type="noConversion"/>
  </si>
  <si>
    <r>
      <t>S</t>
    </r>
    <r>
      <rPr>
        <vertAlign val="subscript"/>
        <sz val="9"/>
        <rFont val="맑은 고딕"/>
        <family val="3"/>
        <charset val="129"/>
      </rPr>
      <t>steel</t>
    </r>
    <phoneticPr fontId="29" type="noConversion"/>
  </si>
  <si>
    <r>
      <t>S</t>
    </r>
    <r>
      <rPr>
        <vertAlign val="subscript"/>
        <sz val="9"/>
        <rFont val="맑은 고딕"/>
        <family val="3"/>
        <charset val="129"/>
      </rPr>
      <t>bot_con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</si>
  <si>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</si>
  <si>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하이브리드 계수</t>
    </r>
    <phoneticPr fontId="29" type="noConversion"/>
  </si>
  <si>
    <t>모멘트 보정계수, taken as 1.0</t>
    <phoneticPr fontId="29" type="noConversion"/>
  </si>
  <si>
    <t>Open flange (OF)</t>
    <phoneticPr fontId="29" type="noConversion"/>
  </si>
  <si>
    <t>Box flange (BF)</t>
    <phoneticPr fontId="29" type="noConversion"/>
  </si>
  <si>
    <t>T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</si>
  <si>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</t>
    </r>
    <phoneticPr fontId="29" type="noConversion"/>
  </si>
  <si>
    <t>계수하중에 의한 내부토크</t>
    <phoneticPr fontId="29" type="noConversion"/>
  </si>
  <si>
    <t>박스거더 단면의 폐합단면적</t>
    <phoneticPr fontId="29" type="noConversion"/>
  </si>
  <si>
    <t>=</t>
    <phoneticPr fontId="29" type="noConversion"/>
  </si>
  <si>
    <t>w</t>
    <phoneticPr fontId="29" type="noConversion"/>
  </si>
  <si>
    <t>max(w1, w2)</t>
    <phoneticPr fontId="29" type="noConversion"/>
  </si>
  <si>
    <t>압축플랜지의 종방향보강재 폭 또는 웨브로부터 가장 가까운 종방향보강재까지의 거리 중 큰 값</t>
    <phoneticPr fontId="29" type="noConversion"/>
  </si>
  <si>
    <t>Δ</t>
    <phoneticPr fontId="29" type="noConversion"/>
  </si>
  <si>
    <r>
      <t>k</t>
    </r>
    <r>
      <rPr>
        <vertAlign val="subscript"/>
        <sz val="9"/>
        <rFont val="맑은 고딕"/>
        <family val="3"/>
        <charset val="129"/>
      </rPr>
      <t>s</t>
    </r>
    <phoneticPr fontId="29" type="noConversion"/>
  </si>
  <si>
    <t>(강.설 4.3.3.1.1.9)</t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</si>
  <si>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</si>
  <si>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phoneticPr fontId="29" type="noConversion"/>
  </si>
  <si>
    <t>D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</si>
  <si>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crw</t>
    </r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</si>
  <si>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</si>
  <si>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nc</t>
    </r>
    <phoneticPr fontId="29" type="noConversion"/>
  </si>
  <si>
    <t>1) 플랜지 응력</t>
    <phoneticPr fontId="29" type="noConversion"/>
  </si>
  <si>
    <r>
      <t>2) F</t>
    </r>
    <r>
      <rPr>
        <b/>
        <vertAlign val="subscript"/>
        <sz val="9"/>
        <rFont val="맑은 고딕"/>
        <family val="3"/>
        <charset val="129"/>
      </rPr>
      <t>nc</t>
    </r>
    <r>
      <rPr>
        <b/>
        <sz val="9"/>
        <rFont val="맑은 고딕"/>
        <family val="3"/>
        <charset val="129"/>
      </rPr>
      <t xml:space="preserve"> 산정 (Nominal flexural resistance of compression flange)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</si>
  <si>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</si>
  <si>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t>Node</t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</si>
  <si>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</si>
  <si>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0</t>
    </r>
    <phoneticPr fontId="29" type="noConversion"/>
  </si>
  <si>
    <t>k</t>
    <phoneticPr fontId="29" type="noConversion"/>
  </si>
  <si>
    <t>C</t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</si>
  <si>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</si>
  <si>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t>여기서,</t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</si>
  <si>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o</t>
    </r>
    <r>
      <rPr>
        <sz val="9"/>
        <rFont val="맑은 고딕"/>
        <family val="3"/>
        <charset val="129"/>
      </rPr>
      <t xml:space="preserve"> = 수직보강재 간격</t>
    </r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</si>
  <si>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 xml:space="preserve"> = V/2 =  경사진 웨브 1개에 작용하는 계수하중에 의한 전단력</t>
    </r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</si>
  <si>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phoneticPr fontId="29" type="noConversion"/>
  </si>
  <si>
    <t>검토</t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</si>
  <si>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9" type="noConversion"/>
  </si>
  <si>
    <t>탄성범위 내에서 웨브의 압축 측 높이</t>
    <phoneticPr fontId="29" type="noConversion"/>
  </si>
  <si>
    <t>3) Checking for compression and tension flanges</t>
    <phoneticPr fontId="29" type="noConversion"/>
  </si>
  <si>
    <t>(for slender web)</t>
    <phoneticPr fontId="29" type="noConversion"/>
  </si>
  <si>
    <t>Section classification</t>
    <phoneticPr fontId="29" type="noConversion"/>
  </si>
  <si>
    <t>Section</t>
    <phoneticPr fontId="29" type="noConversion"/>
  </si>
  <si>
    <r>
      <t>2D</t>
    </r>
    <r>
      <rPr>
        <vertAlign val="subscript"/>
        <sz val="9"/>
        <rFont val="맑은 고딕"/>
        <family val="3"/>
        <charset val="129"/>
      </rPr>
      <t>c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</si>
  <si>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29" type="noConversion"/>
  </si>
  <si>
    <t>Compact or non-compact Web</t>
    <phoneticPr fontId="29" type="noConversion"/>
  </si>
  <si>
    <t>Slender Web</t>
    <phoneticPr fontId="29" type="noConversion"/>
  </si>
  <si>
    <t>(For section with compact or noncompact web, this equation shall not be checked)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</si>
  <si>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+1/3f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</si>
  <si>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+f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</si>
  <si>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t>BF/OF</t>
    <phoneticPr fontId="29" type="noConversion"/>
  </si>
  <si>
    <t>4) Checking web Bend-Buckling Resistance for slender web</t>
    <phoneticPr fontId="29" type="noConversion"/>
  </si>
  <si>
    <r>
      <t>0.6F</t>
    </r>
    <r>
      <rPr>
        <vertAlign val="subscript"/>
        <sz val="9"/>
        <rFont val="맑은 고딕"/>
        <family val="3"/>
        <charset val="129"/>
      </rPr>
      <t>y</t>
    </r>
    <phoneticPr fontId="29" type="noConversion"/>
  </si>
  <si>
    <t>deep of web in compression in elastic range</t>
    <phoneticPr fontId="29" type="noConversion"/>
  </si>
  <si>
    <t>Classification of web: S - slender web; C - compact or noncompact web</t>
    <phoneticPr fontId="29" type="noConversion"/>
  </si>
  <si>
    <t>분류</t>
    <phoneticPr fontId="29" type="noConversion"/>
  </si>
  <si>
    <t>(Web classification is checked in the next section, S = slender web, C = compact or noncompact web)</t>
    <phoneticPr fontId="29" type="noConversion"/>
  </si>
  <si>
    <t>Ratio</t>
    <phoneticPr fontId="29" type="noConversion"/>
  </si>
  <si>
    <t>Ratio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</si>
  <si>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max(F</t>
    </r>
    <r>
      <rPr>
        <vertAlign val="subscript"/>
        <sz val="9"/>
        <rFont val="맑은 고딕"/>
        <family val="3"/>
        <charset val="129"/>
      </rPr>
      <t>yf</t>
    </r>
    <r>
      <rPr>
        <sz val="9"/>
        <rFont val="맑은 고딕"/>
        <family val="3"/>
        <charset val="129"/>
      </rPr>
      <t>,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</si>
  <si>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</si>
  <si>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</si>
  <si>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phoneticPr fontId="29" type="noConversion"/>
  </si>
  <si>
    <t>ρ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</si>
  <si>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 ≥ F</t>
    </r>
    <r>
      <rPr>
        <vertAlign val="subscript"/>
        <sz val="9"/>
        <rFont val="맑은 고딕"/>
        <family val="3"/>
        <charset val="129"/>
      </rPr>
      <t>yf</t>
    </r>
    <phoneticPr fontId="29" type="noConversion"/>
  </si>
  <si>
    <t>정/부</t>
    <phoneticPr fontId="29" type="noConversion"/>
  </si>
  <si>
    <t>모멘트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</si>
  <si>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nt</t>
    </r>
    <phoneticPr fontId="29" type="noConversion"/>
  </si>
  <si>
    <t>YU</t>
    <phoneticPr fontId="29" type="noConversion"/>
  </si>
  <si>
    <t>YL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</si>
  <si>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top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</si>
  <si>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</si>
  <si>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t>ρ 산정</t>
    <phoneticPr fontId="29" type="noConversion"/>
  </si>
  <si>
    <t>DC1</t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</si>
  <si>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V</t>
    </r>
    <r>
      <rPr>
        <vertAlign val="subscript"/>
        <sz val="9"/>
        <rFont val="맑은 고딕"/>
        <family val="3"/>
        <charset val="129"/>
      </rPr>
      <t>n</t>
    </r>
    <phoneticPr fontId="29" type="noConversion"/>
  </si>
  <si>
    <t>( ☞ 강.설 4.3.3.1.1.10(1))</t>
    <phoneticPr fontId="29" type="noConversion"/>
  </si>
  <si>
    <t>( ☞ 강.설 4.3.3.2.8.2(2))</t>
    <phoneticPr fontId="29" type="noConversion"/>
  </si>
  <si>
    <t>①</t>
    <phoneticPr fontId="29" type="noConversion"/>
  </si>
  <si>
    <t>②</t>
    <phoneticPr fontId="29" type="noConversion"/>
  </si>
  <si>
    <t>압축플랜지</t>
    <phoneticPr fontId="29" type="noConversion"/>
  </si>
  <si>
    <t>인장플랜지</t>
    <phoneticPr fontId="29" type="noConversion"/>
  </si>
  <si>
    <t xml:space="preserve"> - 양쭉단이 압축 경우</t>
    <phoneticPr fontId="29" type="noConversion"/>
  </si>
  <si>
    <t xml:space="preserve"> - Otherwise</t>
    <phoneticPr fontId="29" type="noConversion"/>
  </si>
  <si>
    <t>Torsional moment</t>
    <phoneticPr fontId="29" type="noConversion"/>
  </si>
  <si>
    <t>·</t>
    <phoneticPr fontId="29" type="noConversion"/>
  </si>
  <si>
    <t>( ☞ 강.설 4.3.3.1.8.2(3))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</si>
  <si>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</si>
  <si>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  <phoneticPr fontId="29" type="noConversion"/>
  </si>
  <si>
    <t>flange lateral bending stress throughout the unbraced length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</si>
  <si>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/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</si>
  <si>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</si>
  <si>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lf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</si>
  <si>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lc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</si>
  <si>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  <phoneticPr fontId="29" type="noConversion"/>
  </si>
  <si>
    <r>
      <t>w = F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0.5∙F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>/tanα</t>
    </r>
    <phoneticPr fontId="29" type="noConversion"/>
  </si>
  <si>
    <r>
      <t>w = 0.5∙F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>/tanα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</si>
  <si>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 xml:space="preserve"> = </t>
    </r>
    <phoneticPr fontId="29" type="noConversion"/>
  </si>
  <si>
    <t>kN/m (assumed)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</si>
  <si>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 xml:space="preserve"> = ML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/(NRD)</t>
    </r>
    <phoneticPr fontId="29" type="noConversion"/>
  </si>
  <si>
    <r>
      <t>S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</si>
  <si>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top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/6</t>
    </r>
    <phoneticPr fontId="29" type="noConversion"/>
  </si>
  <si>
    <t>검토</t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</si>
  <si>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</si>
  <si>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t>ΔV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</si>
  <si>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</si>
  <si>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</si>
  <si>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</si>
  <si>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con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</si>
  <si>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phoneticPr fontId="29" type="noConversion"/>
  </si>
  <si>
    <t>Open flange</t>
    <phoneticPr fontId="29" type="noConversion"/>
  </si>
  <si>
    <t>Box flange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</si>
  <si>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9" type="noConversion"/>
  </si>
  <si>
    <t>(slender web)</t>
    <phoneticPr fontId="29" type="noConversion"/>
  </si>
  <si>
    <t>인장플랜지</t>
    <phoneticPr fontId="29" type="noConversion"/>
  </si>
  <si>
    <r>
      <t>1.25•(DC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 xml:space="preserve"> + DC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  <phoneticPr fontId="29" type="noConversion"/>
  </si>
  <si>
    <r>
      <t>1.25•DC</t>
    </r>
    <r>
      <rPr>
        <vertAlign val="subscript"/>
        <sz val="9"/>
        <rFont val="맑은 고딕"/>
        <family val="3"/>
        <charset val="129"/>
      </rPr>
      <t>3</t>
    </r>
    <phoneticPr fontId="29" type="noConversion"/>
  </si>
  <si>
    <t>( ☞ 강.설 4.3.3.2.8.2)</t>
    <phoneticPr fontId="29" type="noConversion"/>
  </si>
  <si>
    <t>( ☞ 강.설 4.3.3.1.8.2)</t>
    <phoneticPr fontId="29" type="noConversion"/>
  </si>
  <si>
    <t>( ☞ 강.설 4.3.3.1.8.2(2))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</si>
  <si>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(국부좌굴강도) 산정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</si>
  <si>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(횡비틀림좌굴강도) 산정</t>
    </r>
    <phoneticPr fontId="29" type="noConversion"/>
  </si>
  <si>
    <t>모멘트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</si>
  <si>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</si>
  <si>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</si>
  <si>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</si>
  <si>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</si>
  <si>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</si>
  <si>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</si>
  <si>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 xml:space="preserve"> = max [min (0.7F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)] , 0.5F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] = 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</si>
  <si>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</si>
  <si>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</si>
  <si>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</si>
  <si>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</si>
  <si>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phoneticPr fontId="29" type="noConversion"/>
  </si>
  <si>
    <t>(OF)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</si>
  <si>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0 </t>
    </r>
    <r>
      <rPr>
        <sz val="9"/>
        <rFont val="맑은 고딕"/>
        <family val="3"/>
        <charset val="129"/>
      </rPr>
      <t>산정</t>
    </r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</si>
  <si>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phoneticPr fontId="29" type="noConversion"/>
  </si>
  <si>
    <t>w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</si>
  <si>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fc</t>
    </r>
    <phoneticPr fontId="29" type="noConversion"/>
  </si>
  <si>
    <r>
      <t>b</t>
    </r>
    <r>
      <rPr>
        <vertAlign val="subscript"/>
        <sz val="9"/>
        <rFont val="맑은 고딕"/>
        <family val="3"/>
        <charset val="129"/>
      </rPr>
      <t>fc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</si>
  <si>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</si>
  <si>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</si>
  <si>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r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</si>
  <si>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</si>
  <si>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phoneticPr fontId="29" type="noConversion"/>
  </si>
  <si>
    <t>(BF)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</si>
  <si>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v</t>
    </r>
    <phoneticPr fontId="29" type="noConversion"/>
  </si>
  <si>
    <r>
      <t>for slender web with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= 0, the equation (1) f</t>
    </r>
    <r>
      <rPr>
        <i/>
        <vertAlign val="subscript"/>
        <sz val="9"/>
        <rFont val="맑은 고딕"/>
        <family val="3"/>
        <charset val="129"/>
      </rPr>
      <t>bu</t>
    </r>
    <r>
      <rPr>
        <i/>
        <sz val="9"/>
        <rFont val="맑은 고딕"/>
        <family val="3"/>
        <charset val="129"/>
      </rPr>
      <t xml:space="preserve"> +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≤ Φ</t>
    </r>
    <r>
      <rPr>
        <i/>
        <vertAlign val="subscript"/>
        <sz val="9"/>
        <rFont val="맑은 고딕"/>
        <family val="3"/>
        <charset val="129"/>
      </rPr>
      <t>f</t>
    </r>
    <r>
      <rPr>
        <i/>
        <sz val="9"/>
        <rFont val="맑은 고딕"/>
        <family val="3"/>
        <charset val="129"/>
      </rPr>
      <t>R</t>
    </r>
    <r>
      <rPr>
        <i/>
        <vertAlign val="subscript"/>
        <sz val="9"/>
        <rFont val="맑은 고딕"/>
        <family val="3"/>
        <charset val="129"/>
      </rPr>
      <t>h</t>
    </r>
    <r>
      <rPr>
        <i/>
        <sz val="9"/>
        <rFont val="맑은 고딕"/>
        <family val="3"/>
        <charset val="129"/>
      </rPr>
      <t>F</t>
    </r>
    <r>
      <rPr>
        <i/>
        <vertAlign val="subscript"/>
        <sz val="9"/>
        <rFont val="맑은 고딕"/>
        <family val="3"/>
        <charset val="129"/>
      </rPr>
      <t>yc</t>
    </r>
    <r>
      <rPr>
        <i/>
        <sz val="9"/>
        <rFont val="맑은 고딕"/>
        <family val="3"/>
        <charset val="129"/>
      </rPr>
      <t xml:space="preserve"> will not be checked</t>
    </r>
    <phoneticPr fontId="29" type="noConversion"/>
  </si>
  <si>
    <r>
      <t>|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 xml:space="preserve"> |</t>
    </r>
    <phoneticPr fontId="29" type="noConversion"/>
  </si>
  <si>
    <t>①</t>
    <phoneticPr fontId="29" type="noConversion"/>
  </si>
  <si>
    <t>②</t>
    <phoneticPr fontId="29" type="noConversion"/>
  </si>
  <si>
    <t>①≤②</t>
    <phoneticPr fontId="29" type="noConversion"/>
  </si>
  <si>
    <t>③</t>
    <phoneticPr fontId="29" type="noConversion"/>
  </si>
  <si>
    <t>④</t>
    <phoneticPr fontId="29" type="noConversion"/>
  </si>
  <si>
    <t>③≤④</t>
    <phoneticPr fontId="29" type="noConversion"/>
  </si>
  <si>
    <t>Ratio</t>
    <phoneticPr fontId="29" type="noConversion"/>
  </si>
  <si>
    <t>검토</t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</si>
  <si>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</si>
  <si>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r>
      <rPr>
        <sz val="9"/>
        <rFont val="맑은 고딕"/>
        <family val="3"/>
        <charset val="129"/>
      </rPr>
      <t>Δ</t>
    </r>
    <phoneticPr fontId="29" type="noConversion"/>
  </si>
  <si>
    <t>Ratio</t>
    <phoneticPr fontId="29" type="noConversion"/>
  </si>
  <si>
    <t>상면</t>
    <phoneticPr fontId="29" type="noConversion"/>
  </si>
  <si>
    <t>하면</t>
    <phoneticPr fontId="29" type="noConversion"/>
  </si>
  <si>
    <t>7.1.3. 웨브 검토</t>
    <phoneticPr fontId="29" type="noConversion"/>
  </si>
  <si>
    <t>D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</si>
  <si>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29" type="noConversion"/>
  </si>
  <si>
    <t>(강.설 4.3.3.2.3.3)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</si>
  <si>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9" type="noConversion"/>
  </si>
  <si>
    <t>A1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</si>
  <si>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r>
      <rPr>
        <sz val="9"/>
        <rFont val="맑은 고딕"/>
        <family val="3"/>
        <charset val="129"/>
      </rPr>
      <t xml:space="preserve"> = 플랜지 단면적과 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방향에 위치한 플랜지 덮개판 면적의 합</t>
    </r>
    <phoneticPr fontId="29" type="noConversion"/>
  </si>
  <si>
    <r>
      <t>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종리브 단면2차모멘트</t>
    </r>
    <phoneticPr fontId="29" type="noConversion"/>
  </si>
  <si>
    <t>n = 등간격인 종방향보강재의 수</t>
    <phoneticPr fontId="29" type="noConversion"/>
  </si>
  <si>
    <t>수평보강재 중심선과 압축플랜지 안쪽면사이의 거리</t>
    <phoneticPr fontId="29" type="noConversion"/>
  </si>
  <si>
    <t>=</t>
  </si>
  <si>
    <t>tanα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</si>
  <si>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•b•25kN/m</t>
    </r>
    <r>
      <rPr>
        <vertAlign val="superscript"/>
        <sz val="9"/>
        <rFont val="맑은 고딕"/>
        <family val="3"/>
        <charset val="129"/>
      </rPr>
      <t>3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</si>
  <si>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nc_LTB</t>
    </r>
    <phoneticPr fontId="29" type="noConversion"/>
  </si>
  <si>
    <r>
      <t>b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</si>
  <si>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</si>
  <si>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t>tanθ</t>
    <phoneticPr fontId="29" type="noConversion"/>
  </si>
  <si>
    <t>cosθ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</si>
  <si>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</si>
  <si>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t>Table 7.1.1. Calculation of flange lateral bending moments</t>
    <phoneticPr fontId="29" type="noConversion"/>
  </si>
  <si>
    <t>Table 7.1.2. Checking flange lateral bending stress</t>
    <phoneticPr fontId="29" type="noConversion"/>
  </si>
  <si>
    <r>
      <t>Table 7.1.3. Calculation of R</t>
    </r>
    <r>
      <rPr>
        <i/>
        <vertAlign val="subscript"/>
        <sz val="9"/>
        <rFont val="맑은 고딕"/>
        <family val="3"/>
        <charset val="129"/>
      </rPr>
      <t>h</t>
    </r>
    <phoneticPr fontId="29" type="noConversion"/>
  </si>
  <si>
    <r>
      <t>Table 7.1.4.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(for Open - Compression Flange)</t>
    </r>
    <phoneticPr fontId="29" type="noConversion"/>
  </si>
  <si>
    <t>Table 7.1.5. Calculation of Δ</t>
    <phoneticPr fontId="29" type="noConversion"/>
  </si>
  <si>
    <t>Table 7.1.6. Calculation of k, ks (for Box - Compression Flange)</t>
    <phoneticPr fontId="29" type="noConversion"/>
  </si>
  <si>
    <r>
      <t>Table 7.1.7.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for Box - Compression Flange</t>
    </r>
    <phoneticPr fontId="29" type="noConversion"/>
  </si>
  <si>
    <t>Table 7.1.8. Checking compression flange stress</t>
    <phoneticPr fontId="29" type="noConversion"/>
  </si>
  <si>
    <t>Table 7.1.9. Checking tension flange stress</t>
    <phoneticPr fontId="29" type="noConversion"/>
  </si>
  <si>
    <t>Table 7.1.10. Checking web bend-buckling resistance</t>
    <phoneticPr fontId="29" type="noConversion"/>
  </si>
  <si>
    <t>Table 7.1.11. Checking web shear</t>
    <phoneticPr fontId="29" type="noConversion"/>
  </si>
  <si>
    <r>
      <t>n</t>
    </r>
    <r>
      <rPr>
        <vertAlign val="subscript"/>
        <sz val="9"/>
        <rFont val="맑은 고딕"/>
        <family val="3"/>
        <charset val="129"/>
      </rPr>
      <t>top</t>
    </r>
    <phoneticPr fontId="29" type="noConversion"/>
  </si>
  <si>
    <r>
      <t>b</t>
    </r>
    <r>
      <rPr>
        <vertAlign val="subscript"/>
        <sz val="9"/>
        <rFont val="맑은 고딕"/>
        <family val="3"/>
        <charset val="129"/>
      </rPr>
      <t>top</t>
    </r>
    <phoneticPr fontId="29" type="noConversion"/>
  </si>
  <si>
    <r>
      <t>c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</si>
  <si>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</si>
  <si>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</si>
  <si>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</si>
  <si>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</si>
  <si>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  <phoneticPr fontId="29" type="noConversion"/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</si>
  <si>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29" type="noConversion"/>
  </si>
  <si>
    <t>★</t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</si>
  <si>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, 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1.0: 휨, 전단에 대한 강도저항계수</t>
    </r>
    <phoneticPr fontId="29" type="noConversion"/>
  </si>
  <si>
    <r>
      <t>[12+β(3ρ  -ρ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)]/(12 + 2β)</t>
    </r>
    <phoneticPr fontId="29" type="noConversion"/>
  </si>
  <si>
    <r>
      <t>ρ = min(F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; 1.0)</t>
    </r>
    <phoneticPr fontId="29" type="noConversion"/>
  </si>
  <si>
    <r>
      <t>β = 2D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/A</t>
    </r>
    <r>
      <rPr>
        <vertAlign val="subscript"/>
        <sz val="9"/>
        <rFont val="맑은 고딕"/>
        <family val="3"/>
        <charset val="129"/>
      </rPr>
      <t>fn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</si>
  <si>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= 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/2t</t>
    </r>
    <r>
      <rPr>
        <vertAlign val="subscript"/>
        <sz val="9"/>
        <rFont val="맑은 고딕"/>
        <family val="3"/>
        <charset val="129"/>
      </rPr>
      <t>fc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</si>
  <si>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 xml:space="preserve"> = 0.38√(E/F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</si>
  <si>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r>
      <rPr>
        <sz val="9"/>
        <rFont val="맑은 고딕"/>
        <family val="3"/>
        <charset val="129"/>
      </rPr>
      <t xml:space="preserve"> = 0.56√(E/F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</si>
  <si>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</si>
  <si>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1.0r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</si>
  <si>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πr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</si>
  <si>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</si>
  <si>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Δ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</si>
  <si>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r</t>
    </r>
    <phoneticPr fontId="29" type="noConversion"/>
  </si>
  <si>
    <r>
      <t>0.9ER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k/λ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</si>
  <si>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</si>
  <si>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1.40(Ek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) </t>
    </r>
    <phoneticPr fontId="29" type="noConversion"/>
  </si>
  <si>
    <r>
      <t>0.65√(F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</si>
  <si>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&gt;</t>
    </r>
    <r>
      <rPr>
        <sz val="9"/>
        <rFont val="맑은 고딕"/>
        <family val="3"/>
        <charset val="129"/>
      </rPr>
      <t xml:space="preserve"> 1.40√(Ek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</si>
  <si>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0.9Ek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</si>
  <si>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1.0 ≤ [8I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29" type="noConversion"/>
  </si>
  <si>
    <r>
      <t>1.0 ≤ [0.894I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</si>
  <si>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</si>
  <si>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</si>
  <si>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9" type="noConversion"/>
  </si>
  <si>
    <r>
      <t>≤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</si>
  <si>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&gt;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</si>
  <si>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≤ smaller (R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and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/0.7)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</si>
  <si>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</si>
  <si>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0.4</t>
    </r>
    <phoneticPr fontId="29" type="noConversion"/>
  </si>
  <si>
    <r>
      <t>5.17/(d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≥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</si>
  <si>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29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</si>
  <si>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9" type="noConversion"/>
  </si>
  <si>
    <r>
      <t>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 &lt; 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) </t>
    </r>
    <phoneticPr fontId="29" type="noConversion"/>
  </si>
  <si>
    <r>
      <t>1.12/(D/t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9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</si>
  <si>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&gt;</t>
    </r>
    <r>
      <rPr>
        <sz val="9"/>
        <rFont val="맑은 고딕"/>
        <family val="3"/>
        <charset val="129"/>
      </rPr>
      <t xml:space="preserve">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9" type="noConversion"/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</si>
  <si>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</si>
  <si>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</si>
  <si>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t>Ac</t>
    <phoneticPr fontId="29" type="noConversion"/>
  </si>
  <si>
    <t>As</t>
    <phoneticPr fontId="29" type="noConversion"/>
  </si>
  <si>
    <r>
      <t>I</t>
    </r>
    <r>
      <rPr>
        <vertAlign val="subscript"/>
        <sz val="9"/>
        <rFont val="Cambria"/>
        <family val="3"/>
        <charset val="129"/>
        <scheme val="major"/>
      </rPr>
      <t xml:space="preserve">s </t>
    </r>
    <r>
      <rPr>
        <sz val="9"/>
        <rFont val="Cambria"/>
        <family val="3"/>
        <charset val="129"/>
        <scheme val="major"/>
      </rPr>
      <t>산정</t>
    </r>
    <phoneticPr fontId="29" type="noConversion"/>
  </si>
  <si>
    <r>
      <t>H</t>
    </r>
    <r>
      <rPr>
        <vertAlign val="subscript"/>
        <sz val="9"/>
        <rFont val="맑은 고딕"/>
        <family val="3"/>
        <charset val="129"/>
      </rPr>
      <t>sb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</si>
  <si>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sb</t>
    </r>
    <phoneticPr fontId="29" type="noConversion"/>
  </si>
  <si>
    <r>
      <t>H</t>
    </r>
    <r>
      <rPr>
        <vertAlign val="subscript"/>
        <sz val="9"/>
        <rFont val="맑은 고딕"/>
        <family val="3"/>
        <charset val="129"/>
      </rPr>
      <t>st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</si>
  <si>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st</t>
    </r>
    <phoneticPr fontId="29" type="noConversion"/>
  </si>
  <si>
    <t>Is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</si>
  <si>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fn </t>
    </r>
    <r>
      <rPr>
        <sz val="9"/>
        <rFont val="맑은 고딕"/>
        <family val="3"/>
        <charset val="129"/>
      </rPr>
      <t>산정</t>
    </r>
    <phoneticPr fontId="29" type="noConversion"/>
  </si>
  <si>
    <r>
      <t>w = V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</t>
    </r>
    <r>
      <rPr>
        <sz val="9"/>
        <rFont val="Calibri"/>
        <family val="3"/>
        <charset val="161"/>
      </rPr>
      <t>Δ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∙tan</t>
    </r>
    <r>
      <rPr>
        <sz val="9"/>
        <rFont val="Calibri"/>
        <family val="3"/>
        <charset val="161"/>
      </rPr>
      <t>θ</t>
    </r>
    <phoneticPr fontId="29" type="noConversion"/>
  </si>
  <si>
    <t>Compression flange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</si>
  <si>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ℓ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</si>
  <si>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ℓ1</t>
    </r>
    <phoneticPr fontId="29" type="noConversion"/>
  </si>
  <si>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• f</t>
    </r>
    <r>
      <rPr>
        <vertAlign val="subscript"/>
        <sz val="9"/>
        <rFont val="맑은 고딕"/>
        <family val="3"/>
        <charset val="129"/>
      </rPr>
      <t>ℓ1</t>
    </r>
    <r>
      <rPr>
        <sz val="9"/>
        <rFont val="맑은 고딕"/>
        <family val="3"/>
        <charset val="129"/>
      </rPr>
      <t xml:space="preserve">  ≥  f</t>
    </r>
    <r>
      <rPr>
        <vertAlign val="subscript"/>
        <sz val="9"/>
        <rFont val="맑은 고딕"/>
        <family val="3"/>
        <charset val="129"/>
      </rPr>
      <t>ℓ1</t>
    </r>
    <phoneticPr fontId="29" type="noConversion"/>
  </si>
  <si>
    <t>Tension flange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</si>
  <si>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</si>
  <si>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</si>
  <si>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Calibri"/>
        <family val="3"/>
        <charset val="161"/>
      </rPr>
      <t>Δ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</si>
  <si>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</si>
  <si>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v = [</t>
    </r>
    <r>
      <rPr>
        <sz val="9"/>
        <rFont val="Calibri"/>
        <family val="3"/>
      </rPr>
      <t>A1</t>
    </r>
    <r>
      <rPr>
        <sz val="9"/>
        <rFont val="맑은 고딕"/>
        <family val="3"/>
        <charset val="129"/>
      </rPr>
      <t>•75kN/m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 xml:space="preserve"> + (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c</t>
    </r>
    <r>
      <rPr>
        <sz val="9"/>
        <rFont val="맑은 고딕"/>
        <family val="3"/>
        <charset val="129"/>
      </rPr>
      <t xml:space="preserve"> + 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s</t>
    </r>
    <r>
      <rPr>
        <sz val="9"/>
        <rFont val="맑은 고딕"/>
        <family val="3"/>
        <charset val="129"/>
      </rPr>
      <t>)•25kN/m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]/2</t>
    </r>
    <phoneticPr fontId="29" type="noConversion"/>
  </si>
  <si>
    <r>
      <t>A1, A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, A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sectional area of steel girder, bottom concrete and deck slab</t>
    </r>
    <phoneticPr fontId="29" type="noConversion"/>
  </si>
  <si>
    <t>b, ts = cantilever and thickness of deck slab</t>
    <phoneticPr fontId="29" type="noConversion"/>
  </si>
  <si>
    <r>
      <t>n</t>
    </r>
    <r>
      <rPr>
        <vertAlign val="subscript"/>
        <sz val="9"/>
        <rFont val="맑은 고딕"/>
        <family val="3"/>
        <charset val="129"/>
      </rPr>
      <t>rib</t>
    </r>
    <phoneticPr fontId="29" type="noConversion"/>
  </si>
  <si>
    <r>
      <t xml:space="preserve"> f</t>
    </r>
    <r>
      <rPr>
        <vertAlign val="subscript"/>
        <sz val="9"/>
        <rFont val="맑은 고딕"/>
        <family val="3"/>
        <charset val="129"/>
      </rPr>
      <t xml:space="preserve">v </t>
    </r>
    <phoneticPr fontId="29" type="noConversion"/>
  </si>
  <si>
    <r>
      <t>YU1 - 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 xml:space="preserve"> for Positive moment; YL2s - t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for Negative moment</t>
    </r>
    <phoneticPr fontId="29" type="noConversion"/>
  </si>
  <si>
    <r>
      <t>Calculation of k, 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 - Plate-buckling coefficient</t>
    </r>
    <phoneticPr fontId="29" type="noConversion"/>
  </si>
  <si>
    <t>Calculation of k - bend-buckling coefficient</t>
    <phoneticPr fontId="29" type="noConversion"/>
  </si>
  <si>
    <t>( A. 6.10.1.9 &amp; 강.설 4.3.3.1.1.9)</t>
    <phoneticPr fontId="29" type="noConversion"/>
  </si>
  <si>
    <t>→ For one longitudinal stiffener</t>
    <phoneticPr fontId="29" type="noConversion"/>
  </si>
  <si>
    <t xml:space="preserve">Kim, Byung Jun, et al. "Web bend-buckling strength of plate girders with two longitudinal web stiffeners." </t>
    <phoneticPr fontId="29" type="noConversion"/>
  </si>
  <si>
    <t>Structural Engineering and Mechanics 69.4 (2019): 383-397.</t>
    <phoneticPr fontId="29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</si>
  <si>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&lt; 0.4</t>
    </r>
    <phoneticPr fontId="29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</si>
  <si>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29" type="noConversion"/>
  </si>
  <si>
    <r>
      <t>4.82 (D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2.5</t>
    </r>
    <r>
      <rPr>
        <sz val="9"/>
        <rFont val="맑은 고딕"/>
        <family val="3"/>
        <charset val="129"/>
      </rPr>
      <t xml:space="preserve">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29" type="noConversion"/>
  </si>
  <si>
    <t>dsc</t>
    <phoneticPr fontId="29" type="noConversion"/>
  </si>
  <si>
    <t>distance between the center of the two longitudinal stiffeners and the inner surface of</t>
    <phoneticPr fontId="29" type="noConversion"/>
  </si>
  <si>
    <t>the compression flange</t>
    <phoneticPr fontId="29" type="noConversion"/>
  </si>
  <si>
    <t>Ψ</t>
    <phoneticPr fontId="29" type="noConversion"/>
  </si>
  <si>
    <t>=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</si>
  <si>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: stress ratio in the web panel</t>
    </r>
    <phoneticPr fontId="29" type="noConversion"/>
  </si>
  <si>
    <r>
      <t>In this case, the values 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is taken as 0.2D</t>
    </r>
    <phoneticPr fontId="29" type="noConversion"/>
  </si>
  <si>
    <t>In this case, the distances between the first and second stiffener to the inner surface of the compression flange</t>
    <phoneticPr fontId="29" type="noConversion"/>
  </si>
  <si>
    <r>
      <t>are taken as 0.14D and 0.36D, thus, d</t>
    </r>
    <r>
      <rPr>
        <vertAlign val="subscript"/>
        <sz val="9"/>
        <rFont val="Cambria"/>
        <family val="3"/>
        <charset val="129"/>
        <scheme val="major"/>
      </rPr>
      <t>sc</t>
    </r>
    <r>
      <rPr>
        <sz val="9"/>
        <rFont val="Cambria"/>
        <family val="3"/>
        <charset val="129"/>
        <scheme val="major"/>
      </rPr>
      <t xml:space="preserve"> would be 0.25D 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</si>
  <si>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sc</t>
    </r>
    <phoneticPr fontId="29" type="noConversion"/>
  </si>
  <si>
    <t>Ψ</t>
    <phoneticPr fontId="29" type="noConversion"/>
  </si>
  <si>
    <t>(1 개)</t>
    <phoneticPr fontId="29" type="noConversion"/>
  </si>
  <si>
    <t>(2 개)</t>
    <phoneticPr fontId="29" type="noConversion"/>
  </si>
  <si>
    <r>
      <t>247.8 (d</t>
    </r>
    <r>
      <rPr>
        <vertAlign val="subscript"/>
        <sz val="9"/>
        <rFont val="맑은 고딕"/>
        <family val="3"/>
        <charset val="129"/>
      </rPr>
      <t xml:space="preserve">sc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1.8</t>
    </r>
    <r>
      <rPr>
        <sz val="9"/>
        <rFont val="맑은 고딕"/>
        <family val="3"/>
        <charset val="129"/>
      </rPr>
      <t xml:space="preserve"> (1 - 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29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</si>
  <si>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≥ -1.0</t>
    </r>
    <phoneticPr fontId="29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</si>
  <si>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&lt; -1.0</t>
    </r>
    <phoneticPr fontId="29" type="noConversion"/>
  </si>
  <si>
    <r>
      <t xml:space="preserve">247.8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0.32</t>
    </r>
    <phoneticPr fontId="29" type="noConversion"/>
  </si>
  <si>
    <r>
      <t>k =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</si>
  <si>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t xml:space="preserve">→ For the unstiffened web </t>
    <phoneticPr fontId="29" type="noConversion"/>
  </si>
  <si>
    <t>→ For two longitudinal stiffener, k is calculated by equations proposed in below papers</t>
    <phoneticPr fontId="29" type="noConversion"/>
  </si>
  <si>
    <t>(0 개)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</si>
  <si>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맑은 고딕"/>
        <family val="3"/>
        <charset val="129"/>
      </rPr>
      <t>Δ</t>
    </r>
  </si>
  <si>
    <t>Sectional Checking</t>
  </si>
  <si>
    <t>7.1. Constructibility</t>
  </si>
  <si>
    <t>Lateral bending stress</t>
  </si>
  <si>
    <t>Compression flange</t>
  </si>
  <si>
    <t>Tension flange</t>
  </si>
  <si>
    <t>7.1.1. Flange Lateral bending stress</t>
  </si>
  <si>
    <t>강.설 4.3.3.1.1.6</t>
  </si>
  <si>
    <t>강.설 4.3-108</t>
  </si>
  <si>
    <t>강.설 4.3-132</t>
  </si>
  <si>
    <t>강.설 4.3-133</t>
  </si>
  <si>
    <t>강.설 4.3-134</t>
  </si>
  <si>
    <t>강.설 4.3-247</t>
  </si>
  <si>
    <t>강.설 4.3-248</t>
  </si>
  <si>
    <t>강.설 4.3-135</t>
  </si>
  <si>
    <t>강.설 4.3-249</t>
  </si>
  <si>
    <t>강.설 4.3-137</t>
  </si>
  <si>
    <t>강.설 4.3.3.1.8.2(3)</t>
  </si>
  <si>
    <t>강.설 4.3.3.1.1.10(2)</t>
  </si>
  <si>
    <r>
      <t>Calcualation of f</t>
    </r>
    <r>
      <rPr>
        <b/>
        <vertAlign val="subscript"/>
        <sz val="9"/>
        <rFont val="맑은 고딕"/>
        <family val="3"/>
        <charset val="129"/>
      </rPr>
      <t>ℓ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</si>
  <si>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1.2L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√(C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</si>
  <si>
    <r>
      <t>(1.25M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+ 1.25M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>) / S</t>
    </r>
    <r>
      <rPr>
        <vertAlign val="subscript"/>
        <sz val="9"/>
        <rFont val="맑은 고딕"/>
        <family val="3"/>
        <charset val="129"/>
      </rPr>
      <t>ℓ</t>
    </r>
  </si>
  <si>
    <r>
      <t>f</t>
    </r>
    <r>
      <rPr>
        <vertAlign val="subscript"/>
        <sz val="9"/>
        <rFont val="맑은 고딕"/>
        <family val="3"/>
        <charset val="129"/>
      </rPr>
      <t>ℓ1</t>
    </r>
  </si>
  <si>
    <t>lateral bending moment due to horizontal component of web shear in web</t>
  </si>
  <si>
    <t>lateral bending moment due to deck overhang wet concrete load</t>
  </si>
  <si>
    <t>lateral bending moment due to deck overhang forms load</t>
  </si>
  <si>
    <t>lateral bending moment due to curvature</t>
  </si>
  <si>
    <r>
      <t>b</t>
    </r>
    <r>
      <rPr>
        <vertAlign val="subscript"/>
        <sz val="9"/>
        <rFont val="맑은 고딕"/>
        <family val="3"/>
        <charset val="129"/>
      </rPr>
      <t>fc</t>
    </r>
  </si>
  <si>
    <r>
      <t>√(12(1 +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/3/b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))</t>
    </r>
  </si>
  <si>
    <t>Moment due to horizontal component of web shear</t>
  </si>
  <si>
    <t xml:space="preserve">■ </t>
  </si>
  <si>
    <t>Moment due to overhang wet concrete loading</t>
  </si>
  <si>
    <t>Moment due to overhang form loads</t>
  </si>
  <si>
    <t>Moment due to curvature</t>
  </si>
  <si>
    <t>7.1.1. Flange stress checking</t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</si>
  <si>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 xml:space="preserve"> √(1 - (f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/ 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/ Fcv)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</si>
  <si>
    <r>
      <t>[1 - (1 - 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 / (λ</t>
    </r>
    <r>
      <rPr>
        <vertAlign val="subscript"/>
        <sz val="9"/>
        <rFont val="맑은 고딕"/>
        <family val="3"/>
        <charset val="129"/>
      </rPr>
      <t>rf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)]R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</si>
  <si>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[1 - (1 - 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- 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 / (L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- 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 xml:space="preserve">yc </t>
    </r>
    <r>
      <rPr>
        <sz val="9"/>
        <rFont val="맑은 고딕"/>
        <family val="3"/>
        <charset val="129"/>
      </rPr>
      <t>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</si>
  <si>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</si>
  <si>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</si>
  <si>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</si>
  <si>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[Δ - (Δ - (Δ - 0.3) / 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) (λ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 / (λ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</t>
    </r>
  </si>
  <si>
    <t xml:space="preserve">λf = w / tfc if with rib </t>
  </si>
  <si>
    <t>λf = bfc / tfc without rib</t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</si>
  <si>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= 0.57 √ (Ek/F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/Δ)</t>
    </r>
  </si>
  <si>
    <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0.95 √ [Ek/F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/(Δ - 0.3)]</t>
    </r>
  </si>
  <si>
    <r>
      <t>Δ = √( 1 - f</t>
    </r>
    <r>
      <rPr>
        <vertAlign val="subscript"/>
        <sz val="9"/>
        <rFont val="맑은 고딕"/>
        <family val="3"/>
        <charset val="129"/>
      </rPr>
      <t>v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yc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</si>
  <si>
    <r>
      <t>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T / 2 / 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/ t</t>
    </r>
    <r>
      <rPr>
        <vertAlign val="subscript"/>
        <sz val="9"/>
        <rFont val="맑은 고딕"/>
        <family val="3"/>
        <charset val="129"/>
      </rPr>
      <t>f</t>
    </r>
  </si>
  <si>
    <r>
      <t>(n + 1)</t>
    </r>
    <r>
      <rPr>
        <vertAlign val="superscript"/>
        <sz val="9"/>
        <rFont val="맑은 고딕"/>
        <family val="3"/>
        <charset val="129"/>
      </rPr>
      <t>2</t>
    </r>
  </si>
  <si>
    <r>
      <t>5.34 + 2.84(I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/ w / 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1/3</t>
    </r>
  </si>
  <si>
    <t>≤ 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</si>
</sst>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_-;\-* #,##0_-;_-* &quot;-&quot;_-;_-@_-"/>
    <numFmt numFmtId="165" formatCode="_-* #,##0.00_-;\-* #,##0.00_-;_-* &quot;-&quot;??_-;_-@_-"/>
    <numFmt numFmtId="166" formatCode="0.00&quot; ㎠&quot;"/>
    <numFmt numFmtId="167" formatCode="0.0"/>
    <numFmt numFmtId="169" formatCode="0.000"/>
    <numFmt numFmtId="170" formatCode="0.0000000"/>
    <numFmt numFmtId="172" formatCode="&quot;x&quot;#"/>
    <numFmt numFmtId="173" formatCode="_-* #,##0.0_-;\-* #,##0.0_-;_-* &quot;-&quot;??_-;_-@_-"/>
    <numFmt numFmtId="174" formatCode="0.E+00"/>
    <numFmt numFmtId="175" formatCode="&quot;₩&quot;#,##0;&quot;₩&quot;&quot;₩&quot;&quot;₩&quot;&quot;₩&quot;\-#,##0"/>
    <numFmt numFmtId="176" formatCode="#,##0;[Red]&quot;-&quot;#,##0"/>
    <numFmt numFmtId="177" formatCode="&quot;₩&quot;#,##0;[Red]&quot;₩&quot;&quot;₩&quot;&quot;₩&quot;&quot;₩&quot;\-#,##0"/>
    <numFmt numFmtId="178" formatCode="#,##0.00;[Red]&quot;-&quot;#,##0.00"/>
    <numFmt numFmtId="179" formatCode="_-* #,##0.00_-;&quot;₩&quot;&quot;₩&quot;\-* #,##0.00_-;_-* &quot;-&quot;??_-;_-@_-"/>
    <numFmt numFmtId="180" formatCode="_-&quot;₩&quot;* #,##0.00_-;&quot;₩&quot;&quot;₩&quot;\-&quot;₩&quot;* #,##0.00_-;_-&quot;₩&quot;* &quot;-&quot;??_-;_-@_-"/>
    <numFmt numFmtId="181" formatCode="&quot;₩&quot;#,##0.00;&quot;₩&quot;&quot;₩&quot;&quot;₩&quot;&quot;₩&quot;\-#,##0.00"/>
    <numFmt numFmtId="189" formatCode="0_);[Red]\(0\)"/>
    <numFmt numFmtId="192" formatCode="0.0.E+00"/>
  </numFmts>
  <fonts count="52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sz val="9"/>
      <name val="Symbol"/>
      <family val="1"/>
      <charset val="2"/>
    </font>
    <font>
      <sz val="9.5500000000000007"/>
      <name val="맑은 고딕"/>
      <family val="3"/>
      <charset val="129"/>
    </font>
    <font>
      <b/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</font>
    <font>
      <sz val="9"/>
      <name val="Cambria"/>
      <family val="3"/>
      <charset val="129"/>
      <scheme val="major"/>
    </font>
    <font>
      <vertAlign val="subscript"/>
      <sz val="9"/>
      <name val="Cambria"/>
      <family val="3"/>
      <charset val="129"/>
      <scheme val="major"/>
    </font>
    <font>
      <i/>
      <vertAlign val="subscript"/>
      <sz val="9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바탕"/>
      <family val="1"/>
      <charset val="129"/>
    </font>
    <font>
      <b/>
      <sz val="9"/>
      <name val="Calibri"/>
      <family val="3"/>
      <charset val="161"/>
    </font>
    <font>
      <sz val="9"/>
      <name val="Calibri"/>
      <family val="3"/>
      <charset val="161"/>
    </font>
    <font>
      <sz val="9"/>
      <name val="맑은 고딕"/>
      <family val="3"/>
      <charset val="161"/>
    </font>
    <font>
      <sz val="9"/>
      <name val="맑은 고딕"/>
      <family val="1"/>
      <charset val="2"/>
    </font>
    <font>
      <sz val="9"/>
      <name val="Calibri"/>
      <family val="3"/>
    </font>
    <font>
      <vertAlign val="subscript"/>
      <sz val="9"/>
      <name val="Calibri"/>
      <family val="2"/>
    </font>
    <font>
      <vertAlign val="superscript"/>
      <sz val="9.5500000000000007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b/>
      <sz val="14"/>
      <color theme="8" tint="-0.499984740745262"/>
      <name val="맑은 고딕"/>
      <family val="3"/>
      <charset val="129"/>
    </font>
    <font>
      <b/>
      <sz val="12"/>
      <color theme="8" tint="-0.499984740745262"/>
      <name val="맑은 고딕"/>
      <family val="3"/>
      <charset val="129"/>
    </font>
    <font>
      <b/>
      <sz val="9"/>
      <color theme="4" tint="-0.249977111117893"/>
      <name val="맑은 고딕"/>
      <family val="3"/>
      <charset val="129"/>
    </font>
    <font>
      <b/>
      <sz val="8"/>
      <color theme="4" tint="-0.249977111117893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b/>
      <sz val="10"/>
      <color theme="4" tint="-0.249977111117893"/>
      <name val="맑은 고딕"/>
      <family val="3"/>
      <charset val="129"/>
    </font>
    <font>
      <sz val="9"/>
      <color theme="8" tint="-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>
      <alignment vertical="center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75" fontId="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176" fontId="27" fillId="0" borderId="0">
      <alignment vertical="center"/>
    </xf>
    <xf numFmtId="4" fontId="24" fillId="0" borderId="0">
      <protection locked="0"/>
    </xf>
    <xf numFmtId="177" fontId="3" fillId="0" borderId="0">
      <protection locked="0"/>
    </xf>
    <xf numFmtId="176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>
      <protection locked="0"/>
    </xf>
    <xf numFmtId="0" fontId="1" fillId="0" borderId="0"/>
    <xf numFmtId="0" fontId="1" fillId="0" borderId="0"/>
    <xf numFmtId="0" fontId="24" fillId="0" borderId="37">
      <protection locked="0"/>
    </xf>
    <xf numFmtId="180" fontId="3" fillId="0" borderId="0">
      <protection locked="0"/>
    </xf>
    <xf numFmtId="181" fontId="3" fillId="0" borderId="0">
      <protection locked="0"/>
    </xf>
    <xf numFmtId="0" fontId="28" fillId="0" borderId="38" applyNumberFormat="0" applyAlignment="0" applyProtection="0">
      <alignment horizontal="left" vertical="center"/>
    </xf>
    <xf numFmtId="0" fontId="28" fillId="0" borderId="27">
      <alignment horizontal="left" vertical="center"/>
    </xf>
    <xf numFmtId="0" fontId="35" fillId="0" borderId="0">
      <alignment vertical="center"/>
    </xf>
    <xf numFmtId="0" fontId="35" fillId="0" borderId="0">
      <alignment vertical="center"/>
    </xf>
  </cellStyleXfs>
  <cellXfs count="332">
    <xf numFmtId="0" fontId="0" fillId="0" borderId="0" xfId="0">
      <alignment vertical="center"/>
    </xf>
    <xf numFmtId="164" fontId="5" fillId="0" borderId="0" xfId="12" applyFont="1" applyAlignment="1">
      <alignment vertical="center"/>
    </xf>
    <xf numFmtId="2" fontId="5" fillId="0" borderId="16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173" fontId="5" fillId="0" borderId="0" xfId="0" applyNumberFormat="1" applyFo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2" fontId="5" fillId="0" borderId="0" xfId="0" applyNumberFormat="1" applyFont="1" applyBorder="1">
      <alignment vertical="center"/>
    </xf>
    <xf numFmtId="0" fontId="5" fillId="0" borderId="0" xfId="12" applyNumberFormat="1" applyFont="1" applyBorder="1" applyAlignment="1">
      <alignment vertical="center"/>
    </xf>
    <xf numFmtId="167" fontId="6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9" fillId="0" borderId="0" xfId="0" applyFont="1" applyFill="1" applyBorder="1" applyAlignment="1">
      <alignment vertical="center"/>
    </xf>
    <xf numFmtId="170" fontId="5" fillId="0" borderId="0" xfId="0" applyNumberFormat="1" applyFont="1" applyFill="1" applyBorder="1">
      <alignment vertical="center"/>
    </xf>
    <xf numFmtId="0" fontId="9" fillId="0" borderId="0" xfId="0" quotePrefix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9" fillId="0" borderId="32" xfId="0" applyFont="1" applyFill="1" applyBorder="1">
      <alignment vertical="center"/>
    </xf>
    <xf numFmtId="0" fontId="5" fillId="0" borderId="36" xfId="0" applyFont="1" applyBorder="1">
      <alignment vertical="center"/>
    </xf>
    <xf numFmtId="0" fontId="5" fillId="0" borderId="36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2" xfId="0" applyFont="1" applyFill="1" applyBorder="1">
      <alignment vertical="center"/>
    </xf>
    <xf numFmtId="0" fontId="5" fillId="0" borderId="32" xfId="0" applyFont="1" applyBorder="1">
      <alignment vertical="center"/>
    </xf>
    <xf numFmtId="170" fontId="5" fillId="0" borderId="0" xfId="0" applyNumberFormat="1" applyFont="1" applyBorder="1">
      <alignment vertical="center"/>
    </xf>
    <xf numFmtId="0" fontId="5" fillId="0" borderId="33" xfId="0" applyFont="1" applyBorder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>
      <alignment vertical="center"/>
    </xf>
    <xf numFmtId="0" fontId="9" fillId="0" borderId="35" xfId="0" applyFont="1" applyFill="1" applyBorder="1">
      <alignment vertical="center"/>
    </xf>
    <xf numFmtId="0" fontId="5" fillId="0" borderId="2" xfId="0" applyFont="1" applyBorder="1" applyAlignment="1">
      <alignment vertical="center"/>
    </xf>
    <xf numFmtId="167" fontId="5" fillId="0" borderId="23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33" xfId="0" applyFont="1" applyBorder="1">
      <alignment vertical="center"/>
    </xf>
    <xf numFmtId="2" fontId="5" fillId="0" borderId="0" xfId="0" applyNumberFormat="1" applyFont="1" applyFill="1" applyBorder="1" applyAlignment="1">
      <alignment vertical="center"/>
    </xf>
    <xf numFmtId="169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quotePrefix="1" applyFont="1" applyBorder="1">
      <alignment vertical="center"/>
    </xf>
    <xf numFmtId="0" fontId="9" fillId="0" borderId="0" xfId="0" quotePrefix="1" applyFont="1">
      <alignment vertical="center"/>
    </xf>
    <xf numFmtId="0" fontId="12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0" fontId="12" fillId="0" borderId="0" xfId="0" applyFont="1" applyAlignment="1">
      <alignment horizontal="right" vertical="center"/>
    </xf>
    <xf numFmtId="0" fontId="19" fillId="0" borderId="2" xfId="0" applyFont="1" applyBorder="1">
      <alignment vertical="center"/>
    </xf>
    <xf numFmtId="0" fontId="5" fillId="2" borderId="27" xfId="0" applyFont="1" applyFill="1" applyBorder="1">
      <alignment vertical="center"/>
    </xf>
    <xf numFmtId="167" fontId="5" fillId="0" borderId="0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23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2" borderId="27" xfId="0" applyFont="1" applyFill="1" applyBorder="1">
      <alignment vertical="center"/>
    </xf>
    <xf numFmtId="0" fontId="5" fillId="0" borderId="2" xfId="0" applyFont="1" applyFill="1" applyBorder="1">
      <alignment vertical="center"/>
    </xf>
    <xf numFmtId="167" fontId="5" fillId="0" borderId="0" xfId="0" applyNumberFormat="1" applyFont="1" applyBorder="1" applyAlignment="1">
      <alignment horizontal="left" vertical="center"/>
    </xf>
    <xf numFmtId="0" fontId="5" fillId="0" borderId="23" xfId="0" applyFont="1" applyFill="1" applyBorder="1">
      <alignment vertical="center"/>
    </xf>
    <xf numFmtId="0" fontId="9" fillId="0" borderId="33" xfId="0" applyFont="1" applyFill="1" applyBorder="1">
      <alignment vertical="center"/>
    </xf>
    <xf numFmtId="0" fontId="20" fillId="0" borderId="0" xfId="0" quotePrefix="1" applyFont="1" applyBorder="1">
      <alignment vertical="center"/>
    </xf>
    <xf numFmtId="0" fontId="20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9" fillId="0" borderId="0" xfId="0" quotePrefix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left" vertical="center"/>
    </xf>
    <xf numFmtId="0" fontId="9" fillId="4" borderId="0" xfId="0" applyFont="1" applyFill="1" applyBorder="1">
      <alignment vertical="center"/>
    </xf>
    <xf numFmtId="1" fontId="5" fillId="0" borderId="0" xfId="0" applyNumberFormat="1" applyFont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17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4" borderId="0" xfId="0" applyFont="1" applyFill="1" applyBorder="1">
      <alignment vertical="center"/>
    </xf>
    <xf numFmtId="173" fontId="5" fillId="2" borderId="27" xfId="0" applyNumberFormat="1" applyFont="1" applyFill="1" applyBorder="1">
      <alignment vertical="center"/>
    </xf>
    <xf numFmtId="173" fontId="5" fillId="0" borderId="2" xfId="0" applyNumberFormat="1" applyFont="1" applyBorder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Fill="1" applyBorder="1">
      <alignment vertical="center"/>
    </xf>
    <xf numFmtId="167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19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7" fontId="5" fillId="0" borderId="0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14" xfId="0" applyFont="1" applyFill="1" applyBorder="1">
      <alignment vertical="center"/>
    </xf>
    <xf numFmtId="0" fontId="17" fillId="0" borderId="12" xfId="0" applyFont="1" applyFill="1" applyBorder="1" applyAlignment="1">
      <alignment horizontal="right" vertical="center"/>
    </xf>
    <xf numFmtId="0" fontId="5" fillId="0" borderId="14" xfId="0" quotePrefix="1" applyFont="1" applyFill="1" applyBorder="1">
      <alignment vertical="center"/>
    </xf>
    <xf numFmtId="0" fontId="5" fillId="0" borderId="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9" fillId="0" borderId="14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9" fillId="0" borderId="33" xfId="0" applyFont="1" applyFill="1" applyBorder="1" applyAlignment="1">
      <alignment vertical="center"/>
    </xf>
    <xf numFmtId="0" fontId="5" fillId="0" borderId="33" xfId="0" quotePrefix="1" applyFont="1" applyFill="1" applyBorder="1">
      <alignment vertical="center"/>
    </xf>
    <xf numFmtId="0" fontId="5" fillId="0" borderId="33" xfId="0" applyFont="1" applyFill="1" applyBorder="1">
      <alignment vertical="center"/>
    </xf>
    <xf numFmtId="0" fontId="17" fillId="0" borderId="33" xfId="0" applyFont="1" applyFill="1" applyBorder="1" applyAlignment="1">
      <alignment horizontal="right" vertical="center"/>
    </xf>
    <xf numFmtId="0" fontId="5" fillId="0" borderId="50" xfId="0" applyFont="1" applyFill="1" applyBorder="1">
      <alignment vertical="center"/>
    </xf>
    <xf numFmtId="0" fontId="5" fillId="3" borderId="47" xfId="0" applyFont="1" applyFill="1" applyBorder="1">
      <alignment vertical="center"/>
    </xf>
    <xf numFmtId="0" fontId="5" fillId="3" borderId="46" xfId="0" applyFont="1" applyFill="1" applyBorder="1">
      <alignment vertical="center"/>
    </xf>
    <xf numFmtId="0" fontId="5" fillId="3" borderId="48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5" fillId="0" borderId="46" xfId="0" applyFont="1" applyFill="1" applyBorder="1">
      <alignment vertical="center"/>
    </xf>
    <xf numFmtId="0" fontId="5" fillId="0" borderId="47" xfId="0" applyFont="1" applyFill="1" applyBorder="1">
      <alignment vertical="center"/>
    </xf>
    <xf numFmtId="0" fontId="5" fillId="0" borderId="43" xfId="0" applyFont="1" applyFill="1" applyBorder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8" xfId="0" applyFont="1" applyFill="1" applyBorder="1" applyAlignment="1">
      <alignment vertical="center"/>
    </xf>
    <xf numFmtId="0" fontId="18" fillId="0" borderId="0" xfId="0" quotePrefix="1" applyFont="1" applyBorder="1">
      <alignment vertical="center"/>
    </xf>
    <xf numFmtId="0" fontId="4" fillId="0" borderId="45" xfId="0" quotePrefix="1" applyFont="1" applyFill="1" applyBorder="1" applyAlignment="1">
      <alignment horizontal="right" vertical="center"/>
    </xf>
    <xf numFmtId="0" fontId="4" fillId="0" borderId="50" xfId="0" applyFont="1" applyFill="1" applyBorder="1" applyAlignment="1">
      <alignment horizontal="right" vertical="center"/>
    </xf>
    <xf numFmtId="0" fontId="4" fillId="0" borderId="15" xfId="0" quotePrefix="1" applyFont="1" applyFill="1" applyBorder="1" applyAlignment="1">
      <alignment horizontal="right" vertical="center"/>
    </xf>
    <xf numFmtId="0" fontId="18" fillId="0" borderId="0" xfId="0" applyFont="1" applyBorder="1">
      <alignment vertical="center"/>
    </xf>
    <xf numFmtId="0" fontId="16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5" fillId="0" borderId="25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right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3" borderId="40" xfId="0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167" fontId="6" fillId="0" borderId="0" xfId="0" applyNumberFormat="1" applyFont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9" xfId="0" quotePrefix="1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vertical="center"/>
    </xf>
    <xf numFmtId="165" fontId="5" fillId="0" borderId="16" xfId="0" applyNumberFormat="1" applyFont="1" applyFill="1" applyBorder="1" applyAlignment="1">
      <alignment vertical="center"/>
    </xf>
    <xf numFmtId="167" fontId="5" fillId="0" borderId="16" xfId="0" applyNumberFormat="1" applyFont="1" applyFill="1" applyBorder="1" applyAlignment="1">
      <alignment vertical="center"/>
    </xf>
    <xf numFmtId="169" fontId="5" fillId="0" borderId="17" xfId="0" applyNumberFormat="1" applyFont="1" applyFill="1" applyBorder="1" applyAlignment="1">
      <alignment vertical="center"/>
    </xf>
    <xf numFmtId="174" fontId="5" fillId="0" borderId="16" xfId="0" applyNumberFormat="1" applyFont="1" applyFill="1" applyBorder="1" applyAlignment="1">
      <alignment vertical="center"/>
    </xf>
    <xf numFmtId="2" fontId="7" fillId="0" borderId="16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5" fillId="3" borderId="43" xfId="0" applyFont="1" applyFill="1" applyBorder="1" applyAlignment="1">
      <alignment vertical="center"/>
    </xf>
    <xf numFmtId="0" fontId="9" fillId="0" borderId="3" xfId="0" applyFont="1" applyFill="1" applyBorder="1">
      <alignment vertical="center"/>
    </xf>
    <xf numFmtId="0" fontId="9" fillId="0" borderId="41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4" xfId="0" applyFont="1" applyFill="1" applyBorder="1" applyAlignment="1">
      <alignment vertical="center"/>
    </xf>
    <xf numFmtId="0" fontId="9" fillId="0" borderId="41" xfId="0" applyFont="1" applyFill="1" applyBorder="1">
      <alignment vertical="center"/>
    </xf>
    <xf numFmtId="0" fontId="9" fillId="0" borderId="44" xfId="0" applyFont="1" applyFill="1" applyBorder="1">
      <alignment vertical="center"/>
    </xf>
    <xf numFmtId="0" fontId="3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28" xfId="0" applyNumberFormat="1" applyFont="1" applyFill="1" applyBorder="1" applyAlignment="1">
      <alignment vertical="center"/>
    </xf>
    <xf numFmtId="2" fontId="5" fillId="0" borderId="28" xfId="0" applyNumberFormat="1" applyFont="1" applyFill="1" applyBorder="1" applyAlignment="1">
      <alignment vertical="center"/>
    </xf>
    <xf numFmtId="167" fontId="5" fillId="0" borderId="28" xfId="0" applyNumberFormat="1" applyFont="1" applyFill="1" applyBorder="1" applyAlignment="1">
      <alignment vertical="center"/>
    </xf>
    <xf numFmtId="2" fontId="5" fillId="0" borderId="17" xfId="0" applyNumberFormat="1" applyFont="1" applyFill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quotePrefix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" fontId="7" fillId="0" borderId="17" xfId="0" applyNumberFormat="1" applyFont="1" applyFill="1" applyBorder="1" applyAlignment="1">
      <alignment vertical="center"/>
    </xf>
    <xf numFmtId="2" fontId="7" fillId="0" borderId="17" xfId="0" applyNumberFormat="1" applyFont="1" applyFill="1" applyBorder="1" applyAlignment="1">
      <alignment vertical="center"/>
    </xf>
    <xf numFmtId="0" fontId="5" fillId="3" borderId="20" xfId="0" quotePrefix="1" applyFont="1" applyFill="1" applyBorder="1" applyAlignment="1">
      <alignment horizontal="center" vertical="center"/>
    </xf>
    <xf numFmtId="1" fontId="5" fillId="0" borderId="25" xfId="0" applyNumberFormat="1" applyFont="1" applyFill="1" applyBorder="1" applyAlignment="1">
      <alignment vertical="center"/>
    </xf>
    <xf numFmtId="0" fontId="5" fillId="3" borderId="19" xfId="0" quotePrefix="1" applyFont="1" applyFill="1" applyBorder="1" applyAlignment="1">
      <alignment horizontal="center" vertical="center"/>
    </xf>
    <xf numFmtId="0" fontId="39" fillId="0" borderId="0" xfId="0" applyFont="1" applyBorder="1">
      <alignment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39" fillId="0" borderId="36" xfId="0" applyFont="1" applyBorder="1">
      <alignment vertical="center"/>
    </xf>
    <xf numFmtId="0" fontId="39" fillId="0" borderId="2" xfId="0" applyFont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3" borderId="21" xfId="0" applyFont="1" applyFill="1" applyBorder="1" applyAlignment="1">
      <alignment horizontal="center" vertical="center"/>
    </xf>
    <xf numFmtId="189" fontId="5" fillId="0" borderId="28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vertical="center"/>
    </xf>
    <xf numFmtId="0" fontId="38" fillId="3" borderId="40" xfId="0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92" fontId="34" fillId="0" borderId="16" xfId="0" applyNumberFormat="1" applyFont="1" applyFill="1" applyBorder="1" applyAlignment="1">
      <alignment vertical="center"/>
    </xf>
    <xf numFmtId="192" fontId="34" fillId="0" borderId="28" xfId="0" applyNumberFormat="1" applyFont="1" applyFill="1" applyBorder="1" applyAlignment="1">
      <alignment vertical="center"/>
    </xf>
    <xf numFmtId="0" fontId="5" fillId="3" borderId="19" xfId="0" quotePrefix="1" applyFont="1" applyFill="1" applyBorder="1" applyAlignment="1">
      <alignment horizontal="right" vertical="center"/>
    </xf>
    <xf numFmtId="0" fontId="5" fillId="3" borderId="20" xfId="0" quotePrefix="1" applyFont="1" applyFill="1" applyBorder="1" applyAlignment="1">
      <alignment horizontal="right" vertical="center"/>
    </xf>
    <xf numFmtId="2" fontId="7" fillId="0" borderId="16" xfId="0" applyNumberFormat="1" applyFont="1" applyFill="1" applyBorder="1" applyAlignment="1">
      <alignment horizontal="right" vertical="center"/>
    </xf>
    <xf numFmtId="2" fontId="7" fillId="0" borderId="17" xfId="0" applyNumberFormat="1" applyFont="1" applyFill="1" applyBorder="1" applyAlignment="1">
      <alignment horizontal="right" vertical="center"/>
    </xf>
    <xf numFmtId="2" fontId="7" fillId="0" borderId="16" xfId="0" applyNumberFormat="1" applyFont="1" applyFill="1" applyBorder="1" applyAlignment="1">
      <alignment horizontal="center" vertical="center"/>
    </xf>
    <xf numFmtId="192" fontId="34" fillId="0" borderId="28" xfId="0" applyNumberFormat="1" applyFont="1" applyBorder="1">
      <alignment vertical="center"/>
    </xf>
    <xf numFmtId="174" fontId="34" fillId="0" borderId="28" xfId="0" applyNumberFormat="1" applyFont="1" applyBorder="1">
      <alignment vertical="center"/>
    </xf>
    <xf numFmtId="2" fontId="34" fillId="0" borderId="16" xfId="0" applyNumberFormat="1" applyFont="1" applyFill="1" applyBorder="1" applyAlignment="1">
      <alignment vertical="center"/>
    </xf>
    <xf numFmtId="174" fontId="34" fillId="0" borderId="28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2" borderId="52" xfId="0" applyFont="1" applyFill="1" applyBorder="1">
      <alignment vertical="center"/>
    </xf>
    <xf numFmtId="0" fontId="5" fillId="0" borderId="2" xfId="0" applyFont="1" applyFill="1" applyBorder="1" applyAlignment="1">
      <alignment vertical="center"/>
    </xf>
    <xf numFmtId="0" fontId="38" fillId="0" borderId="0" xfId="0" applyFont="1">
      <alignment vertical="center"/>
    </xf>
    <xf numFmtId="0" fontId="38" fillId="3" borderId="18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vertical="center"/>
    </xf>
    <xf numFmtId="0" fontId="39" fillId="0" borderId="51" xfId="0" applyFont="1" applyFill="1" applyBorder="1">
      <alignment vertical="center"/>
    </xf>
    <xf numFmtId="0" fontId="19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31" fillId="3" borderId="30" xfId="0" applyFont="1" applyFill="1" applyBorder="1" applyAlignment="1">
      <alignment horizontal="center" vertical="center"/>
    </xf>
    <xf numFmtId="0" fontId="31" fillId="3" borderId="39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20" fillId="5" borderId="0" xfId="0" quotePrefix="1" applyFont="1" applyFill="1" applyBorder="1">
      <alignment vertical="center"/>
    </xf>
    <xf numFmtId="0" fontId="44" fillId="5" borderId="0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left" vertical="center"/>
    </xf>
    <xf numFmtId="0" fontId="5" fillId="3" borderId="0" xfId="0" applyFont="1" applyFill="1" applyBorder="1">
      <alignment vertical="center"/>
    </xf>
    <xf numFmtId="0" fontId="46" fillId="0" borderId="0" xfId="0" quotePrefix="1" applyFont="1">
      <alignment vertical="center"/>
    </xf>
    <xf numFmtId="0" fontId="9" fillId="0" borderId="6" xfId="0" applyFont="1" applyFill="1" applyBorder="1">
      <alignment vertical="center"/>
    </xf>
    <xf numFmtId="0" fontId="16" fillId="0" borderId="11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172" fontId="9" fillId="0" borderId="11" xfId="0" applyNumberFormat="1" applyFont="1" applyFill="1" applyBorder="1" applyAlignment="1">
      <alignment horizontal="left" vertical="center"/>
    </xf>
    <xf numFmtId="0" fontId="18" fillId="0" borderId="12" xfId="0" applyFont="1" applyFill="1" applyBorder="1">
      <alignment vertical="center"/>
    </xf>
    <xf numFmtId="0" fontId="12" fillId="0" borderId="11" xfId="0" applyFont="1" applyFill="1" applyBorder="1" applyAlignment="1">
      <alignment horizontal="right" vertical="center"/>
    </xf>
    <xf numFmtId="0" fontId="5" fillId="0" borderId="11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18" fillId="0" borderId="12" xfId="0" quotePrefix="1" applyFont="1" applyFill="1" applyBorder="1">
      <alignment vertical="center"/>
    </xf>
    <xf numFmtId="0" fontId="5" fillId="0" borderId="13" xfId="0" applyFont="1" applyFill="1" applyBorder="1">
      <alignment vertical="center"/>
    </xf>
    <xf numFmtId="170" fontId="5" fillId="0" borderId="14" xfId="0" applyNumberFormat="1" applyFont="1" applyFill="1" applyBorder="1">
      <alignment vertical="center"/>
    </xf>
    <xf numFmtId="0" fontId="50" fillId="0" borderId="0" xfId="0" quotePrefix="1" applyFont="1" applyAlignment="1">
      <alignment horizontal="left" vertical="center"/>
    </xf>
    <xf numFmtId="0" fontId="9" fillId="0" borderId="53" xfId="0" applyFont="1" applyFill="1" applyBorder="1">
      <alignment vertical="center"/>
    </xf>
    <xf numFmtId="0" fontId="5" fillId="0" borderId="38" xfId="0" applyFont="1" applyBorder="1">
      <alignment vertical="center"/>
    </xf>
    <xf numFmtId="0" fontId="9" fillId="0" borderId="38" xfId="0" applyFont="1" applyFill="1" applyBorder="1">
      <alignment vertical="center"/>
    </xf>
    <xf numFmtId="0" fontId="5" fillId="0" borderId="38" xfId="0" applyFont="1" applyFill="1" applyBorder="1">
      <alignment vertical="center"/>
    </xf>
    <xf numFmtId="170" fontId="5" fillId="0" borderId="38" xfId="0" applyNumberFormat="1" applyFont="1" applyFill="1" applyBorder="1">
      <alignment vertical="center"/>
    </xf>
    <xf numFmtId="0" fontId="5" fillId="0" borderId="54" xfId="0" applyFont="1" applyFill="1" applyBorder="1">
      <alignment vertical="center"/>
    </xf>
    <xf numFmtId="0" fontId="5" fillId="0" borderId="51" xfId="0" applyFont="1" applyBorder="1" applyAlignment="1">
      <alignment horizontal="left" vertical="center"/>
    </xf>
    <xf numFmtId="0" fontId="47" fillId="0" borderId="0" xfId="0" applyFont="1" applyFill="1" applyBorder="1">
      <alignment vertical="center"/>
    </xf>
    <xf numFmtId="0" fontId="47" fillId="3" borderId="0" xfId="0" applyFont="1" applyFill="1" applyBorder="1">
      <alignment vertical="center"/>
    </xf>
    <xf numFmtId="0" fontId="47" fillId="3" borderId="0" xfId="0" applyFont="1" applyFill="1" applyBorder="1" applyAlignment="1">
      <alignment horizontal="right" vertical="center"/>
    </xf>
    <xf numFmtId="0" fontId="48" fillId="3" borderId="0" xfId="0" applyFont="1" applyFill="1" applyBorder="1" applyAlignment="1">
      <alignment horizontal="right" vertical="center"/>
    </xf>
    <xf numFmtId="0" fontId="48" fillId="3" borderId="0" xfId="0" applyFont="1" applyFill="1" applyBorder="1">
      <alignment vertical="center"/>
    </xf>
    <xf numFmtId="0" fontId="48" fillId="3" borderId="0" xfId="0" quotePrefix="1" applyFont="1" applyFill="1" applyBorder="1">
      <alignment vertical="center"/>
    </xf>
    <xf numFmtId="167" fontId="47" fillId="3" borderId="0" xfId="0" applyNumberFormat="1" applyFont="1" applyFill="1" applyBorder="1" applyAlignment="1">
      <alignment horizontal="left" vertical="center"/>
    </xf>
    <xf numFmtId="0" fontId="49" fillId="3" borderId="0" xfId="0" applyFont="1" applyFill="1" applyBorder="1">
      <alignment vertical="center"/>
    </xf>
    <xf numFmtId="0" fontId="47" fillId="3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51" fillId="0" borderId="0" xfId="0" applyFont="1" applyBorder="1" applyAlignment="1">
      <alignment horizontal="right" vertical="center"/>
    </xf>
    <xf numFmtId="0" fontId="13" fillId="0" borderId="0" xfId="0" applyFont="1" applyBorder="1">
      <alignment vertical="center"/>
    </xf>
  </cellXfs>
  <cellStyles count="38">
    <cellStyle name="Comma" xfId="1" xr:uid="{00000000-0005-0000-0000-000000000000}"/>
    <cellStyle name="Comma [0]" xfId="12" builtinId="6"/>
    <cellStyle name="Currency" xfId="2" xr:uid="{00000000-0005-0000-0000-000002000000}"/>
    <cellStyle name="Date" xfId="3" xr:uid="{00000000-0005-0000-0000-000003000000}"/>
    <cellStyle name="Fixed" xfId="4" xr:uid="{00000000-0005-0000-0000-000004000000}"/>
    <cellStyle name="Header1" xfId="34" xr:uid="{00000000-0005-0000-0000-000005000000}"/>
    <cellStyle name="Header2" xfId="35" xr:uid="{00000000-0005-0000-0000-000006000000}"/>
    <cellStyle name="Heading1" xfId="5" xr:uid="{00000000-0005-0000-0000-000007000000}"/>
    <cellStyle name="Heading2" xfId="6" xr:uid="{00000000-0005-0000-0000-000008000000}"/>
    <cellStyle name="Normal" xfId="0" builtinId="0"/>
    <cellStyle name="Percent" xfId="7" xr:uid="{00000000-0005-0000-0000-00000A000000}"/>
    <cellStyle name="Total" xfId="8" xr:uid="{00000000-0005-0000-0000-00000B000000}"/>
    <cellStyle name="고정소숫점" xfId="14" xr:uid="{00000000-0005-0000-0000-00000C000000}"/>
    <cellStyle name="고정출력1" xfId="15" xr:uid="{00000000-0005-0000-0000-00000D000000}"/>
    <cellStyle name="고정출력2" xfId="16" xr:uid="{00000000-0005-0000-0000-00000E000000}"/>
    <cellStyle name="날짜" xfId="17" xr:uid="{00000000-0005-0000-0000-00000F000000}"/>
    <cellStyle name="달러" xfId="18" xr:uid="{00000000-0005-0000-0000-000010000000}"/>
    <cellStyle name="똿뗦먛귟_PRODUCT DETAIL Q1" xfId="19" xr:uid="{00000000-0005-0000-0000-000011000000}"/>
    <cellStyle name="믅됞 [0.00]_PRODUCT DETAIL Q1" xfId="20" xr:uid="{00000000-0005-0000-0000-000012000000}"/>
    <cellStyle name="믅됞_PRODUCT DETAIL Q1" xfId="21" xr:uid="{00000000-0005-0000-0000-000013000000}"/>
    <cellStyle name="백분율 2" xfId="9" xr:uid="{00000000-0005-0000-0000-000014000000}"/>
    <cellStyle name="뷭?_BOOKSHIP" xfId="22" xr:uid="{00000000-0005-0000-0000-000015000000}"/>
    <cellStyle name="숫자(R)" xfId="23" xr:uid="{00000000-0005-0000-0000-000016000000}"/>
    <cellStyle name="자리수" xfId="24" xr:uid="{00000000-0005-0000-0000-000017000000}"/>
    <cellStyle name="자리수0" xfId="25" xr:uid="{00000000-0005-0000-0000-000018000000}"/>
    <cellStyle name="콤마 [0]_(type)총괄" xfId="26" xr:uid="{00000000-0005-0000-0000-000019000000}"/>
    <cellStyle name="콤마_(type)총괄" xfId="27" xr:uid="{00000000-0005-0000-0000-00001A000000}"/>
    <cellStyle name="퍼센트" xfId="28" xr:uid="{00000000-0005-0000-0000-00001B000000}"/>
    <cellStyle name="표준 10" xfId="36" xr:uid="{00000000-0005-0000-0000-00001C000000}"/>
    <cellStyle name="표준 2" xfId="10" xr:uid="{00000000-0005-0000-0000-00001D000000}"/>
    <cellStyle name="표준 2 2" xfId="29" xr:uid="{00000000-0005-0000-0000-00001E000000}"/>
    <cellStyle name="표준 2 2 21" xfId="37" xr:uid="{2B32D58B-2CD1-4C19-B932-53E450038FE5}"/>
    <cellStyle name="표준 3" xfId="13" xr:uid="{00000000-0005-0000-0000-00001F000000}"/>
    <cellStyle name="표준 4" xfId="30" xr:uid="{00000000-0005-0000-0000-000020000000}"/>
    <cellStyle name="표준 5" xfId="11" xr:uid="{00000000-0005-0000-0000-000021000000}"/>
    <cellStyle name="합산" xfId="31" xr:uid="{00000000-0005-0000-0000-000022000000}"/>
    <cellStyle name="화폐기호" xfId="32" xr:uid="{00000000-0005-0000-0000-000023000000}"/>
    <cellStyle name="화폐기호0" xfId="33" xr:uid="{00000000-0005-0000-0000-000024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41126</xdr:colOff>
      <xdr:row>53</xdr:row>
      <xdr:rowOff>79899</xdr:rowOff>
    </xdr:from>
    <xdr:to>
      <xdr:col>12</xdr:col>
      <xdr:colOff>234526</xdr:colOff>
      <xdr:row>62</xdr:row>
      <xdr:rowOff>174210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/>
      </xdr:nvGrpSpPr>
      <xdr:grpSpPr>
        <a:xfrm>
          <a:off x="4174617" y="10341739"/>
          <a:ext cx="1622150" cy="1792636"/>
          <a:chOff x="5402908" y="11004247"/>
          <a:chExt cx="1904257" cy="1789137"/>
        </a:xfrm>
      </xdr:grpSpPr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/>
        </xdr:nvSpPr>
        <xdr:spPr>
          <a:xfrm>
            <a:off x="5402908" y="11204134"/>
            <a:ext cx="155122" cy="1589250"/>
          </a:xfrm>
          <a:custGeom>
            <a:avLst/>
            <a:gdLst>
              <a:gd name="connsiteX0" fmla="*/ 73478 w 155121"/>
              <a:gd name="connsiteY0" fmla="*/ 0 h 1687286"/>
              <a:gd name="connsiteX1" fmla="*/ 73478 w 155121"/>
              <a:gd name="connsiteY1" fmla="*/ 767443 h 1687286"/>
              <a:gd name="connsiteX2" fmla="*/ 155121 w 155121"/>
              <a:gd name="connsiteY2" fmla="*/ 767443 h 1687286"/>
              <a:gd name="connsiteX3" fmla="*/ 0 w 155121"/>
              <a:gd name="connsiteY3" fmla="*/ 808265 h 1687286"/>
              <a:gd name="connsiteX4" fmla="*/ 78921 w 155121"/>
              <a:gd name="connsiteY4" fmla="*/ 808265 h 1687286"/>
              <a:gd name="connsiteX5" fmla="*/ 78921 w 155121"/>
              <a:gd name="connsiteY5" fmla="*/ 1687286 h 1687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5121" h="1687286">
                <a:moveTo>
                  <a:pt x="73478" y="0"/>
                </a:moveTo>
                <a:lnTo>
                  <a:pt x="73478" y="767443"/>
                </a:lnTo>
                <a:lnTo>
                  <a:pt x="155121" y="767443"/>
                </a:lnTo>
                <a:lnTo>
                  <a:pt x="0" y="808265"/>
                </a:lnTo>
                <a:lnTo>
                  <a:pt x="78921" y="808265"/>
                </a:lnTo>
                <a:lnTo>
                  <a:pt x="78921" y="1687286"/>
                </a:lnTo>
              </a:path>
            </a:pathLst>
          </a:cu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GrpSpPr/>
        </xdr:nvGrpSpPr>
        <xdr:grpSpPr>
          <a:xfrm>
            <a:off x="5472286" y="11004247"/>
            <a:ext cx="1834879" cy="1651015"/>
            <a:chOff x="5403378" y="11106286"/>
            <a:chExt cx="1818139" cy="1667007"/>
          </a:xfrm>
        </xdr:grpSpPr>
        <xdr:sp macro="" textlink="">
          <xdr:nvSpPr>
            <xdr:cNvPr id="9" name="Freeform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/>
          </xdr:nvSpPr>
          <xdr:spPr>
            <a:xfrm>
              <a:off x="5412921" y="11397343"/>
              <a:ext cx="1240971" cy="293915"/>
            </a:xfrm>
            <a:custGeom>
              <a:avLst/>
              <a:gdLst>
                <a:gd name="connsiteX0" fmla="*/ 933450 w 1240971"/>
                <a:gd name="connsiteY0" fmla="*/ 206829 h 293915"/>
                <a:gd name="connsiteX1" fmla="*/ 1240971 w 1240971"/>
                <a:gd name="connsiteY1" fmla="*/ 206829 h 293915"/>
                <a:gd name="connsiteX2" fmla="*/ 1240971 w 1240971"/>
                <a:gd name="connsiteY2" fmla="*/ 0 h 293915"/>
                <a:gd name="connsiteX3" fmla="*/ 0 w 1240971"/>
                <a:gd name="connsiteY3" fmla="*/ 0 h 293915"/>
                <a:gd name="connsiteX4" fmla="*/ 0 w 1240971"/>
                <a:gd name="connsiteY4" fmla="*/ 293915 h 293915"/>
                <a:gd name="connsiteX5" fmla="*/ 859971 w 1240971"/>
                <a:gd name="connsiteY5" fmla="*/ 293915 h 293915"/>
                <a:gd name="connsiteX6" fmla="*/ 933450 w 1240971"/>
                <a:gd name="connsiteY6" fmla="*/ 206829 h 2939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240971" h="293915">
                  <a:moveTo>
                    <a:pt x="933450" y="206829"/>
                  </a:moveTo>
                  <a:lnTo>
                    <a:pt x="1240971" y="206829"/>
                  </a:lnTo>
                  <a:lnTo>
                    <a:pt x="1240971" y="0"/>
                  </a:lnTo>
                  <a:lnTo>
                    <a:pt x="0" y="0"/>
                  </a:lnTo>
                  <a:lnTo>
                    <a:pt x="0" y="293915"/>
                  </a:lnTo>
                  <a:lnTo>
                    <a:pt x="859971" y="293915"/>
                  </a:lnTo>
                  <a:lnTo>
                    <a:pt x="933450" y="206829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pSpPr/>
          </xdr:nvGrpSpPr>
          <xdr:grpSpPr>
            <a:xfrm>
              <a:off x="5403378" y="11106286"/>
              <a:ext cx="1818139" cy="1667007"/>
              <a:chOff x="2824053" y="12555715"/>
              <a:chExt cx="1811426" cy="1636735"/>
            </a:xfrm>
          </xdr:grpSpPr>
          <xdr:sp macro="" textlink="">
            <xdr:nvSpPr>
              <xdr:cNvPr id="240" name="TextBox 239">
                <a:extLst>
                  <a:ext uri="{FF2B5EF4-FFF2-40B4-BE49-F238E27FC236}">
                    <a16:creationId xmlns:a16="http://schemas.microsoft.com/office/drawing/2014/main" id="{00000000-0008-0000-0600-0000F0000000}"/>
                  </a:ext>
                </a:extLst>
              </xdr:cNvPr>
              <xdr:cNvSpPr txBox="1"/>
            </xdr:nvSpPr>
            <xdr:spPr>
              <a:xfrm>
                <a:off x="4048125" y="12767922"/>
                <a:ext cx="587354" cy="23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F</a:t>
                </a:r>
                <a:r>
                  <a:rPr lang="en-US" altLang="ko-KR" sz="900" baseline="-25000"/>
                  <a:t>forms</a:t>
                </a:r>
                <a:endParaRPr lang="en-US" sz="900" baseline="-25000"/>
              </a:p>
            </xdr:txBody>
          </xdr:sp>
          <xdr:grpSp>
            <xdr:nvGrpSpPr>
              <xdr:cNvPr id="4" name="Group 3">
                <a:extLst>
                  <a:ext uri="{FF2B5EF4-FFF2-40B4-BE49-F238E27FC236}">
                    <a16:creationId xmlns:a16="http://schemas.microsoft.com/office/drawing/2014/main" id="{00000000-0008-0000-0600-000004000000}"/>
                  </a:ext>
                </a:extLst>
              </xdr:cNvPr>
              <xdr:cNvGrpSpPr/>
            </xdr:nvGrpSpPr>
            <xdr:grpSpPr>
              <a:xfrm>
                <a:off x="2824053" y="12555715"/>
                <a:ext cx="1459379" cy="1636735"/>
                <a:chOff x="2824053" y="12840754"/>
                <a:chExt cx="1459379" cy="1675746"/>
              </a:xfrm>
            </xdr:grpSpPr>
            <xdr:grpSp>
              <xdr:nvGrpSpPr>
                <xdr:cNvPr id="199" name="그룹 168">
                  <a:extLst>
                    <a:ext uri="{FF2B5EF4-FFF2-40B4-BE49-F238E27FC236}">
                      <a16:creationId xmlns:a16="http://schemas.microsoft.com/office/drawing/2014/main" id="{00000000-0008-0000-0600-0000C7000000}"/>
                    </a:ext>
                  </a:extLst>
                </xdr:cNvPr>
                <xdr:cNvGrpSpPr/>
              </xdr:nvGrpSpPr>
              <xdr:grpSpPr>
                <a:xfrm>
                  <a:off x="2824053" y="12840754"/>
                  <a:ext cx="1459379" cy="1675746"/>
                  <a:chOff x="4829506" y="6053432"/>
                  <a:chExt cx="1459379" cy="1598219"/>
                </a:xfrm>
              </xdr:grpSpPr>
              <xdr:grpSp>
                <xdr:nvGrpSpPr>
                  <xdr:cNvPr id="200" name="그룹 75">
                    <a:extLst>
                      <a:ext uri="{FF2B5EF4-FFF2-40B4-BE49-F238E27FC236}">
                        <a16:creationId xmlns:a16="http://schemas.microsoft.com/office/drawing/2014/main" id="{00000000-0008-0000-0600-0000C8000000}"/>
                      </a:ext>
                    </a:extLst>
                  </xdr:cNvPr>
                  <xdr:cNvGrpSpPr/>
                </xdr:nvGrpSpPr>
                <xdr:grpSpPr>
                  <a:xfrm>
                    <a:off x="4839016" y="6053432"/>
                    <a:ext cx="1260487" cy="1598219"/>
                    <a:chOff x="5030532" y="1143545"/>
                    <a:chExt cx="1263341" cy="1582315"/>
                  </a:xfrm>
                </xdr:grpSpPr>
                <xdr:sp macro="" textlink="">
                  <xdr:nvSpPr>
                    <xdr:cNvPr id="219" name="TextBox 218">
                      <a:extLst>
                        <a:ext uri="{FF2B5EF4-FFF2-40B4-BE49-F238E27FC236}">
                          <a16:creationId xmlns:a16="http://schemas.microsoft.com/office/drawing/2014/main" id="{00000000-0008-0000-0600-0000DB000000}"/>
                        </a:ext>
                      </a:extLst>
                    </xdr:cNvPr>
                    <xdr:cNvSpPr txBox="1"/>
                  </xdr:nvSpPr>
                  <xdr:spPr>
                    <a:xfrm>
                      <a:off x="5553876" y="2502935"/>
                      <a:ext cx="739997" cy="22292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Bracket</a:t>
                      </a:r>
                      <a:endParaRPr lang="en-US" sz="900"/>
                    </a:p>
                  </xdr:txBody>
                </xdr:sp>
                <xdr:grpSp>
                  <xdr:nvGrpSpPr>
                    <xdr:cNvPr id="220" name="그룹 77">
                      <a:extLst>
                        <a:ext uri="{FF2B5EF4-FFF2-40B4-BE49-F238E27FC236}">
                          <a16:creationId xmlns:a16="http://schemas.microsoft.com/office/drawing/2014/main" id="{00000000-0008-0000-0600-0000DC000000}"/>
                        </a:ext>
                      </a:extLst>
                    </xdr:cNvPr>
                    <xdr:cNvGrpSpPr/>
                  </xdr:nvGrpSpPr>
                  <xdr:grpSpPr>
                    <a:xfrm>
                      <a:off x="5030532" y="1143545"/>
                      <a:ext cx="1236467" cy="1578507"/>
                      <a:chOff x="5019107" y="1152841"/>
                      <a:chExt cx="1233246" cy="1594372"/>
                    </a:xfrm>
                  </xdr:grpSpPr>
                  <xdr:grpSp>
                    <xdr:nvGrpSpPr>
                      <xdr:cNvPr id="221" name="그룹 78">
                        <a:extLst>
                          <a:ext uri="{FF2B5EF4-FFF2-40B4-BE49-F238E27FC236}">
                            <a16:creationId xmlns:a16="http://schemas.microsoft.com/office/drawing/2014/main" id="{00000000-0008-0000-0600-0000DD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19107" y="1152841"/>
                        <a:ext cx="1104144" cy="1594372"/>
                        <a:chOff x="5014983" y="1172949"/>
                        <a:chExt cx="1103104" cy="1628692"/>
                      </a:xfrm>
                    </xdr:grpSpPr>
                    <xdr:grpSp>
                      <xdr:nvGrpSpPr>
                        <xdr:cNvPr id="233" name="그룹 117">
                          <a:extLst>
                            <a:ext uri="{FF2B5EF4-FFF2-40B4-BE49-F238E27FC236}">
                              <a16:creationId xmlns:a16="http://schemas.microsoft.com/office/drawing/2014/main" id="{00000000-0008-0000-0600-0000E9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014983" y="1716932"/>
                          <a:ext cx="857016" cy="1084709"/>
                          <a:chOff x="5268953" y="313952"/>
                          <a:chExt cx="745542" cy="1069110"/>
                        </a:xfrm>
                      </xdr:grpSpPr>
                      <xdr:grpSp>
                        <xdr:nvGrpSpPr>
                          <xdr:cNvPr id="234" name="그룹 124">
                            <a:extLst>
                              <a:ext uri="{FF2B5EF4-FFF2-40B4-BE49-F238E27FC236}">
                                <a16:creationId xmlns:a16="http://schemas.microsoft.com/office/drawing/2014/main" id="{00000000-0008-0000-0600-0000E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68953" y="334363"/>
                            <a:ext cx="596578" cy="1048699"/>
                            <a:chOff x="3797063" y="399805"/>
                            <a:chExt cx="597076" cy="1042482"/>
                          </a:xfrm>
                        </xdr:grpSpPr>
                        <xdr:cxnSp macro="">
                          <xdr:nvCxnSpPr>
                            <xdr:cNvPr id="236" name="직선 연결선 137">
                              <a:extLst>
                                <a:ext uri="{FF2B5EF4-FFF2-40B4-BE49-F238E27FC236}">
                                  <a16:creationId xmlns:a16="http://schemas.microsoft.com/office/drawing/2014/main" id="{00000000-0008-0000-0600-0000EC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797063" y="1442287"/>
                              <a:ext cx="521564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38" name="직선 연결선 139">
                              <a:extLst>
                                <a:ext uri="{FF2B5EF4-FFF2-40B4-BE49-F238E27FC236}">
                                  <a16:creationId xmlns:a16="http://schemas.microsoft.com/office/drawing/2014/main" id="{00000000-0008-0000-0600-0000EE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V="1">
                              <a:off x="4166565" y="399805"/>
                              <a:ext cx="227574" cy="103615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235" name="직선 연결선 123">
                            <a:extLst>
                              <a:ext uri="{FF2B5EF4-FFF2-40B4-BE49-F238E27FC236}">
                                <a16:creationId xmlns:a16="http://schemas.microsoft.com/office/drawing/2014/main" id="{00000000-0008-0000-0600-0000EB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651145" y="313952"/>
                            <a:ext cx="363350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30" name="직선 화살표 연결선 107">
                          <a:extLst>
                            <a:ext uri="{FF2B5EF4-FFF2-40B4-BE49-F238E27FC236}">
                              <a16:creationId xmlns:a16="http://schemas.microsoft.com/office/drawing/2014/main" id="{00000000-0008-0000-0600-0000E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6018" y="1239453"/>
                          <a:ext cx="0" cy="364057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FF000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31" name="TextBox 230">
                          <a:extLst>
                            <a:ext uri="{FF2B5EF4-FFF2-40B4-BE49-F238E27FC236}">
                              <a16:creationId xmlns:a16="http://schemas.microsoft.com/office/drawing/2014/main" id="{00000000-0008-0000-0600-0000E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470545" y="1172949"/>
                          <a:ext cx="647542" cy="23429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F</a:t>
                          </a:r>
                          <a:r>
                            <a:rPr lang="en-US" altLang="ko-KR" sz="900" baseline="-25000"/>
                            <a:t>wet con'c</a:t>
                          </a:r>
                          <a:endParaRPr lang="en-US" sz="900" baseline="-25000"/>
                        </a:p>
                      </xdr:txBody>
                    </xdr:sp>
                  </xdr:grpSp>
                  <xdr:grpSp>
                    <xdr:nvGrpSpPr>
                      <xdr:cNvPr id="222" name="그룹 79">
                        <a:extLst>
                          <a:ext uri="{FF2B5EF4-FFF2-40B4-BE49-F238E27FC236}">
                            <a16:creationId xmlns:a16="http://schemas.microsoft.com/office/drawing/2014/main" id="{00000000-0008-0000-0600-0000DE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1638" y="1588294"/>
                        <a:ext cx="770715" cy="1126331"/>
                        <a:chOff x="5481638" y="1588294"/>
                        <a:chExt cx="770715" cy="1126331"/>
                      </a:xfrm>
                    </xdr:grpSpPr>
                    <xdr:grpSp>
                      <xdr:nvGrpSpPr>
                        <xdr:cNvPr id="223" name="그룹 94">
                          <a:extLst>
                            <a:ext uri="{FF2B5EF4-FFF2-40B4-BE49-F238E27FC236}">
                              <a16:creationId xmlns:a16="http://schemas.microsoft.com/office/drawing/2014/main" id="{00000000-0008-0000-0600-0000DF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481638" y="1628569"/>
                          <a:ext cx="770715" cy="1086056"/>
                          <a:chOff x="5481638" y="1628569"/>
                          <a:chExt cx="770715" cy="1086056"/>
                        </a:xfrm>
                      </xdr:grpSpPr>
                      <xdr:cxnSp macro="">
                        <xdr:nvCxnSpPr>
                          <xdr:cNvPr id="226" name="직선 연결선 103">
                            <a:extLst>
                              <a:ext uri="{FF2B5EF4-FFF2-40B4-BE49-F238E27FC236}">
                                <a16:creationId xmlns:a16="http://schemas.microsoft.com/office/drawing/2014/main" id="{00000000-0008-0000-0600-0000E2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33315" y="1726834"/>
                            <a:ext cx="514350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27" name="직선 연결선 104">
                            <a:extLst>
                              <a:ext uri="{FF2B5EF4-FFF2-40B4-BE49-F238E27FC236}">
                                <a16:creationId xmlns:a16="http://schemas.microsoft.com/office/drawing/2014/main" id="{00000000-0008-0000-0600-0000E3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81638" y="1716280"/>
                            <a:ext cx="770715" cy="99834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228" name="자유형 105">
                            <a:extLst>
                              <a:ext uri="{FF2B5EF4-FFF2-40B4-BE49-F238E27FC236}">
                                <a16:creationId xmlns:a16="http://schemas.microsoft.com/office/drawing/2014/main" id="{00000000-0008-0000-0600-0000E4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5869782" y="1628569"/>
                            <a:ext cx="381000" cy="82531"/>
                          </a:xfrm>
                          <a:custGeom>
                            <a:avLst/>
                            <a:gdLst>
                              <a:gd name="connsiteX0" fmla="*/ 78581 w 381000"/>
                              <a:gd name="connsiteY0" fmla="*/ 0 h 88107"/>
                              <a:gd name="connsiteX1" fmla="*/ 381000 w 381000"/>
                              <a:gd name="connsiteY1" fmla="*/ 0 h 88107"/>
                              <a:gd name="connsiteX2" fmla="*/ 381000 w 381000"/>
                              <a:gd name="connsiteY2" fmla="*/ 88107 h 88107"/>
                              <a:gd name="connsiteX3" fmla="*/ 0 w 381000"/>
                              <a:gd name="connsiteY3" fmla="*/ 88107 h 88107"/>
                              <a:gd name="connsiteX4" fmla="*/ 78581 w 381000"/>
                              <a:gd name="connsiteY4" fmla="*/ 0 h 88107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381000" h="88107">
                                <a:moveTo>
                                  <a:pt x="78581" y="0"/>
                                </a:moveTo>
                                <a:lnTo>
                                  <a:pt x="381000" y="0"/>
                                </a:lnTo>
                                <a:lnTo>
                                  <a:pt x="381000" y="88107"/>
                                </a:lnTo>
                                <a:lnTo>
                                  <a:pt x="0" y="88107"/>
                                </a:lnTo>
                                <a:lnTo>
                                  <a:pt x="78581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n w="3175">
                            <a:solidFill>
                              <a:schemeClr val="accent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US" sz="1100"/>
                          </a:p>
                        </xdr:txBody>
                      </xdr:sp>
                    </xdr:grpSp>
                    <xdr:sp macro="" textlink="">
                      <xdr:nvSpPr>
                        <xdr:cNvPr id="224" name="원호 95">
                          <a:extLst>
                            <a:ext uri="{FF2B5EF4-FFF2-40B4-BE49-F238E27FC236}">
                              <a16:creationId xmlns:a16="http://schemas.microsoft.com/office/drawing/2014/main" id="{00000000-0008-0000-0600-0000E0000000}"/>
                            </a:ext>
                          </a:extLst>
                        </xdr:cNvPr>
                        <xdr:cNvSpPr/>
                      </xdr:nvSpPr>
                      <xdr:spPr>
                        <a:xfrm rot="11444375">
                          <a:off x="5995988" y="1588294"/>
                          <a:ext cx="250031" cy="326232"/>
                        </a:xfrm>
                        <a:prstGeom prst="arc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  <xdr:sp macro="" textlink="">
                      <xdr:nvSpPr>
                        <xdr:cNvPr id="225" name="TextBox 224">
                          <a:extLst>
                            <a:ext uri="{FF2B5EF4-FFF2-40B4-BE49-F238E27FC236}">
                              <a16:creationId xmlns:a16="http://schemas.microsoft.com/office/drawing/2014/main" id="{00000000-0008-0000-0600-0000E1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80117" y="1763467"/>
                          <a:ext cx="240508" cy="2003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>
                              <a:sym typeface="Symbol"/>
                            </a:rPr>
                            <a:t></a:t>
                          </a:r>
                          <a:endParaRPr lang="en-US" sz="900"/>
                        </a:p>
                      </xdr:txBody>
                    </xdr:sp>
                  </xdr:grpSp>
                </xdr:grpSp>
              </xdr:grpSp>
              <xdr:cxnSp macro="">
                <xdr:nvCxnSpPr>
                  <xdr:cNvPr id="201" name="직선 화살표 연결선 150">
                    <a:extLst>
                      <a:ext uri="{FF2B5EF4-FFF2-40B4-BE49-F238E27FC236}">
                        <a16:creationId xmlns:a16="http://schemas.microsoft.com/office/drawing/2014/main" id="{00000000-0008-0000-0600-0000C9000000}"/>
                      </a:ext>
                    </a:extLst>
                  </xdr:cNvPr>
                  <xdr:cNvCxnSpPr/>
                </xdr:nvCxnSpPr>
                <xdr:spPr>
                  <a:xfrm>
                    <a:off x="6072615" y="6131881"/>
                    <a:ext cx="0" cy="40588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202" name="그룹 167">
                    <a:extLst>
                      <a:ext uri="{FF2B5EF4-FFF2-40B4-BE49-F238E27FC236}">
                        <a16:creationId xmlns:a16="http://schemas.microsoft.com/office/drawing/2014/main" id="{00000000-0008-0000-0600-0000CA000000}"/>
                      </a:ext>
                    </a:extLst>
                  </xdr:cNvPr>
                  <xdr:cNvGrpSpPr/>
                </xdr:nvGrpSpPr>
                <xdr:grpSpPr>
                  <a:xfrm>
                    <a:off x="4829506" y="6603321"/>
                    <a:ext cx="1459379" cy="812501"/>
                    <a:chOff x="4829506" y="6603321"/>
                    <a:chExt cx="1459379" cy="812501"/>
                  </a:xfrm>
                </xdr:grpSpPr>
                <xdr:sp macro="" textlink="">
                  <xdr:nvSpPr>
                    <xdr:cNvPr id="203" name="TextBox 202">
                      <a:extLst>
                        <a:ext uri="{FF2B5EF4-FFF2-40B4-BE49-F238E27FC236}">
                          <a16:creationId xmlns:a16="http://schemas.microsoft.com/office/drawing/2014/main" id="{00000000-0008-0000-0600-0000CB000000}"/>
                        </a:ext>
                      </a:extLst>
                    </xdr:cNvPr>
                    <xdr:cNvSpPr txBox="1"/>
                  </xdr:nvSpPr>
                  <xdr:spPr>
                    <a:xfrm>
                      <a:off x="5017707" y="6603321"/>
                      <a:ext cx="359139" cy="22516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V</a:t>
                      </a:r>
                      <a:endParaRPr lang="en-US" sz="900"/>
                    </a:p>
                  </xdr:txBody>
                </xdr:sp>
                <xdr:grpSp>
                  <xdr:nvGrpSpPr>
                    <xdr:cNvPr id="204" name="그룹 166">
                      <a:extLst>
                        <a:ext uri="{FF2B5EF4-FFF2-40B4-BE49-F238E27FC236}">
                          <a16:creationId xmlns:a16="http://schemas.microsoft.com/office/drawing/2014/main" id="{00000000-0008-0000-0600-0000CC000000}"/>
                        </a:ext>
                      </a:extLst>
                    </xdr:cNvPr>
                    <xdr:cNvGrpSpPr/>
                  </xdr:nvGrpSpPr>
                  <xdr:grpSpPr>
                    <a:xfrm>
                      <a:off x="4829506" y="6708622"/>
                      <a:ext cx="1459379" cy="707200"/>
                      <a:chOff x="4829506" y="6708622"/>
                      <a:chExt cx="1459379" cy="707200"/>
                    </a:xfrm>
                  </xdr:grpSpPr>
                  <xdr:grpSp>
                    <xdr:nvGrpSpPr>
                      <xdr:cNvPr id="205" name="그룹 63">
                        <a:extLst>
                          <a:ext uri="{FF2B5EF4-FFF2-40B4-BE49-F238E27FC236}">
                            <a16:creationId xmlns:a16="http://schemas.microsoft.com/office/drawing/2014/main" id="{00000000-0008-0000-0600-0000CD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79204" y="6708622"/>
                        <a:ext cx="255599" cy="413813"/>
                        <a:chOff x="4867273" y="6713385"/>
                        <a:chExt cx="255599" cy="413813"/>
                      </a:xfrm>
                    </xdr:grpSpPr>
                    <xdr:cxnSp macro="">
                      <xdr:nvCxnSpPr>
                        <xdr:cNvPr id="214" name="직선 화살표 연결선 147">
                          <a:extLst>
                            <a:ext uri="{FF2B5EF4-FFF2-40B4-BE49-F238E27FC236}">
                              <a16:creationId xmlns:a16="http://schemas.microsoft.com/office/drawing/2014/main" id="{00000000-0008-0000-0600-0000D6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010955" y="6724766"/>
                          <a:ext cx="111917" cy="402432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headEnd w="sm" len="sm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5" name="직선 화살표 연결선 33">
                          <a:extLst>
                            <a:ext uri="{FF2B5EF4-FFF2-40B4-BE49-F238E27FC236}">
                              <a16:creationId xmlns:a16="http://schemas.microsoft.com/office/drawing/2014/main" id="{00000000-0008-0000-0600-0000D7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67273" y="7120574"/>
                          <a:ext cx="145257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6" name="직선 연결선 55">
                          <a:extLst>
                            <a:ext uri="{FF2B5EF4-FFF2-40B4-BE49-F238E27FC236}">
                              <a16:creationId xmlns:a16="http://schemas.microsoft.com/office/drawing/2014/main" id="{00000000-0008-0000-0600-0000D8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7848" y="6718147"/>
                          <a:ext cx="112712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7" name="직선 연결선 58">
                          <a:extLst>
                            <a:ext uri="{FF2B5EF4-FFF2-40B4-BE49-F238E27FC236}">
                              <a16:creationId xmlns:a16="http://schemas.microsoft.com/office/drawing/2014/main" id="{00000000-0008-0000-0600-0000D9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5862" y="6713385"/>
                          <a:ext cx="0" cy="402431"/>
                        </a:xfrm>
                        <a:prstGeom prst="line">
                          <a:avLst/>
                        </a:prstGeom>
                        <a:ln>
                          <a:prstDash val="sysDot"/>
                          <a:tailEnd type="non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8" name="직선 연결선 60">
                          <a:extLst>
                            <a:ext uri="{FF2B5EF4-FFF2-40B4-BE49-F238E27FC236}">
                              <a16:creationId xmlns:a16="http://schemas.microsoft.com/office/drawing/2014/main" id="{00000000-0008-0000-0600-0000DA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876811" y="6725292"/>
                          <a:ext cx="116670" cy="388145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06" name="TextBox 205">
                        <a:extLst>
                          <a:ext uri="{FF2B5EF4-FFF2-40B4-BE49-F238E27FC236}">
                            <a16:creationId xmlns:a16="http://schemas.microsoft.com/office/drawing/2014/main" id="{00000000-0008-0000-0600-0000CE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829506" y="6988495"/>
                        <a:ext cx="359139" cy="22516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V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  <xdr:grpSp>
                    <xdr:nvGrpSpPr>
                      <xdr:cNvPr id="207" name="그룹 162">
                        <a:extLst>
                          <a:ext uri="{FF2B5EF4-FFF2-40B4-BE49-F238E27FC236}">
                            <a16:creationId xmlns:a16="http://schemas.microsoft.com/office/drawing/2014/main" id="{00000000-0008-0000-0600-0000C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672138" y="6838956"/>
                        <a:ext cx="616747" cy="414338"/>
                        <a:chOff x="5710234" y="6898481"/>
                        <a:chExt cx="616747" cy="414338"/>
                      </a:xfrm>
                    </xdr:grpSpPr>
                    <xdr:cxnSp macro="">
                      <xdr:nvCxnSpPr>
                        <xdr:cNvPr id="209" name="직선 화살표 연결선 68">
                          <a:extLst>
                            <a:ext uri="{FF2B5EF4-FFF2-40B4-BE49-F238E27FC236}">
                              <a16:creationId xmlns:a16="http://schemas.microsoft.com/office/drawing/2014/main" id="{00000000-0008-0000-0600-0000D1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710234" y="7310437"/>
                          <a:ext cx="319090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0" name="직선 연결선 71">
                          <a:extLst>
                            <a:ext uri="{FF2B5EF4-FFF2-40B4-BE49-F238E27FC236}">
                              <a16:creationId xmlns:a16="http://schemas.microsoft.com/office/drawing/2014/main" id="{00000000-0008-0000-0600-0000D2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710234" y="6900863"/>
                          <a:ext cx="309566" cy="40718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1" name="직선 화살표 연결선 156">
                          <a:extLst>
                            <a:ext uri="{FF2B5EF4-FFF2-40B4-BE49-F238E27FC236}">
                              <a16:creationId xmlns:a16="http://schemas.microsoft.com/office/drawing/2014/main" id="{00000000-0008-0000-0600-0000D3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6022181" y="6898481"/>
                          <a:ext cx="298915" cy="414338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2" name="직선 연결선 158">
                          <a:extLst>
                            <a:ext uri="{FF2B5EF4-FFF2-40B4-BE49-F238E27FC236}">
                              <a16:creationId xmlns:a16="http://schemas.microsoft.com/office/drawing/2014/main" id="{00000000-0008-0000-0600-0000D4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9325" y="6900863"/>
                          <a:ext cx="297656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3" name="직선 연결선 161">
                          <a:extLst>
                            <a:ext uri="{FF2B5EF4-FFF2-40B4-BE49-F238E27FC236}">
                              <a16:creationId xmlns:a16="http://schemas.microsoft.com/office/drawing/2014/main" id="{00000000-0008-0000-0600-0000D5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4563" y="6898481"/>
                          <a:ext cx="0" cy="41195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08" name="TextBox 207">
                        <a:extLst>
                          <a:ext uri="{FF2B5EF4-FFF2-40B4-BE49-F238E27FC236}">
                            <a16:creationId xmlns:a16="http://schemas.microsoft.com/office/drawing/2014/main" id="{00000000-0008-0000-0600-0000D0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32280" y="7259033"/>
                        <a:ext cx="437192" cy="15678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F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</xdr:grpSp>
              </xdr:grpSp>
            </xdr:grpSp>
            <xdr:cxnSp macro="">
              <xdr:nvCxnSpPr>
                <xdr:cNvPr id="241" name="직선 연결선 58">
                  <a:extLst>
                    <a:ext uri="{FF2B5EF4-FFF2-40B4-BE49-F238E27FC236}">
                      <a16:creationId xmlns:a16="http://schemas.microsoft.com/office/drawing/2014/main" id="{00000000-0008-0000-0600-0000F1000000}"/>
                    </a:ext>
                  </a:extLst>
                </xdr:cNvPr>
                <xdr:cNvCxnSpPr/>
              </xdr:nvCxnSpPr>
              <xdr:spPr>
                <a:xfrm>
                  <a:off x="3233790" y="14073864"/>
                  <a:ext cx="0" cy="421952"/>
                </a:xfrm>
                <a:prstGeom prst="line">
                  <a:avLst/>
                </a:prstGeom>
                <a:ln>
                  <a:prstDash val="sysDot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42" name="원호 95">
                  <a:extLst>
                    <a:ext uri="{FF2B5EF4-FFF2-40B4-BE49-F238E27FC236}">
                      <a16:creationId xmlns:a16="http://schemas.microsoft.com/office/drawing/2014/main" id="{00000000-0008-0000-0600-0000F2000000}"/>
                    </a:ext>
                  </a:extLst>
                </xdr:cNvPr>
                <xdr:cNvSpPr/>
              </xdr:nvSpPr>
              <xdr:spPr>
                <a:xfrm rot="20183720">
                  <a:off x="3176790" y="14180035"/>
                  <a:ext cx="250118" cy="325667"/>
                </a:xfrm>
                <a:prstGeom prst="arc">
                  <a:avLst>
                    <a:gd name="adj1" fmla="val 16200000"/>
                    <a:gd name="adj2" fmla="val 18250166"/>
                  </a:avLst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3" name="TextBox 242">
                  <a:extLst>
                    <a:ext uri="{FF2B5EF4-FFF2-40B4-BE49-F238E27FC236}">
                      <a16:creationId xmlns:a16="http://schemas.microsoft.com/office/drawing/2014/main" id="{00000000-0008-0000-0600-0000F3000000}"/>
                    </a:ext>
                  </a:extLst>
                </xdr:cNvPr>
                <xdr:cNvSpPr txBox="1"/>
              </xdr:nvSpPr>
              <xdr:spPr>
                <a:xfrm>
                  <a:off x="3139424" y="13978180"/>
                  <a:ext cx="359139" cy="23608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l-GR" altLang="ko-KR" sz="900">
                      <a:ea typeface="맑은 고딕" panose="020B0503020000020004" pitchFamily="50" charset="-127"/>
                    </a:rPr>
                    <a:t>θ</a:t>
                  </a:r>
                  <a:endParaRPr lang="en-US" sz="900"/>
                </a:p>
              </xdr:txBody>
            </xdr:sp>
          </xdr:grpSp>
        </xdr:grpSp>
      </xdr:grpSp>
    </xdr:grpSp>
    <xdr:clientData/>
  </xdr:twoCellAnchor>
  <xdr:twoCellAnchor>
    <xdr:from>
      <xdr:col>10</xdr:col>
      <xdr:colOff>36901</xdr:colOff>
      <xdr:row>167</xdr:row>
      <xdr:rowOff>40092</xdr:rowOff>
    </xdr:from>
    <xdr:to>
      <xdr:col>14</xdr:col>
      <xdr:colOff>272143</xdr:colOff>
      <xdr:row>173</xdr:row>
      <xdr:rowOff>2889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4646642" y="31814054"/>
          <a:ext cx="2140242" cy="1095014"/>
          <a:chOff x="3557639" y="66179700"/>
          <a:chExt cx="2552714" cy="1316800"/>
        </a:xfrm>
      </xdr:grpSpPr>
      <xdr:grpSp>
        <xdr:nvGrpSpPr>
          <xdr:cNvPr id="229" name="그룹 1">
            <a:extLst>
              <a:ext uri="{FF2B5EF4-FFF2-40B4-BE49-F238E27FC236}">
                <a16:creationId xmlns:a16="http://schemas.microsoft.com/office/drawing/2014/main" id="{00000000-0008-0000-0600-0000E5000000}"/>
              </a:ext>
            </a:extLst>
          </xdr:cNvPr>
          <xdr:cNvGrpSpPr/>
        </xdr:nvGrpSpPr>
        <xdr:grpSpPr>
          <a:xfrm>
            <a:off x="3557639" y="66179700"/>
            <a:ext cx="2552714" cy="1316800"/>
            <a:chOff x="7186610" y="1304919"/>
            <a:chExt cx="2551899" cy="1318468"/>
          </a:xfrm>
        </xdr:grpSpPr>
        <xdr:sp macro="" textlink="">
          <xdr:nvSpPr>
            <xdr:cNvPr id="232" name="자유형 57">
              <a:extLst>
                <a:ext uri="{FF2B5EF4-FFF2-40B4-BE49-F238E27FC236}">
                  <a16:creationId xmlns:a16="http://schemas.microsoft.com/office/drawing/2014/main" id="{00000000-0008-0000-0600-0000E8000000}"/>
                </a:ext>
              </a:extLst>
            </xdr:cNvPr>
            <xdr:cNvSpPr/>
          </xdr:nvSpPr>
          <xdr:spPr>
            <a:xfrm>
              <a:off x="7186610" y="1304919"/>
              <a:ext cx="2551899" cy="281934"/>
            </a:xfrm>
            <a:custGeom>
              <a:avLst/>
              <a:gdLst>
                <a:gd name="connsiteX0" fmla="*/ 270761 w 2267627"/>
                <a:gd name="connsiteY0" fmla="*/ 169226 h 234499"/>
                <a:gd name="connsiteX1" fmla="*/ 0 w 2267627"/>
                <a:gd name="connsiteY1" fmla="*/ 169226 h 234499"/>
                <a:gd name="connsiteX2" fmla="*/ 0 w 2267627"/>
                <a:gd name="connsiteY2" fmla="*/ 0 h 234499"/>
                <a:gd name="connsiteX3" fmla="*/ 2267627 w 2267627"/>
                <a:gd name="connsiteY3" fmla="*/ 0 h 234499"/>
                <a:gd name="connsiteX4" fmla="*/ 2267627 w 2267627"/>
                <a:gd name="connsiteY4" fmla="*/ 164391 h 234499"/>
                <a:gd name="connsiteX5" fmla="*/ 1996865 w 2267627"/>
                <a:gd name="connsiteY5" fmla="*/ 164391 h 234499"/>
                <a:gd name="connsiteX6" fmla="*/ 1926757 w 2267627"/>
                <a:gd name="connsiteY6" fmla="*/ 234499 h 234499"/>
                <a:gd name="connsiteX7" fmla="*/ 336034 w 2267627"/>
                <a:gd name="connsiteY7" fmla="*/ 234499 h 234499"/>
                <a:gd name="connsiteX8" fmla="*/ 270761 w 2267627"/>
                <a:gd name="connsiteY8" fmla="*/ 169226 h 2344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2267627" h="234499">
                  <a:moveTo>
                    <a:pt x="270761" y="169226"/>
                  </a:moveTo>
                  <a:lnTo>
                    <a:pt x="0" y="169226"/>
                  </a:lnTo>
                  <a:lnTo>
                    <a:pt x="0" y="0"/>
                  </a:lnTo>
                  <a:lnTo>
                    <a:pt x="2267627" y="0"/>
                  </a:lnTo>
                  <a:lnTo>
                    <a:pt x="2267627" y="164391"/>
                  </a:lnTo>
                  <a:lnTo>
                    <a:pt x="1996865" y="164391"/>
                  </a:lnTo>
                  <a:lnTo>
                    <a:pt x="1926757" y="234499"/>
                  </a:lnTo>
                  <a:lnTo>
                    <a:pt x="336034" y="234499"/>
                  </a:lnTo>
                  <a:lnTo>
                    <a:pt x="270761" y="169226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37" name="그룹 53">
              <a:extLst>
                <a:ext uri="{FF2B5EF4-FFF2-40B4-BE49-F238E27FC236}">
                  <a16:creationId xmlns:a16="http://schemas.microsoft.com/office/drawing/2014/main" id="{00000000-0008-0000-0600-0000ED000000}"/>
                </a:ext>
              </a:extLst>
            </xdr:cNvPr>
            <xdr:cNvGrpSpPr/>
          </xdr:nvGrpSpPr>
          <xdr:grpSpPr>
            <a:xfrm>
              <a:off x="7556448" y="1560615"/>
              <a:ext cx="1806429" cy="1062772"/>
              <a:chOff x="4943474" y="312840"/>
              <a:chExt cx="1571426" cy="1062772"/>
            </a:xfrm>
          </xdr:grpSpPr>
          <xdr:grpSp>
            <xdr:nvGrpSpPr>
              <xdr:cNvPr id="239" name="그룹 47">
                <a:extLst>
                  <a:ext uri="{FF2B5EF4-FFF2-40B4-BE49-F238E27FC236}">
                    <a16:creationId xmlns:a16="http://schemas.microsoft.com/office/drawing/2014/main" id="{00000000-0008-0000-0600-0000EF000000}"/>
                  </a:ext>
                </a:extLst>
              </xdr:cNvPr>
              <xdr:cNvGrpSpPr/>
            </xdr:nvGrpSpPr>
            <xdr:grpSpPr>
              <a:xfrm>
                <a:off x="5342411" y="1109438"/>
                <a:ext cx="300202" cy="131762"/>
                <a:chOff x="5348892" y="1114523"/>
                <a:chExt cx="300202" cy="132565"/>
              </a:xfrm>
            </xdr:grpSpPr>
            <xdr:cxnSp macro="">
              <xdr:nvCxnSpPr>
                <xdr:cNvPr id="273" name="직선 연결선 41">
                  <a:extLst>
                    <a:ext uri="{FF2B5EF4-FFF2-40B4-BE49-F238E27FC236}">
                      <a16:creationId xmlns:a16="http://schemas.microsoft.com/office/drawing/2014/main" id="{00000000-0008-0000-0600-000011010000}"/>
                    </a:ext>
                  </a:extLst>
                </xdr:cNvPr>
                <xdr:cNvCxnSpPr/>
              </xdr:nvCxnSpPr>
              <xdr:spPr>
                <a:xfrm flipV="1">
                  <a:off x="5351347" y="1114523"/>
                  <a:ext cx="0" cy="1325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4" name="직선 연결선 42">
                  <a:extLst>
                    <a:ext uri="{FF2B5EF4-FFF2-40B4-BE49-F238E27FC236}">
                      <a16:creationId xmlns:a16="http://schemas.microsoft.com/office/drawing/2014/main" id="{00000000-0008-0000-0600-000012010000}"/>
                    </a:ext>
                  </a:extLst>
                </xdr:cNvPr>
                <xdr:cNvCxnSpPr/>
              </xdr:nvCxnSpPr>
              <xdr:spPr>
                <a:xfrm flipV="1">
                  <a:off x="5498641" y="1114523"/>
                  <a:ext cx="0" cy="1325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5" name="직선 연결선 44">
                  <a:extLst>
                    <a:ext uri="{FF2B5EF4-FFF2-40B4-BE49-F238E27FC236}">
                      <a16:creationId xmlns:a16="http://schemas.microsoft.com/office/drawing/2014/main" id="{00000000-0008-0000-0600-000013010000}"/>
                    </a:ext>
                  </a:extLst>
                </xdr:cNvPr>
                <xdr:cNvCxnSpPr/>
              </xdr:nvCxnSpPr>
              <xdr:spPr>
                <a:xfrm>
                  <a:off x="5348892" y="1114523"/>
                  <a:ext cx="300202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44" name="그룹 52">
                <a:extLst>
                  <a:ext uri="{FF2B5EF4-FFF2-40B4-BE49-F238E27FC236}">
                    <a16:creationId xmlns:a16="http://schemas.microsoft.com/office/drawing/2014/main" id="{00000000-0008-0000-0600-0000F4000000}"/>
                  </a:ext>
                </a:extLst>
              </xdr:cNvPr>
              <xdr:cNvGrpSpPr/>
            </xdr:nvGrpSpPr>
            <xdr:grpSpPr>
              <a:xfrm>
                <a:off x="4943474" y="312840"/>
                <a:ext cx="1571426" cy="1062772"/>
                <a:chOff x="4943474" y="312840"/>
                <a:chExt cx="1571426" cy="1062772"/>
              </a:xfrm>
            </xdr:grpSpPr>
            <xdr:grpSp>
              <xdr:nvGrpSpPr>
                <xdr:cNvPr id="245" name="그룹 50">
                  <a:extLst>
                    <a:ext uri="{FF2B5EF4-FFF2-40B4-BE49-F238E27FC236}">
                      <a16:creationId xmlns:a16="http://schemas.microsoft.com/office/drawing/2014/main" id="{00000000-0008-0000-0600-0000F5000000}"/>
                    </a:ext>
                  </a:extLst>
                </xdr:cNvPr>
                <xdr:cNvGrpSpPr/>
              </xdr:nvGrpSpPr>
              <xdr:grpSpPr>
                <a:xfrm>
                  <a:off x="4943474" y="312840"/>
                  <a:ext cx="1571426" cy="1062772"/>
                  <a:chOff x="4949316" y="313866"/>
                  <a:chExt cx="1573242" cy="1068620"/>
                </a:xfrm>
              </xdr:grpSpPr>
              <xdr:grpSp>
                <xdr:nvGrpSpPr>
                  <xdr:cNvPr id="247" name="그룹 48">
                    <a:extLst>
                      <a:ext uri="{FF2B5EF4-FFF2-40B4-BE49-F238E27FC236}">
                        <a16:creationId xmlns:a16="http://schemas.microsoft.com/office/drawing/2014/main" id="{00000000-0008-0000-0600-0000F7000000}"/>
                      </a:ext>
                    </a:extLst>
                  </xdr:cNvPr>
                  <xdr:cNvGrpSpPr/>
                </xdr:nvGrpSpPr>
                <xdr:grpSpPr>
                  <a:xfrm>
                    <a:off x="4949316" y="313866"/>
                    <a:ext cx="1573242" cy="1068620"/>
                    <a:chOff x="4949316" y="313866"/>
                    <a:chExt cx="1573242" cy="1068620"/>
                  </a:xfrm>
                </xdr:grpSpPr>
                <xdr:grpSp>
                  <xdr:nvGrpSpPr>
                    <xdr:cNvPr id="249" name="그룹 30">
                      <a:extLst>
                        <a:ext uri="{FF2B5EF4-FFF2-40B4-BE49-F238E27FC236}">
                          <a16:creationId xmlns:a16="http://schemas.microsoft.com/office/drawing/2014/main" id="{00000000-0008-0000-0600-0000F9000000}"/>
                        </a:ext>
                      </a:extLst>
                    </xdr:cNvPr>
                    <xdr:cNvGrpSpPr/>
                  </xdr:nvGrpSpPr>
                  <xdr:grpSpPr>
                    <a:xfrm>
                      <a:off x="4949316" y="313866"/>
                      <a:ext cx="1573242" cy="1068620"/>
                      <a:chOff x="4444381" y="313952"/>
                      <a:chExt cx="1570114" cy="1069110"/>
                    </a:xfrm>
                  </xdr:grpSpPr>
                  <xdr:grpSp>
                    <xdr:nvGrpSpPr>
                      <xdr:cNvPr id="254" name="그룹 26">
                        <a:extLst>
                          <a:ext uri="{FF2B5EF4-FFF2-40B4-BE49-F238E27FC236}">
                            <a16:creationId xmlns:a16="http://schemas.microsoft.com/office/drawing/2014/main" id="{00000000-0008-0000-0600-0000FE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15446"/>
                        <a:ext cx="1421154" cy="1067616"/>
                        <a:chOff x="2971800" y="381000"/>
                        <a:chExt cx="1422339" cy="1061287"/>
                      </a:xfrm>
                    </xdr:grpSpPr>
                    <xdr:grpSp>
                      <xdr:nvGrpSpPr>
                        <xdr:cNvPr id="256" name="그룹 7">
                          <a:extLst>
                            <a:ext uri="{FF2B5EF4-FFF2-40B4-BE49-F238E27FC236}">
                              <a16:creationId xmlns:a16="http://schemas.microsoft.com/office/drawing/2014/main" id="{00000000-0008-0000-0600-000000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971800" y="381000"/>
                          <a:ext cx="1422339" cy="1061287"/>
                          <a:chOff x="2971800" y="381000"/>
                          <a:chExt cx="1422339" cy="1061287"/>
                        </a:xfrm>
                      </xdr:grpSpPr>
                      <xdr:cxnSp macro="">
                        <xdr:nvCxnSpPr>
                          <xdr:cNvPr id="269" name="직선 연결선 3">
                            <a:extLst>
                              <a:ext uri="{FF2B5EF4-FFF2-40B4-BE49-F238E27FC236}">
                                <a16:creationId xmlns:a16="http://schemas.microsoft.com/office/drawing/2014/main" id="{00000000-0008-0000-0600-00000D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207515" y="1442287"/>
                            <a:ext cx="1111112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0" name="직선 연결선 4">
                            <a:extLst>
                              <a:ext uri="{FF2B5EF4-FFF2-40B4-BE49-F238E27FC236}">
                                <a16:creationId xmlns:a16="http://schemas.microsoft.com/office/drawing/2014/main" id="{00000000-0008-0000-0600-00000E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3121216" y="388272"/>
                            <a:ext cx="247294" cy="1050604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1" name="직선 연결선 5">
                            <a:extLst>
                              <a:ext uri="{FF2B5EF4-FFF2-40B4-BE49-F238E27FC236}">
                                <a16:creationId xmlns:a16="http://schemas.microsoft.com/office/drawing/2014/main" id="{00000000-0008-0000-0600-00000F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4166565" y="399805"/>
                            <a:ext cx="227574" cy="103615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2" name="직선 연결선 6">
                            <a:extLst>
                              <a:ext uri="{FF2B5EF4-FFF2-40B4-BE49-F238E27FC236}">
                                <a16:creationId xmlns:a16="http://schemas.microsoft.com/office/drawing/2014/main" id="{00000000-0008-0000-0600-000010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971800" y="381000"/>
                            <a:ext cx="363653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57" name="직선 연결선 9">
                          <a:extLst>
                            <a:ext uri="{FF2B5EF4-FFF2-40B4-BE49-F238E27FC236}">
                              <a16:creationId xmlns:a16="http://schemas.microsoft.com/office/drawing/2014/main" id="{00000000-0008-0000-0600-000001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186114" y="569119"/>
                          <a:ext cx="72975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8" name="직선 연결선 10">
                          <a:extLst>
                            <a:ext uri="{FF2B5EF4-FFF2-40B4-BE49-F238E27FC236}">
                              <a16:creationId xmlns:a16="http://schemas.microsoft.com/office/drawing/2014/main" id="{00000000-0008-0000-0600-000002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21831" y="735807"/>
                          <a:ext cx="70401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9" name="직선 연결선 11">
                          <a:extLst>
                            <a:ext uri="{FF2B5EF4-FFF2-40B4-BE49-F238E27FC236}">
                              <a16:creationId xmlns:a16="http://schemas.microsoft.com/office/drawing/2014/main" id="{00000000-0008-0000-0600-000003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59606" y="569119"/>
                          <a:ext cx="76651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0" name="직선 연결선 12">
                          <a:extLst>
                            <a:ext uri="{FF2B5EF4-FFF2-40B4-BE49-F238E27FC236}">
                              <a16:creationId xmlns:a16="http://schemas.microsoft.com/office/drawing/2014/main" id="{00000000-0008-0000-0600-000004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22319" y="735807"/>
                          <a:ext cx="78219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62" name="TextBox 261">
                          <a:extLst>
                            <a:ext uri="{FF2B5EF4-FFF2-40B4-BE49-F238E27FC236}">
                              <a16:creationId xmlns:a16="http://schemas.microsoft.com/office/drawing/2014/main" id="{00000000-0008-0000-0600-000006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290652" y="537715"/>
                          <a:ext cx="819150" cy="225393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ko-KR" altLang="en-US" sz="900"/>
                            <a:t>수평보강재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255" name="직선 연결선 29">
                        <a:extLst>
                          <a:ext uri="{FF2B5EF4-FFF2-40B4-BE49-F238E27FC236}">
                            <a16:creationId xmlns:a16="http://schemas.microsoft.com/office/drawing/2014/main" id="{00000000-0008-0000-0600-0000FF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5" y="313952"/>
                        <a:ext cx="363350" cy="0"/>
                      </a:xfrm>
                      <a:prstGeom prst="line">
                        <a:avLst/>
                      </a:prstGeom>
                      <a:ln w="571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 macro="">
                  <xdr:nvCxnSpPr>
                    <xdr:cNvPr id="250" name="직선 연결선 32">
                      <a:extLst>
                        <a:ext uri="{FF2B5EF4-FFF2-40B4-BE49-F238E27FC236}">
                          <a16:creationId xmlns:a16="http://schemas.microsoft.com/office/drawing/2014/main" id="{00000000-0008-0000-0600-0000FA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496514" y="1271637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1" name="직선 연결선 37">
                      <a:extLst>
                        <a:ext uri="{FF2B5EF4-FFF2-40B4-BE49-F238E27FC236}">
                          <a16:creationId xmlns:a16="http://schemas.microsoft.com/office/drawing/2014/main" id="{00000000-0008-0000-0600-0000FB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646263" y="1274091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2" name="직선 연결선 38">
                      <a:extLst>
                        <a:ext uri="{FF2B5EF4-FFF2-40B4-BE49-F238E27FC236}">
                          <a16:creationId xmlns:a16="http://schemas.microsoft.com/office/drawing/2014/main" id="{00000000-0008-0000-0600-0000FC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793557" y="1274092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3" name="직선 연결선 39">
                      <a:extLst>
                        <a:ext uri="{FF2B5EF4-FFF2-40B4-BE49-F238E27FC236}">
                          <a16:creationId xmlns:a16="http://schemas.microsoft.com/office/drawing/2014/main" id="{00000000-0008-0000-0600-0000FD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960489" y="1271636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48" name="TextBox 247">
                    <a:extLst>
                      <a:ext uri="{FF2B5EF4-FFF2-40B4-BE49-F238E27FC236}">
                        <a16:creationId xmlns:a16="http://schemas.microsoft.com/office/drawing/2014/main" id="{00000000-0008-0000-0600-0000F8000000}"/>
                      </a:ext>
                    </a:extLst>
                  </xdr:cNvPr>
                  <xdr:cNvSpPr txBox="1"/>
                </xdr:nvSpPr>
                <xdr:spPr>
                  <a:xfrm>
                    <a:off x="5287338" y="925319"/>
                    <a:ext cx="517417" cy="21705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w</a:t>
                    </a:r>
                    <a:r>
                      <a:rPr lang="en-US" sz="500"/>
                      <a:t>1</a:t>
                    </a:r>
                    <a:r>
                      <a:rPr lang="en-US" sz="900"/>
                      <a:t>  w</a:t>
                    </a:r>
                    <a:r>
                      <a:rPr lang="en-US" sz="500"/>
                      <a:t>2</a:t>
                    </a:r>
                    <a:endParaRPr lang="en-US" sz="900"/>
                  </a:p>
                </xdr:txBody>
              </xdr:sp>
            </xdr:grpSp>
            <xdr:sp macro="" textlink="">
              <xdr:nvSpPr>
                <xdr:cNvPr id="246" name="TextBox 245">
                  <a:extLst>
                    <a:ext uri="{FF2B5EF4-FFF2-40B4-BE49-F238E27FC236}">
                      <a16:creationId xmlns:a16="http://schemas.microsoft.com/office/drawing/2014/main" id="{00000000-0008-0000-0600-0000F6000000}"/>
                    </a:ext>
                  </a:extLst>
                </xdr:cNvPr>
                <xdr:cNvSpPr txBox="1"/>
              </xdr:nvSpPr>
              <xdr:spPr>
                <a:xfrm>
                  <a:off x="5664331" y="1053151"/>
                  <a:ext cx="818920" cy="225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ko-KR" altLang="en-US" sz="900"/>
                    <a:t>종리브</a:t>
                  </a:r>
                  <a:endParaRPr lang="en-US" sz="900"/>
                </a:p>
              </xdr:txBody>
            </xdr:sp>
          </xdr:grpSp>
        </xdr:grpSp>
      </xdr:grpSp>
      <xdr:cxnSp macro="">
        <xdr:nvCxnSpPr>
          <xdr:cNvPr id="278" name="직선 연결선 42">
            <a:extLst>
              <a:ext uri="{FF2B5EF4-FFF2-40B4-BE49-F238E27FC236}">
                <a16:creationId xmlns:a16="http://schemas.microsoft.com/office/drawing/2014/main" id="{00000000-0008-0000-0600-000016010000}"/>
              </a:ext>
            </a:extLst>
          </xdr:cNvPr>
          <xdr:cNvCxnSpPr/>
        </xdr:nvCxnSpPr>
        <xdr:spPr>
          <a:xfrm flipV="1">
            <a:off x="4731544" y="67234594"/>
            <a:ext cx="0" cy="131595"/>
          </a:xfrm>
          <a:prstGeom prst="line">
            <a:avLst/>
          </a:prstGeom>
          <a:ln w="3175"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187098</xdr:colOff>
      <xdr:row>298</xdr:row>
      <xdr:rowOff>102053</xdr:rowOff>
    </xdr:from>
    <xdr:to>
      <xdr:col>14</xdr:col>
      <xdr:colOff>272143</xdr:colOff>
      <xdr:row>304</xdr:row>
      <xdr:rowOff>59829</xdr:rowOff>
    </xdr:to>
    <xdr:grpSp>
      <xdr:nvGrpSpPr>
        <xdr:cNvPr id="153" name="그룹 5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GrpSpPr/>
      </xdr:nvGrpSpPr>
      <xdr:grpSpPr>
        <a:xfrm>
          <a:off x="4320589" y="56596086"/>
          <a:ext cx="2466295" cy="1089993"/>
          <a:chOff x="538689" y="21665334"/>
          <a:chExt cx="2549636" cy="1147041"/>
        </a:xfrm>
      </xdr:grpSpPr>
      <xdr:grpSp>
        <xdr:nvGrpSpPr>
          <xdr:cNvPr id="154" name="그룹 17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156" name="그룹 112">
              <a:extLst>
                <a:ext uri="{FF2B5EF4-FFF2-40B4-BE49-F238E27FC236}">
                  <a16:creationId xmlns:a16="http://schemas.microsoft.com/office/drawing/2014/main" id="{00000000-0008-0000-0600-00009C000000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161" name="그룹 176">
                <a:extLst>
                  <a:ext uri="{FF2B5EF4-FFF2-40B4-BE49-F238E27FC236}">
                    <a16:creationId xmlns:a16="http://schemas.microsoft.com/office/drawing/2014/main" id="{00000000-0008-0000-0600-0000A1000000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170" name="자유형 179">
                  <a:extLst>
                    <a:ext uri="{FF2B5EF4-FFF2-40B4-BE49-F238E27FC236}">
                      <a16:creationId xmlns:a16="http://schemas.microsoft.com/office/drawing/2014/main" id="{00000000-0008-0000-0600-0000AA000000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71" name="그룹 180">
                  <a:extLst>
                    <a:ext uri="{FF2B5EF4-FFF2-40B4-BE49-F238E27FC236}">
                      <a16:creationId xmlns:a16="http://schemas.microsoft.com/office/drawing/2014/main" id="{00000000-0008-0000-0600-0000AB000000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72" name="그룹 181">
                    <a:extLst>
                      <a:ext uri="{FF2B5EF4-FFF2-40B4-BE49-F238E27FC236}">
                        <a16:creationId xmlns:a16="http://schemas.microsoft.com/office/drawing/2014/main" id="{00000000-0008-0000-0600-0000AC000000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74" name="직선 연결선 183">
                      <a:extLst>
                        <a:ext uri="{FF2B5EF4-FFF2-40B4-BE49-F238E27FC236}">
                          <a16:creationId xmlns:a16="http://schemas.microsoft.com/office/drawing/2014/main" id="{00000000-0008-0000-0600-0000AE000000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직선 연결선 184">
                      <a:extLst>
                        <a:ext uri="{FF2B5EF4-FFF2-40B4-BE49-F238E27FC236}">
                          <a16:creationId xmlns:a16="http://schemas.microsoft.com/office/drawing/2014/main" id="{00000000-0008-0000-0600-0000AF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직선 연결선 185">
                      <a:extLst>
                        <a:ext uri="{FF2B5EF4-FFF2-40B4-BE49-F238E27FC236}">
                          <a16:creationId xmlns:a16="http://schemas.microsoft.com/office/drawing/2014/main" id="{00000000-0008-0000-0600-0000B0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직선 연결선 186">
                      <a:extLst>
                        <a:ext uri="{FF2B5EF4-FFF2-40B4-BE49-F238E27FC236}">
                          <a16:creationId xmlns:a16="http://schemas.microsoft.com/office/drawing/2014/main" id="{00000000-0008-0000-0600-0000B1000000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73" name="직선 연결선 182">
                    <a:extLst>
                      <a:ext uri="{FF2B5EF4-FFF2-40B4-BE49-F238E27FC236}">
                        <a16:creationId xmlns:a16="http://schemas.microsoft.com/office/drawing/2014/main" id="{00000000-0008-0000-0600-0000AD000000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62" name="그룹 122">
                <a:extLst>
                  <a:ext uri="{FF2B5EF4-FFF2-40B4-BE49-F238E27FC236}">
                    <a16:creationId xmlns:a16="http://schemas.microsoft.com/office/drawing/2014/main" id="{00000000-0008-0000-0600-0000A2000000}"/>
                  </a:ext>
                </a:extLst>
              </xdr:cNvPr>
              <xdr:cNvGrpSpPr/>
            </xdr:nvGrpSpPr>
            <xdr:grpSpPr>
              <a:xfrm>
                <a:off x="4913150" y="6654079"/>
                <a:ext cx="848704" cy="797165"/>
                <a:chOff x="4913150" y="6654079"/>
                <a:chExt cx="848704" cy="797165"/>
              </a:xfrm>
            </xdr:grpSpPr>
            <xdr:sp macro="" textlink="">
              <xdr:nvSpPr>
                <xdr:cNvPr id="163" name="TextBox 162">
                  <a:extLst>
                    <a:ext uri="{FF2B5EF4-FFF2-40B4-BE49-F238E27FC236}">
                      <a16:creationId xmlns:a16="http://schemas.microsoft.com/office/drawing/2014/main" id="{00000000-0008-0000-0600-0000A3000000}"/>
                    </a:ext>
                  </a:extLst>
                </xdr:cNvPr>
                <xdr:cNvSpPr txBox="1"/>
              </xdr:nvSpPr>
              <xdr:spPr>
                <a:xfrm>
                  <a:off x="4913150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164" name="그룹 135">
                  <a:extLst>
                    <a:ext uri="{FF2B5EF4-FFF2-40B4-BE49-F238E27FC236}">
                      <a16:creationId xmlns:a16="http://schemas.microsoft.com/office/drawing/2014/main" id="{00000000-0008-0000-0600-0000A4000000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165" name="직선 화살표 연결선 153">
                    <a:extLst>
                      <a:ext uri="{FF2B5EF4-FFF2-40B4-BE49-F238E27FC236}">
                        <a16:creationId xmlns:a16="http://schemas.microsoft.com/office/drawing/2014/main" id="{00000000-0008-0000-0600-0000A5000000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6" name="직선 화살표 연결선 154">
                    <a:extLst>
                      <a:ext uri="{FF2B5EF4-FFF2-40B4-BE49-F238E27FC236}">
                        <a16:creationId xmlns:a16="http://schemas.microsoft.com/office/drawing/2014/main" id="{00000000-0008-0000-0600-0000A6000000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7" name="직선 연결선 155">
                    <a:extLst>
                      <a:ext uri="{FF2B5EF4-FFF2-40B4-BE49-F238E27FC236}">
                        <a16:creationId xmlns:a16="http://schemas.microsoft.com/office/drawing/2014/main" id="{00000000-0008-0000-0600-0000A7000000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8" name="직선 연결선 157">
                    <a:extLst>
                      <a:ext uri="{FF2B5EF4-FFF2-40B4-BE49-F238E27FC236}">
                        <a16:creationId xmlns:a16="http://schemas.microsoft.com/office/drawing/2014/main" id="{00000000-0008-0000-0600-0000A8000000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9" name="직선 연결선 159">
                    <a:extLst>
                      <a:ext uri="{FF2B5EF4-FFF2-40B4-BE49-F238E27FC236}">
                        <a16:creationId xmlns:a16="http://schemas.microsoft.com/office/drawing/2014/main" id="{00000000-0008-0000-0600-0000A9000000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157" name="그룹 16">
              <a:extLst>
                <a:ext uri="{FF2B5EF4-FFF2-40B4-BE49-F238E27FC236}">
                  <a16:creationId xmlns:a16="http://schemas.microsoft.com/office/drawing/2014/main" id="{00000000-0008-0000-0600-00009D000000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158" name="직선 연결선 8">
                <a:extLst>
                  <a:ext uri="{FF2B5EF4-FFF2-40B4-BE49-F238E27FC236}">
                    <a16:creationId xmlns:a16="http://schemas.microsoft.com/office/drawing/2014/main" id="{00000000-0008-0000-0600-00009E000000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9" name="TextBox 158">
                <a:extLst>
                  <a:ext uri="{FF2B5EF4-FFF2-40B4-BE49-F238E27FC236}">
                    <a16:creationId xmlns:a16="http://schemas.microsoft.com/office/drawing/2014/main" id="{00000000-0008-0000-0600-00009F000000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160" name="원호 13">
                <a:extLst>
                  <a:ext uri="{FF2B5EF4-FFF2-40B4-BE49-F238E27FC236}">
                    <a16:creationId xmlns:a16="http://schemas.microsoft.com/office/drawing/2014/main" id="{00000000-0008-0000-0600-0000A0000000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155" name="직선 화살표 연결선 56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309537</xdr:colOff>
      <xdr:row>53</xdr:row>
      <xdr:rowOff>162652</xdr:rowOff>
    </xdr:from>
    <xdr:to>
      <xdr:col>8</xdr:col>
      <xdr:colOff>4604</xdr:colOff>
      <xdr:row>62</xdr:row>
      <xdr:rowOff>171514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413D8584-AFB9-4BDB-9B59-B942E5F4E9C7}"/>
            </a:ext>
          </a:extLst>
        </xdr:cNvPr>
        <xdr:cNvGrpSpPr/>
      </xdr:nvGrpSpPr>
      <xdr:grpSpPr>
        <a:xfrm>
          <a:off x="1109278" y="10424492"/>
          <a:ext cx="2552567" cy="1707187"/>
          <a:chOff x="970564" y="11686932"/>
          <a:chExt cx="2578985" cy="1723860"/>
        </a:xfrm>
      </xdr:grpSpPr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0600-00005C000000}"/>
              </a:ext>
            </a:extLst>
          </xdr:cNvPr>
          <xdr:cNvGrpSpPr/>
        </xdr:nvGrpSpPr>
        <xdr:grpSpPr>
          <a:xfrm>
            <a:off x="970564" y="11686932"/>
            <a:ext cx="2578985" cy="1723860"/>
            <a:chOff x="1065826" y="10766266"/>
            <a:chExt cx="2977806" cy="2118679"/>
          </a:xfrm>
        </xdr:grpSpPr>
        <xdr:cxnSp macro="">
          <xdr:nvCxnSpPr>
            <xdr:cNvPr id="282" name="Straight Connector 281">
              <a:extLst>
                <a:ext uri="{FF2B5EF4-FFF2-40B4-BE49-F238E27FC236}">
                  <a16:creationId xmlns:a16="http://schemas.microsoft.com/office/drawing/2014/main" id="{00000000-0008-0000-0600-00001A010000}"/>
                </a:ext>
              </a:extLst>
            </xdr:cNvPr>
            <xdr:cNvCxnSpPr/>
          </xdr:nvCxnSpPr>
          <xdr:spPr>
            <a:xfrm>
              <a:off x="3731281" y="12288354"/>
              <a:ext cx="0" cy="2027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91" name="Group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GrpSpPr/>
          </xdr:nvGrpSpPr>
          <xdr:grpSpPr>
            <a:xfrm>
              <a:off x="1065826" y="10766266"/>
              <a:ext cx="2977806" cy="2118679"/>
              <a:chOff x="1083798" y="10593550"/>
              <a:chExt cx="3031721" cy="2080779"/>
            </a:xfrm>
          </xdr:grpSpPr>
          <xdr:cxnSp macro="">
            <xdr:nvCxnSpPr>
              <xdr:cNvPr id="280" name="Straight Connector 279">
                <a:extLst>
                  <a:ext uri="{FF2B5EF4-FFF2-40B4-BE49-F238E27FC236}">
                    <a16:creationId xmlns:a16="http://schemas.microsoft.com/office/drawing/2014/main" id="{00000000-0008-0000-0600-000018010000}"/>
                  </a:ext>
                </a:extLst>
              </xdr:cNvPr>
              <xdr:cNvCxnSpPr/>
            </xdr:nvCxnSpPr>
            <xdr:spPr>
              <a:xfrm>
                <a:off x="1628890" y="12075141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1" name="Straight Connector 280">
                <a:extLst>
                  <a:ext uri="{FF2B5EF4-FFF2-40B4-BE49-F238E27FC236}">
                    <a16:creationId xmlns:a16="http://schemas.microsoft.com/office/drawing/2014/main" id="{00000000-0008-0000-0600-000019010000}"/>
                  </a:ext>
                </a:extLst>
              </xdr:cNvPr>
              <xdr:cNvCxnSpPr/>
            </xdr:nvCxnSpPr>
            <xdr:spPr>
              <a:xfrm>
                <a:off x="2712262" y="12083259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90" name="Group 89">
                <a:extLst>
                  <a:ext uri="{FF2B5EF4-FFF2-40B4-BE49-F238E27FC236}">
                    <a16:creationId xmlns:a16="http://schemas.microsoft.com/office/drawing/2014/main" id="{00000000-0008-0000-0600-00005A000000}"/>
                  </a:ext>
                </a:extLst>
              </xdr:cNvPr>
              <xdr:cNvGrpSpPr/>
            </xdr:nvGrpSpPr>
            <xdr:grpSpPr>
              <a:xfrm>
                <a:off x="1083798" y="10593550"/>
                <a:ext cx="3031721" cy="2080779"/>
                <a:chOff x="1083798" y="10593550"/>
                <a:chExt cx="3031721" cy="2080779"/>
              </a:xfrm>
            </xdr:grpSpPr>
            <xdr:grpSp>
              <xdr:nvGrpSpPr>
                <xdr:cNvPr id="79" name="Group 78">
                  <a:extLst>
                    <a:ext uri="{FF2B5EF4-FFF2-40B4-BE49-F238E27FC236}">
                      <a16:creationId xmlns:a16="http://schemas.microsoft.com/office/drawing/2014/main" id="{00000000-0008-0000-0600-00004F000000}"/>
                    </a:ext>
                  </a:extLst>
                </xdr:cNvPr>
                <xdr:cNvGrpSpPr/>
              </xdr:nvGrpSpPr>
              <xdr:grpSpPr>
                <a:xfrm>
                  <a:off x="1133916" y="10593550"/>
                  <a:ext cx="2903515" cy="423185"/>
                  <a:chOff x="1121850" y="10663805"/>
                  <a:chExt cx="2866025" cy="426328"/>
                </a:xfrm>
              </xdr:grpSpPr>
              <xdr:grpSp>
                <xdr:nvGrpSpPr>
                  <xdr:cNvPr id="26" name="Group 25">
                    <a:extLst>
                      <a:ext uri="{FF2B5EF4-FFF2-40B4-BE49-F238E27FC236}">
                        <a16:creationId xmlns:a16="http://schemas.microsoft.com/office/drawing/2014/main" id="{00000000-0008-0000-0600-00001A000000}"/>
                      </a:ext>
                    </a:extLst>
                  </xdr:cNvPr>
                  <xdr:cNvGrpSpPr/>
                </xdr:nvGrpSpPr>
                <xdr:grpSpPr>
                  <a:xfrm>
                    <a:off x="1121850" y="10860368"/>
                    <a:ext cx="2866025" cy="229765"/>
                    <a:chOff x="1084049" y="10957694"/>
                    <a:chExt cx="2849468" cy="229012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00000000-0008-0000-0600-00000F000000}"/>
                        </a:ext>
                      </a:extLst>
                    </xdr:cNvPr>
                    <xdr:cNvCxnSpPr/>
                  </xdr:nvCxnSpPr>
                  <xdr:spPr>
                    <a:xfrm>
                      <a:off x="1091819" y="11179700"/>
                      <a:ext cx="2841698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2" name="Straight Connector 21">
                      <a:extLst>
                        <a:ext uri="{FF2B5EF4-FFF2-40B4-BE49-F238E27FC236}">
                          <a16:creationId xmlns:a16="http://schemas.microsoft.com/office/drawing/2014/main" id="{00000000-0008-0000-0600-000016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095570" y="10957694"/>
                      <a:ext cx="0" cy="223593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1" name="Straight Connector 180">
                      <a:extLst>
                        <a:ext uri="{FF2B5EF4-FFF2-40B4-BE49-F238E27FC236}">
                          <a16:creationId xmlns:a16="http://schemas.microsoft.com/office/drawing/2014/main" id="{00000000-0008-0000-0600-0000B5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78721" y="10967708"/>
                      <a:ext cx="0" cy="21358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2" name="Straight Connector 181">
                      <a:extLst>
                        <a:ext uri="{FF2B5EF4-FFF2-40B4-BE49-F238E27FC236}">
                          <a16:creationId xmlns:a16="http://schemas.microsoft.com/office/drawing/2014/main" id="{00000000-0008-0000-0600-0000B6000000}"/>
                        </a:ext>
                      </a:extLst>
                    </xdr:cNvPr>
                    <xdr:cNvCxnSpPr/>
                  </xdr:nvCxnSpPr>
                  <xdr:spPr>
                    <a:xfrm>
                      <a:off x="1084049" y="10959875"/>
                      <a:ext cx="2841263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3" name="Straight Connector 182">
                      <a:extLst>
                        <a:ext uri="{FF2B5EF4-FFF2-40B4-BE49-F238E27FC236}">
                          <a16:creationId xmlns:a16="http://schemas.microsoft.com/office/drawing/2014/main" id="{00000000-0008-0000-0600-0000B7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662848" y="10967708"/>
                      <a:ext cx="0" cy="21899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4" name="Straight Connector 183">
                      <a:extLst>
                        <a:ext uri="{FF2B5EF4-FFF2-40B4-BE49-F238E27FC236}">
                          <a16:creationId xmlns:a16="http://schemas.microsoft.com/office/drawing/2014/main" id="{00000000-0008-0000-0600-0000B8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945999" y="10961294"/>
                      <a:ext cx="0" cy="2254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8" name="Straight Connector 187">
                      <a:extLst>
                        <a:ext uri="{FF2B5EF4-FFF2-40B4-BE49-F238E27FC236}">
                          <a16:creationId xmlns:a16="http://schemas.microsoft.com/office/drawing/2014/main" id="{00000000-0008-0000-0600-0000BC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230126" y="10964500"/>
                      <a:ext cx="0" cy="219498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9" name="Straight Connector 188">
                      <a:extLst>
                        <a:ext uri="{FF2B5EF4-FFF2-40B4-BE49-F238E27FC236}">
                          <a16:creationId xmlns:a16="http://schemas.microsoft.com/office/drawing/2014/main" id="{00000000-0008-0000-0600-0000BD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514254" y="10964500"/>
                      <a:ext cx="0" cy="2222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0" name="Straight Connector 189">
                      <a:extLst>
                        <a:ext uri="{FF2B5EF4-FFF2-40B4-BE49-F238E27FC236}">
                          <a16:creationId xmlns:a16="http://schemas.microsoft.com/office/drawing/2014/main" id="{00000000-0008-0000-0600-0000BE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797405" y="10964500"/>
                      <a:ext cx="0" cy="222204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2" name="Straight Connector 191">
                      <a:extLst>
                        <a:ext uri="{FF2B5EF4-FFF2-40B4-BE49-F238E27FC236}">
                          <a16:creationId xmlns:a16="http://schemas.microsoft.com/office/drawing/2014/main" id="{00000000-0008-0000-0600-0000C0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079801" y="10958086"/>
                      <a:ext cx="0" cy="220499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3" name="Straight Connector 192">
                      <a:extLst>
                        <a:ext uri="{FF2B5EF4-FFF2-40B4-BE49-F238E27FC236}">
                          <a16:creationId xmlns:a16="http://schemas.microsoft.com/office/drawing/2014/main" id="{00000000-0008-0000-0600-0000C1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363927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4" name="Straight Connector 193">
                      <a:extLst>
                        <a:ext uri="{FF2B5EF4-FFF2-40B4-BE49-F238E27FC236}">
                          <a16:creationId xmlns:a16="http://schemas.microsoft.com/office/drawing/2014/main" id="{00000000-0008-0000-0600-0000C2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647079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5" name="Straight Connector 194">
                      <a:extLst>
                        <a:ext uri="{FF2B5EF4-FFF2-40B4-BE49-F238E27FC236}">
                          <a16:creationId xmlns:a16="http://schemas.microsoft.com/office/drawing/2014/main" id="{00000000-0008-0000-0600-0000C3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931205" y="10958089"/>
                      <a:ext cx="0" cy="223207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94" name="TextBox 293">
                    <a:extLst>
                      <a:ext uri="{FF2B5EF4-FFF2-40B4-BE49-F238E27FC236}">
                        <a16:creationId xmlns:a16="http://schemas.microsoft.com/office/drawing/2014/main" id="{00000000-0008-0000-0600-000026010000}"/>
                      </a:ext>
                    </a:extLst>
                  </xdr:cNvPr>
                  <xdr:cNvSpPr txBox="1"/>
                </xdr:nvSpPr>
                <xdr:spPr>
                  <a:xfrm>
                    <a:off x="1569240" y="10663805"/>
                    <a:ext cx="2171309" cy="24827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Lateral uniformly</a:t>
                    </a:r>
                    <a:r>
                      <a:rPr lang="en-US" sz="900" baseline="0"/>
                      <a:t> distributed load w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81" name="Group 80">
                  <a:extLst>
                    <a:ext uri="{FF2B5EF4-FFF2-40B4-BE49-F238E27FC236}">
                      <a16:creationId xmlns:a16="http://schemas.microsoft.com/office/drawing/2014/main" id="{00000000-0008-0000-0600-000051000000}"/>
                    </a:ext>
                  </a:extLst>
                </xdr:cNvPr>
                <xdr:cNvGrpSpPr/>
              </xdr:nvGrpSpPr>
              <xdr:grpSpPr>
                <a:xfrm>
                  <a:off x="1115769" y="11874326"/>
                  <a:ext cx="2992135" cy="800003"/>
                  <a:chOff x="1115769" y="11874326"/>
                  <a:chExt cx="2992135" cy="800003"/>
                </a:xfrm>
              </xdr:grpSpPr>
              <xdr:grpSp>
                <xdr:nvGrpSpPr>
                  <xdr:cNvPr id="80" name="Group 79">
                    <a:extLst>
                      <a:ext uri="{FF2B5EF4-FFF2-40B4-BE49-F238E27FC236}">
                        <a16:creationId xmlns:a16="http://schemas.microsoft.com/office/drawing/2014/main" id="{00000000-0008-0000-0600-000050000000}"/>
                      </a:ext>
                    </a:extLst>
                  </xdr:cNvPr>
                  <xdr:cNvGrpSpPr/>
                </xdr:nvGrpSpPr>
                <xdr:grpSpPr>
                  <a:xfrm>
                    <a:off x="1115769" y="12067645"/>
                    <a:ext cx="2992135" cy="606684"/>
                    <a:chOff x="1103303" y="12150040"/>
                    <a:chExt cx="2954737" cy="611670"/>
                  </a:xfrm>
                </xdr:grpSpPr>
                <xdr:grpSp>
                  <xdr:nvGrpSpPr>
                    <xdr:cNvPr id="70" name="Group 69">
                      <a:extLst>
                        <a:ext uri="{FF2B5EF4-FFF2-40B4-BE49-F238E27FC236}">
                          <a16:creationId xmlns:a16="http://schemas.microsoft.com/office/drawing/2014/main" id="{00000000-0008-0000-0600-000046000000}"/>
                        </a:ext>
                      </a:extLst>
                    </xdr:cNvPr>
                    <xdr:cNvGrpSpPr/>
                  </xdr:nvGrpSpPr>
                  <xdr:grpSpPr>
                    <a:xfrm>
                      <a:off x="1124367" y="12150040"/>
                      <a:ext cx="2916423" cy="366862"/>
                      <a:chOff x="1118861" y="12117153"/>
                      <a:chExt cx="2899906" cy="365798"/>
                    </a:xfrm>
                  </xdr:grpSpPr>
                  <xdr:cxnSp macro="">
                    <xdr:nvCxnSpPr>
                      <xdr:cNvPr id="28" name="Straight Connector 27">
                        <a:extLst>
                          <a:ext uri="{FF2B5EF4-FFF2-40B4-BE49-F238E27FC236}">
                            <a16:creationId xmlns:a16="http://schemas.microsoft.com/office/drawing/2014/main" id="{00000000-0008-0000-0600-00001C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36506" y="12318803"/>
                        <a:ext cx="2862912" cy="0"/>
                      </a:xfrm>
                      <a:prstGeom prst="line">
                        <a:avLst/>
                      </a:prstGeom>
                      <a:ln w="19050">
                        <a:solidFill>
                          <a:schemeClr val="tx2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9" name="Isosceles Triangle 28">
                        <a:extLst>
                          <a:ext uri="{FF2B5EF4-FFF2-40B4-BE49-F238E27FC236}">
                            <a16:creationId xmlns:a16="http://schemas.microsoft.com/office/drawing/2014/main" id="{00000000-0008-0000-0600-00001D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36989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64" name="Freeform 63">
                        <a:extLst>
                          <a:ext uri="{FF2B5EF4-FFF2-40B4-BE49-F238E27FC236}">
                            <a16:creationId xmlns:a16="http://schemas.microsoft.com/office/drawing/2014/main" id="{00000000-0008-0000-0600-000040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98373" y="12117153"/>
                        <a:ext cx="1063408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289" name="Freeform 288">
                        <a:extLst>
                          <a:ext uri="{FF2B5EF4-FFF2-40B4-BE49-F238E27FC236}">
                            <a16:creationId xmlns:a16="http://schemas.microsoft.com/office/drawing/2014/main" id="{00000000-0008-0000-0600-00002101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58518" y="12126939"/>
                        <a:ext cx="1076455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65" name="Freeform 64">
                        <a:extLst>
                          <a:ext uri="{FF2B5EF4-FFF2-40B4-BE49-F238E27FC236}">
                            <a16:creationId xmlns:a16="http://schemas.microsoft.com/office/drawing/2014/main" id="{00000000-0008-0000-0600-000041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3725188" y="12130200"/>
                        <a:ext cx="293579" cy="267928"/>
                      </a:xfrm>
                      <a:custGeom>
                        <a:avLst/>
                        <a:gdLst>
                          <a:gd name="connsiteX0" fmla="*/ 0 w 293579"/>
                          <a:gd name="connsiteY0" fmla="*/ 0 h 267483"/>
                          <a:gd name="connsiteX1" fmla="*/ 172886 w 293579"/>
                          <a:gd name="connsiteY1" fmla="*/ 176147 h 267483"/>
                          <a:gd name="connsiteX2" fmla="*/ 293579 w 293579"/>
                          <a:gd name="connsiteY2" fmla="*/ 267483 h 26748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293579" h="267483">
                            <a:moveTo>
                              <a:pt x="0" y="0"/>
                            </a:moveTo>
                            <a:cubicBezTo>
                              <a:pt x="61978" y="65783"/>
                              <a:pt x="123956" y="131567"/>
                              <a:pt x="172886" y="176147"/>
                            </a:cubicBezTo>
                            <a:cubicBezTo>
                              <a:pt x="221816" y="220728"/>
                              <a:pt x="262047" y="240300"/>
                              <a:pt x="293579" y="267483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66" name="Freeform 65">
                        <a:extLst>
                          <a:ext uri="{FF2B5EF4-FFF2-40B4-BE49-F238E27FC236}">
                            <a16:creationId xmlns:a16="http://schemas.microsoft.com/office/drawing/2014/main" id="{00000000-0008-0000-0600-000042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18861" y="12126939"/>
                        <a:ext cx="486036" cy="336430"/>
                      </a:xfrm>
                      <a:custGeom>
                        <a:avLst/>
                        <a:gdLst>
                          <a:gd name="connsiteX0" fmla="*/ 486036 w 486036"/>
                          <a:gd name="connsiteY0" fmla="*/ 0 h 335985"/>
                          <a:gd name="connsiteX1" fmla="*/ 306627 w 486036"/>
                          <a:gd name="connsiteY1" fmla="*/ 169623 h 335985"/>
                          <a:gd name="connsiteX2" fmla="*/ 166362 w 486036"/>
                          <a:gd name="connsiteY2" fmla="*/ 270745 h 335985"/>
                          <a:gd name="connsiteX3" fmla="*/ 65240 w 486036"/>
                          <a:gd name="connsiteY3" fmla="*/ 316413 h 335985"/>
                          <a:gd name="connsiteX4" fmla="*/ 0 w 486036"/>
                          <a:gd name="connsiteY4" fmla="*/ 335985 h 33598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486036" h="335985">
                            <a:moveTo>
                              <a:pt x="486036" y="0"/>
                            </a:moveTo>
                            <a:cubicBezTo>
                              <a:pt x="422971" y="62249"/>
                              <a:pt x="359906" y="124499"/>
                              <a:pt x="306627" y="169623"/>
                            </a:cubicBezTo>
                            <a:cubicBezTo>
                              <a:pt x="253348" y="214747"/>
                              <a:pt x="206593" y="246280"/>
                              <a:pt x="166362" y="270745"/>
                            </a:cubicBezTo>
                            <a:cubicBezTo>
                              <a:pt x="126131" y="295210"/>
                              <a:pt x="92967" y="305540"/>
                              <a:pt x="65240" y="316413"/>
                            </a:cubicBezTo>
                            <a:cubicBezTo>
                              <a:pt x="37513" y="327286"/>
                              <a:pt x="5437" y="326199"/>
                              <a:pt x="0" y="335985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292" name="Isosceles Triangle 291">
                        <a:extLst>
                          <a:ext uri="{FF2B5EF4-FFF2-40B4-BE49-F238E27FC236}">
                            <a16:creationId xmlns:a16="http://schemas.microsoft.com/office/drawing/2014/main" id="{00000000-0008-0000-0600-00002401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01781" y="123260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293" name="Isosceles Triangle 292">
                        <a:extLst>
                          <a:ext uri="{FF2B5EF4-FFF2-40B4-BE49-F238E27FC236}">
                            <a16:creationId xmlns:a16="http://schemas.microsoft.com/office/drawing/2014/main" id="{00000000-0008-0000-0600-00002501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70638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</xdr:grpSp>
                <xdr:grpSp>
                  <xdr:nvGrpSpPr>
                    <xdr:cNvPr id="78" name="Group 77">
                      <a:extLst>
                        <a:ext uri="{FF2B5EF4-FFF2-40B4-BE49-F238E27FC236}">
                          <a16:creationId xmlns:a16="http://schemas.microsoft.com/office/drawing/2014/main" id="{00000000-0008-0000-0600-00004E000000}"/>
                        </a:ext>
                      </a:extLst>
                    </xdr:cNvPr>
                    <xdr:cNvGrpSpPr/>
                  </xdr:nvGrpSpPr>
                  <xdr:grpSpPr>
                    <a:xfrm>
                      <a:off x="1103303" y="12539761"/>
                      <a:ext cx="2954737" cy="153555"/>
                      <a:chOff x="1103303" y="12539761"/>
                      <a:chExt cx="2954737" cy="153555"/>
                    </a:xfrm>
                  </xdr:grpSpPr>
                  <xdr:cxnSp macro="">
                    <xdr:nvCxnSpPr>
                      <xdr:cNvPr id="74" name="Straight Connector 73">
                        <a:extLst>
                          <a:ext uri="{FF2B5EF4-FFF2-40B4-BE49-F238E27FC236}">
                            <a16:creationId xmlns:a16="http://schemas.microsoft.com/office/drawing/2014/main" id="{00000000-0008-0000-0600-00004A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03303" y="12693316"/>
                        <a:ext cx="2954737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6" name="Straight Connector 75">
                        <a:extLst>
                          <a:ext uri="{FF2B5EF4-FFF2-40B4-BE49-F238E27FC236}">
                            <a16:creationId xmlns:a16="http://schemas.microsoft.com/office/drawing/2014/main" id="{00000000-0008-0000-0600-00004C00000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601390" y="12541164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96" name="Straight Connector 295">
                        <a:extLst>
                          <a:ext uri="{FF2B5EF4-FFF2-40B4-BE49-F238E27FC236}">
                            <a16:creationId xmlns:a16="http://schemas.microsoft.com/office/drawing/2014/main" id="{00000000-0008-0000-0600-00002801000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75809" y="12539762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97" name="Straight Connector 296">
                        <a:extLst>
                          <a:ext uri="{FF2B5EF4-FFF2-40B4-BE49-F238E27FC236}">
                            <a16:creationId xmlns:a16="http://schemas.microsoft.com/office/drawing/2014/main" id="{00000000-0008-0000-0600-00002901000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3754942" y="12539761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300" name="TextBox 299">
                      <a:extLst>
                        <a:ext uri="{FF2B5EF4-FFF2-40B4-BE49-F238E27FC236}">
                          <a16:creationId xmlns:a16="http://schemas.microsoft.com/office/drawing/2014/main" id="{00000000-0008-0000-0600-00002C010000}"/>
                        </a:ext>
                      </a:extLst>
                    </xdr:cNvPr>
                    <xdr:cNvSpPr txBox="1"/>
                  </xdr:nvSpPr>
                  <xdr:spPr>
                    <a:xfrm>
                      <a:off x="1976575" y="12525998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  <xdr:sp macro="" textlink="">
                  <xdr:nvSpPr>
                    <xdr:cNvPr id="301" name="TextBox 300">
                      <a:extLst>
                        <a:ext uri="{FF2B5EF4-FFF2-40B4-BE49-F238E27FC236}">
                          <a16:creationId xmlns:a16="http://schemas.microsoft.com/office/drawing/2014/main" id="{00000000-0008-0000-0600-00002D010000}"/>
                        </a:ext>
                      </a:extLst>
                    </xdr:cNvPr>
                    <xdr:cNvSpPr txBox="1"/>
                  </xdr:nvSpPr>
                  <xdr:spPr>
                    <a:xfrm>
                      <a:off x="3083236" y="12520491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</xdr:grpSp>
              <xdr:sp macro="" textlink="">
                <xdr:nvSpPr>
                  <xdr:cNvPr id="303" name="TextBox 302">
                    <a:extLst>
                      <a:ext uri="{FF2B5EF4-FFF2-40B4-BE49-F238E27FC236}">
                        <a16:creationId xmlns:a16="http://schemas.microsoft.com/office/drawing/2014/main" id="{00000000-0008-0000-0600-00002F010000}"/>
                      </a:ext>
                    </a:extLst>
                  </xdr:cNvPr>
                  <xdr:cNvSpPr txBox="1"/>
                </xdr:nvSpPr>
                <xdr:spPr>
                  <a:xfrm>
                    <a:off x="1374835" y="11874326"/>
                    <a:ext cx="991528" cy="23397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  <xdr:sp macro="" textlink="">
                <xdr:nvSpPr>
                  <xdr:cNvPr id="307" name="TextBox 306">
                    <a:extLst>
                      <a:ext uri="{FF2B5EF4-FFF2-40B4-BE49-F238E27FC236}">
                        <a16:creationId xmlns:a16="http://schemas.microsoft.com/office/drawing/2014/main" id="{00000000-0008-0000-0600-000033010000}"/>
                      </a:ext>
                    </a:extLst>
                  </xdr:cNvPr>
                  <xdr:cNvSpPr txBox="1"/>
                </xdr:nvSpPr>
                <xdr:spPr>
                  <a:xfrm>
                    <a:off x="2408208" y="11874327"/>
                    <a:ext cx="925542" cy="2339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</xdr:grpSp>
            <xdr:grpSp>
              <xdr:nvGrpSpPr>
                <xdr:cNvPr id="89" name="Group 88">
                  <a:extLst>
                    <a:ext uri="{FF2B5EF4-FFF2-40B4-BE49-F238E27FC236}">
                      <a16:creationId xmlns:a16="http://schemas.microsoft.com/office/drawing/2014/main" id="{00000000-0008-0000-0600-000059000000}"/>
                    </a:ext>
                  </a:extLst>
                </xdr:cNvPr>
                <xdr:cNvGrpSpPr/>
              </xdr:nvGrpSpPr>
              <xdr:grpSpPr>
                <a:xfrm>
                  <a:off x="1083798" y="11138253"/>
                  <a:ext cx="3031721" cy="575632"/>
                  <a:chOff x="1083798" y="11138253"/>
                  <a:chExt cx="3031721" cy="575632"/>
                </a:xfrm>
              </xdr:grpSpPr>
              <xdr:cxnSp macro="">
                <xdr:nvCxnSpPr>
                  <xdr:cNvPr id="84" name="Straight Connector 83">
                    <a:extLst>
                      <a:ext uri="{FF2B5EF4-FFF2-40B4-BE49-F238E27FC236}">
                        <a16:creationId xmlns:a16="http://schemas.microsoft.com/office/drawing/2014/main" id="{00000000-0008-0000-0600-000054000000}"/>
                      </a:ext>
                    </a:extLst>
                  </xdr:cNvPr>
                  <xdr:cNvCxnSpPr/>
                </xdr:nvCxnSpPr>
                <xdr:spPr>
                  <a:xfrm>
                    <a:off x="1644410" y="11202059"/>
                    <a:ext cx="1069316" cy="494222"/>
                  </a:xfrm>
                  <a:prstGeom prst="line">
                    <a:avLst/>
                  </a:prstGeom>
                  <a:ln w="666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8" name="Straight Connector 307">
                    <a:extLst>
                      <a:ext uri="{FF2B5EF4-FFF2-40B4-BE49-F238E27FC236}">
                        <a16:creationId xmlns:a16="http://schemas.microsoft.com/office/drawing/2014/main" id="{00000000-0008-0000-0600-000034010000}"/>
                      </a:ext>
                    </a:extLst>
                  </xdr:cNvPr>
                  <xdr:cNvCxnSpPr/>
                </xdr:nvCxnSpPr>
                <xdr:spPr>
                  <a:xfrm>
                    <a:off x="3836956" y="11202060"/>
                    <a:ext cx="278563" cy="128747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6" name="Straight Connector 315">
                    <a:extLst>
                      <a:ext uri="{FF2B5EF4-FFF2-40B4-BE49-F238E27FC236}">
                        <a16:creationId xmlns:a16="http://schemas.microsoft.com/office/drawing/2014/main" id="{00000000-0008-0000-0600-00003C010000}"/>
                      </a:ext>
                    </a:extLst>
                  </xdr:cNvPr>
                  <xdr:cNvCxnSpPr/>
                </xdr:nvCxnSpPr>
                <xdr:spPr>
                  <a:xfrm flipV="1">
                    <a:off x="2722712" y="11193072"/>
                    <a:ext cx="1096274" cy="503208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8" name="Straight Connector 317">
                    <a:extLst>
                      <a:ext uri="{FF2B5EF4-FFF2-40B4-BE49-F238E27FC236}">
                        <a16:creationId xmlns:a16="http://schemas.microsoft.com/office/drawing/2014/main" id="{00000000-0008-0000-0600-00003E010000}"/>
                      </a:ext>
                    </a:extLst>
                  </xdr:cNvPr>
                  <xdr:cNvCxnSpPr/>
                </xdr:nvCxnSpPr>
                <xdr:spPr>
                  <a:xfrm flipV="1">
                    <a:off x="1087288" y="11193073"/>
                    <a:ext cx="512193" cy="235105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69" name="Group 68">
                    <a:extLst>
                      <a:ext uri="{FF2B5EF4-FFF2-40B4-BE49-F238E27FC236}">
                        <a16:creationId xmlns:a16="http://schemas.microsoft.com/office/drawing/2014/main" id="{00000000-0008-0000-0600-000045000000}"/>
                      </a:ext>
                    </a:extLst>
                  </xdr:cNvPr>
                  <xdr:cNvGrpSpPr/>
                </xdr:nvGrpSpPr>
                <xdr:grpSpPr>
                  <a:xfrm>
                    <a:off x="1083798" y="11138253"/>
                    <a:ext cx="3021635" cy="575632"/>
                    <a:chOff x="1085265" y="11346627"/>
                    <a:chExt cx="3026036" cy="592688"/>
                  </a:xfrm>
                </xdr:grpSpPr>
                <xdr:cxnSp macro="">
                  <xdr:nvCxnSpPr>
                    <xdr:cNvPr id="13" name="Straight Connector 12">
                      <a:extLst>
                        <a:ext uri="{FF2B5EF4-FFF2-40B4-BE49-F238E27FC236}">
                          <a16:creationId xmlns:a16="http://schemas.microsoft.com/office/drawing/2014/main" id="{00000000-0008-0000-0600-00000D000000}"/>
                        </a:ext>
                      </a:extLst>
                    </xdr:cNvPr>
                    <xdr:cNvCxnSpPr/>
                  </xdr:nvCxnSpPr>
                  <xdr:spPr>
                    <a:xfrm>
                      <a:off x="1607976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Straight Connector 178">
                      <a:extLst>
                        <a:ext uri="{FF2B5EF4-FFF2-40B4-BE49-F238E27FC236}">
                          <a16:creationId xmlns:a16="http://schemas.microsoft.com/office/drawing/2014/main" id="{00000000-0008-0000-0600-0000B3000000}"/>
                        </a:ext>
                      </a:extLst>
                    </xdr:cNvPr>
                    <xdr:cNvCxnSpPr/>
                  </xdr:nvCxnSpPr>
                  <xdr:spPr>
                    <a:xfrm>
                      <a:off x="3807668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Straight Connector 177">
                      <a:extLst>
                        <a:ext uri="{FF2B5EF4-FFF2-40B4-BE49-F238E27FC236}">
                          <a16:creationId xmlns:a16="http://schemas.microsoft.com/office/drawing/2014/main" id="{00000000-0008-0000-0600-0000B2000000}"/>
                        </a:ext>
                      </a:extLst>
                    </xdr:cNvPr>
                    <xdr:cNvCxnSpPr/>
                  </xdr:nvCxnSpPr>
                  <xdr:spPr>
                    <a:xfrm>
                      <a:off x="2717152" y="11394252"/>
                      <a:ext cx="0" cy="535538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" name="Straight Connector 2">
                      <a:extLst>
                        <a:ext uri="{FF2B5EF4-FFF2-40B4-BE49-F238E27FC236}">
                          <a16:creationId xmlns:a16="http://schemas.microsoft.com/office/drawing/2014/main" id="{00000000-0008-0000-0600-000003000000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346627"/>
                      <a:ext cx="3016317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51" name="Straight Connector 150">
                      <a:extLst>
                        <a:ext uri="{FF2B5EF4-FFF2-40B4-BE49-F238E27FC236}">
                          <a16:creationId xmlns:a16="http://schemas.microsoft.com/office/drawing/2014/main" id="{00000000-0008-0000-0600-000097000000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939315"/>
                      <a:ext cx="3026036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707530DC-DF63-40A9-B6F1-D3F3626DCD26}"/>
              </a:ext>
            </a:extLst>
          </xdr:cNvPr>
          <xdr:cNvGrpSpPr/>
        </xdr:nvGrpSpPr>
        <xdr:grpSpPr>
          <a:xfrm>
            <a:off x="1150071" y="11848970"/>
            <a:ext cx="2212498" cy="188595"/>
            <a:chOff x="1753345" y="11568352"/>
            <a:chExt cx="2212498" cy="189659"/>
          </a:xfrm>
        </xdr:grpSpPr>
        <xdr:cxnSp macro="">
          <xdr:nvCxnSpPr>
            <xdr:cNvPr id="288" name="Straight Connector 287">
              <a:extLst>
                <a:ext uri="{FF2B5EF4-FFF2-40B4-BE49-F238E27FC236}">
                  <a16:creationId xmlns:a16="http://schemas.microsoft.com/office/drawing/2014/main" id="{61D8DEFE-ACB2-4634-8EEA-7DD1113B766B}"/>
                </a:ext>
              </a:extLst>
            </xdr:cNvPr>
            <xdr:cNvCxnSpPr/>
          </xdr:nvCxnSpPr>
          <xdr:spPr>
            <a:xfrm flipV="1">
              <a:off x="1753345" y="11576334"/>
              <a:ext cx="0" cy="17718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" name="Straight Connector 289">
              <a:extLst>
                <a:ext uri="{FF2B5EF4-FFF2-40B4-BE49-F238E27FC236}">
                  <a16:creationId xmlns:a16="http://schemas.microsoft.com/office/drawing/2014/main" id="{7C9C2256-E3DB-410C-ABE0-F90CD9CE592F}"/>
                </a:ext>
              </a:extLst>
            </xdr:cNvPr>
            <xdr:cNvCxnSpPr/>
          </xdr:nvCxnSpPr>
          <xdr:spPr>
            <a:xfrm flipV="1">
              <a:off x="1999627" y="11576334"/>
              <a:ext cx="0" cy="18167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" name="Straight Connector 290">
              <a:extLst>
                <a:ext uri="{FF2B5EF4-FFF2-40B4-BE49-F238E27FC236}">
                  <a16:creationId xmlns:a16="http://schemas.microsoft.com/office/drawing/2014/main" id="{EF66D855-AAD4-4A74-A82C-685B6C38F973}"/>
                </a:ext>
              </a:extLst>
            </xdr:cNvPr>
            <xdr:cNvCxnSpPr/>
          </xdr:nvCxnSpPr>
          <xdr:spPr>
            <a:xfrm flipV="1">
              <a:off x="2245063" y="11571013"/>
              <a:ext cx="0" cy="186993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Straight Connector 294">
              <a:extLst>
                <a:ext uri="{FF2B5EF4-FFF2-40B4-BE49-F238E27FC236}">
                  <a16:creationId xmlns:a16="http://schemas.microsoft.com/office/drawing/2014/main" id="{BFBADAB9-9158-40C5-89D2-9CA40525DCAD}"/>
                </a:ext>
              </a:extLst>
            </xdr:cNvPr>
            <xdr:cNvCxnSpPr/>
          </xdr:nvCxnSpPr>
          <xdr:spPr>
            <a:xfrm flipV="1">
              <a:off x="2491345" y="11573673"/>
              <a:ext cx="0" cy="182091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Straight Connector 297">
              <a:extLst>
                <a:ext uri="{FF2B5EF4-FFF2-40B4-BE49-F238E27FC236}">
                  <a16:creationId xmlns:a16="http://schemas.microsoft.com/office/drawing/2014/main" id="{228920B0-05F9-4C86-8AB3-0D57649F425A}"/>
                </a:ext>
              </a:extLst>
            </xdr:cNvPr>
            <xdr:cNvCxnSpPr/>
          </xdr:nvCxnSpPr>
          <xdr:spPr>
            <a:xfrm flipV="1">
              <a:off x="2737627" y="11573673"/>
              <a:ext cx="0" cy="18433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Straight Connector 298">
              <a:extLst>
                <a:ext uri="{FF2B5EF4-FFF2-40B4-BE49-F238E27FC236}">
                  <a16:creationId xmlns:a16="http://schemas.microsoft.com/office/drawing/2014/main" id="{329D911D-671D-42C0-B923-61EAB29373CD}"/>
                </a:ext>
              </a:extLst>
            </xdr:cNvPr>
            <xdr:cNvCxnSpPr/>
          </xdr:nvCxnSpPr>
          <xdr:spPr>
            <a:xfrm flipV="1">
              <a:off x="2983063" y="11573673"/>
              <a:ext cx="0" cy="184336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" name="Straight Connector 301">
              <a:extLst>
                <a:ext uri="{FF2B5EF4-FFF2-40B4-BE49-F238E27FC236}">
                  <a16:creationId xmlns:a16="http://schemas.microsoft.com/office/drawing/2014/main" id="{2AE13EAE-E758-4AC7-8F03-9F67F6EA7449}"/>
                </a:ext>
              </a:extLst>
            </xdr:cNvPr>
            <xdr:cNvCxnSpPr/>
          </xdr:nvCxnSpPr>
          <xdr:spPr>
            <a:xfrm flipV="1">
              <a:off x="3227844" y="11568352"/>
              <a:ext cx="0" cy="18292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4" name="Straight Connector 303">
              <a:extLst>
                <a:ext uri="{FF2B5EF4-FFF2-40B4-BE49-F238E27FC236}">
                  <a16:creationId xmlns:a16="http://schemas.microsoft.com/office/drawing/2014/main" id="{E3768D90-D11B-4426-9DB7-441C3B810DDA}"/>
                </a:ext>
              </a:extLst>
            </xdr:cNvPr>
            <xdr:cNvCxnSpPr/>
          </xdr:nvCxnSpPr>
          <xdr:spPr>
            <a:xfrm flipV="1">
              <a:off x="3474125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5" name="Straight Connector 304">
              <a:extLst>
                <a:ext uri="{FF2B5EF4-FFF2-40B4-BE49-F238E27FC236}">
                  <a16:creationId xmlns:a16="http://schemas.microsoft.com/office/drawing/2014/main" id="{2E6FB189-C4FC-416F-8075-D79F482E17C1}"/>
                </a:ext>
              </a:extLst>
            </xdr:cNvPr>
            <xdr:cNvCxnSpPr/>
          </xdr:nvCxnSpPr>
          <xdr:spPr>
            <a:xfrm flipV="1">
              <a:off x="3719562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6" name="Straight Connector 305">
              <a:extLst>
                <a:ext uri="{FF2B5EF4-FFF2-40B4-BE49-F238E27FC236}">
                  <a16:creationId xmlns:a16="http://schemas.microsoft.com/office/drawing/2014/main" id="{B21415EE-8AB3-4A2F-8FE8-BEB368AFA49E}"/>
                </a:ext>
              </a:extLst>
            </xdr:cNvPr>
            <xdr:cNvCxnSpPr/>
          </xdr:nvCxnSpPr>
          <xdr:spPr>
            <a:xfrm flipV="1">
              <a:off x="3965843" y="11568355"/>
              <a:ext cx="0" cy="18516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18"/>
  <sheetViews>
    <sheetView showGridLines="0" tabSelected="1" view="pageBreakPreview" topLeftCell="A68" zoomScale="106" zoomScaleNormal="112" zoomScaleSheetLayoutView="106" workbookViewId="0">
      <selection activeCell="M82" sqref="M82"/>
    </sheetView>
  </sheetViews>
  <sheetFormatPr defaultColWidth="9.77734375" defaultRowHeight="15" customHeight="1"/>
  <cols>
    <col min="1" max="1" width="3.77734375" style="54" customWidth="1"/>
    <col min="2" max="11" width="5.5546875" style="54" customWidth="1"/>
    <col min="12" max="12" width="5.5546875" style="69" customWidth="1"/>
    <col min="13" max="15" width="5.5546875" style="54" customWidth="1"/>
    <col min="16" max="16" width="4.77734375" style="54" customWidth="1"/>
    <col min="17" max="24" width="5.77734375" style="54" customWidth="1"/>
    <col min="25" max="25" width="5.77734375" style="69" customWidth="1"/>
    <col min="26" max="27" width="5.77734375" style="54" customWidth="1"/>
    <col min="28" max="28" width="5.77734375" style="11" customWidth="1"/>
    <col min="29" max="29" width="5.77734375" style="54" customWidth="1"/>
    <col min="30" max="30" width="5.77734375" style="145" customWidth="1"/>
    <col min="31" max="31" width="5.77734375" style="11" customWidth="1"/>
    <col min="32" max="32" width="5.77734375" style="145" customWidth="1"/>
    <col min="33" max="45" width="5.77734375" style="11" customWidth="1"/>
    <col min="46" max="75" width="5.77734375" style="54" customWidth="1"/>
    <col min="76" max="16384" width="9.77734375" style="54"/>
  </cols>
  <sheetData>
    <row r="1" spans="1:39" ht="15" customHeight="1">
      <c r="L1" s="261"/>
      <c r="Y1" s="261"/>
      <c r="AD1" s="171"/>
      <c r="AF1" s="171"/>
    </row>
    <row r="2" spans="1:39" ht="27" customHeight="1">
      <c r="A2" s="294"/>
      <c r="B2" s="295">
        <v>7</v>
      </c>
      <c r="C2" s="296" t="s">
        <v>396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D2" s="11"/>
      <c r="AF2" s="11"/>
    </row>
    <row r="3" spans="1:39" ht="14.25" customHeight="1">
      <c r="A3" s="63"/>
      <c r="B3" s="64"/>
      <c r="C3" s="64"/>
      <c r="D3" s="65"/>
      <c r="E3" s="65"/>
      <c r="F3" s="65"/>
      <c r="G3" s="65"/>
      <c r="H3" s="65"/>
      <c r="I3" s="65"/>
      <c r="J3" s="65"/>
      <c r="K3" s="65"/>
      <c r="L3" s="65"/>
      <c r="M3" s="65"/>
      <c r="N3" s="320"/>
      <c r="O3" s="32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D3" s="11"/>
      <c r="AF3" s="11"/>
    </row>
    <row r="4" spans="1:39" ht="15" customHeight="1">
      <c r="A4" s="298" t="s">
        <v>397</v>
      </c>
      <c r="N4" s="321"/>
      <c r="O4" s="322"/>
      <c r="AM4" s="13"/>
    </row>
    <row r="5" spans="1:39" ht="15" customHeight="1" thickBot="1">
      <c r="A5" s="50"/>
      <c r="B5" s="65"/>
      <c r="C5" s="65"/>
      <c r="D5" s="65"/>
      <c r="E5" s="65"/>
      <c r="F5" s="17"/>
      <c r="G5" s="10"/>
      <c r="H5" s="65"/>
      <c r="I5" s="65"/>
      <c r="J5" s="65"/>
      <c r="N5" s="321"/>
      <c r="O5" s="321"/>
      <c r="AJ5" s="150"/>
      <c r="AM5" s="13"/>
    </row>
    <row r="6" spans="1:39" ht="15" customHeight="1">
      <c r="A6" s="44"/>
      <c r="B6" s="299" t="s">
        <v>398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65"/>
      <c r="N6" s="321"/>
      <c r="O6" s="321"/>
      <c r="P6" s="65"/>
      <c r="Q6" s="65"/>
      <c r="R6" s="65"/>
      <c r="S6" s="65"/>
      <c r="T6" s="65"/>
      <c r="U6" s="65"/>
      <c r="W6" s="65"/>
      <c r="X6" s="65"/>
      <c r="Y6" s="68"/>
      <c r="Z6" s="65"/>
      <c r="AA6" s="65"/>
      <c r="AJ6" s="150"/>
      <c r="AM6" s="13"/>
    </row>
    <row r="7" spans="1:39" ht="15" customHeight="1">
      <c r="A7" s="44"/>
      <c r="B7" s="300"/>
      <c r="C7" s="41"/>
      <c r="D7" s="41"/>
      <c r="E7" s="41"/>
      <c r="F7" s="57" t="s">
        <v>25</v>
      </c>
      <c r="G7" s="41"/>
      <c r="H7" s="41"/>
      <c r="I7" s="41"/>
      <c r="J7" s="11"/>
      <c r="K7" s="41"/>
      <c r="L7" s="117"/>
      <c r="N7" s="321"/>
      <c r="O7" s="323" t="s">
        <v>403</v>
      </c>
      <c r="Y7" s="54"/>
      <c r="AB7" s="54"/>
      <c r="AJ7" s="150"/>
      <c r="AM7" s="13"/>
    </row>
    <row r="8" spans="1:39" ht="15" customHeight="1">
      <c r="A8" s="44"/>
      <c r="B8" s="301"/>
      <c r="C8" s="59"/>
      <c r="D8" s="59"/>
      <c r="E8" s="59"/>
      <c r="F8" s="26"/>
      <c r="G8" s="59"/>
      <c r="H8" s="59"/>
      <c r="I8" s="59"/>
      <c r="J8" s="59"/>
      <c r="K8" s="59"/>
      <c r="L8" s="302"/>
      <c r="N8" s="321"/>
      <c r="O8" s="324"/>
      <c r="Y8" s="54"/>
      <c r="AB8" s="54"/>
      <c r="AJ8" s="150"/>
      <c r="AM8" s="13"/>
    </row>
    <row r="9" spans="1:39" ht="15" customHeight="1">
      <c r="A9" s="44"/>
      <c r="B9" s="303" t="s">
        <v>399</v>
      </c>
      <c r="C9" s="41"/>
      <c r="D9" s="41"/>
      <c r="E9" s="41"/>
      <c r="F9" s="101"/>
      <c r="G9" s="41"/>
      <c r="H9" s="41"/>
      <c r="I9" s="41"/>
      <c r="J9" s="11"/>
      <c r="K9" s="41"/>
      <c r="L9" s="304"/>
      <c r="N9" s="321"/>
      <c r="O9" s="324"/>
      <c r="Y9" s="54"/>
      <c r="AB9" s="54"/>
      <c r="AJ9" s="150"/>
      <c r="AM9" s="13"/>
    </row>
    <row r="10" spans="1:39" ht="15" customHeight="1">
      <c r="A10" s="44"/>
      <c r="B10" s="205" t="s">
        <v>34</v>
      </c>
      <c r="C10" s="41"/>
      <c r="D10" s="41"/>
      <c r="E10" s="41"/>
      <c r="F10" s="57" t="s">
        <v>296</v>
      </c>
      <c r="G10" s="41"/>
      <c r="H10" s="41"/>
      <c r="I10" s="41"/>
      <c r="J10" s="11"/>
      <c r="K10" s="41"/>
      <c r="L10" s="117"/>
      <c r="N10" s="321"/>
      <c r="O10" s="323" t="s">
        <v>404</v>
      </c>
      <c r="Y10" s="54"/>
      <c r="AB10" s="54"/>
      <c r="AJ10" s="150"/>
      <c r="AM10" s="13"/>
    </row>
    <row r="11" spans="1:39" ht="15" customHeight="1">
      <c r="A11" s="44"/>
      <c r="B11" s="305"/>
      <c r="C11" s="41"/>
      <c r="D11" s="41"/>
      <c r="E11" s="41"/>
      <c r="F11" s="57" t="s">
        <v>297</v>
      </c>
      <c r="G11" s="41"/>
      <c r="H11" s="41"/>
      <c r="I11" s="41"/>
      <c r="J11" s="11"/>
      <c r="K11" s="41"/>
      <c r="L11" s="117"/>
      <c r="N11" s="321"/>
      <c r="O11" s="323" t="s">
        <v>405</v>
      </c>
      <c r="Y11" s="54"/>
      <c r="AB11" s="54"/>
      <c r="AJ11" s="150"/>
      <c r="AM11" s="13"/>
    </row>
    <row r="12" spans="1:39" ht="15" customHeight="1">
      <c r="A12" s="44"/>
      <c r="B12" s="305"/>
      <c r="C12" s="12" t="s">
        <v>141</v>
      </c>
      <c r="D12" s="11"/>
      <c r="E12" s="11"/>
      <c r="F12" s="57" t="s">
        <v>298</v>
      </c>
      <c r="G12" s="41"/>
      <c r="H12" s="41"/>
      <c r="I12" s="41"/>
      <c r="J12" s="11"/>
      <c r="K12" s="41"/>
      <c r="L12" s="117"/>
      <c r="N12" s="321"/>
      <c r="O12" s="323" t="s">
        <v>406</v>
      </c>
      <c r="Y12" s="54"/>
      <c r="AB12" s="54"/>
      <c r="AJ12" s="150"/>
      <c r="AM12" s="13"/>
    </row>
    <row r="13" spans="1:39" ht="15" customHeight="1">
      <c r="A13" s="44"/>
      <c r="B13" s="306"/>
      <c r="C13" s="41"/>
      <c r="D13" s="41"/>
      <c r="E13" s="11"/>
      <c r="F13" s="57"/>
      <c r="G13" s="41"/>
      <c r="H13" s="41"/>
      <c r="I13" s="41"/>
      <c r="J13" s="11"/>
      <c r="K13" s="41"/>
      <c r="L13" s="304"/>
      <c r="N13" s="321"/>
      <c r="O13" s="324"/>
      <c r="Y13" s="54"/>
      <c r="AB13" s="54"/>
      <c r="AJ13" s="150"/>
      <c r="AM13" s="13"/>
    </row>
    <row r="14" spans="1:39" ht="15" customHeight="1">
      <c r="A14" s="44"/>
      <c r="B14" s="205" t="s">
        <v>35</v>
      </c>
      <c r="C14" s="41"/>
      <c r="D14" s="12"/>
      <c r="E14" s="11"/>
      <c r="F14" s="57" t="s">
        <v>299</v>
      </c>
      <c r="G14" s="41"/>
      <c r="H14" s="41"/>
      <c r="I14" s="41"/>
      <c r="J14" s="11"/>
      <c r="K14" s="41"/>
      <c r="L14" s="117"/>
      <c r="N14" s="321"/>
      <c r="O14" s="323" t="s">
        <v>407</v>
      </c>
      <c r="Y14" s="54"/>
      <c r="AB14" s="54"/>
      <c r="AJ14" s="150"/>
      <c r="AM14" s="13"/>
    </row>
    <row r="15" spans="1:39" ht="15" customHeight="1">
      <c r="A15" s="44"/>
      <c r="B15" s="305"/>
      <c r="C15" s="12" t="s">
        <v>141</v>
      </c>
      <c r="D15" s="11"/>
      <c r="E15" s="11"/>
      <c r="F15" s="57" t="s">
        <v>298</v>
      </c>
      <c r="G15" s="41"/>
      <c r="H15" s="41"/>
      <c r="I15" s="41"/>
      <c r="J15" s="11"/>
      <c r="K15" s="41"/>
      <c r="L15" s="117"/>
      <c r="N15" s="321"/>
      <c r="O15" s="323" t="s">
        <v>408</v>
      </c>
      <c r="Y15" s="54"/>
      <c r="AB15" s="54"/>
      <c r="AJ15" s="150"/>
      <c r="AM15" s="13"/>
    </row>
    <row r="16" spans="1:39" ht="15" customHeight="1">
      <c r="A16" s="44"/>
      <c r="B16" s="307"/>
      <c r="C16" s="59"/>
      <c r="D16" s="59"/>
      <c r="E16" s="59"/>
      <c r="F16" s="26"/>
      <c r="G16" s="59"/>
      <c r="H16" s="59"/>
      <c r="I16" s="59"/>
      <c r="J16" s="59"/>
      <c r="K16" s="59"/>
      <c r="L16" s="302"/>
      <c r="N16" s="321"/>
      <c r="O16" s="324"/>
      <c r="Y16" s="54"/>
      <c r="AB16" s="54"/>
      <c r="AJ16" s="150"/>
      <c r="AM16" s="13"/>
    </row>
    <row r="17" spans="1:39" ht="15" customHeight="1">
      <c r="A17" s="44"/>
      <c r="B17" s="308" t="s">
        <v>400</v>
      </c>
      <c r="C17" s="41"/>
      <c r="D17" s="41"/>
      <c r="E17" s="41"/>
      <c r="F17" s="57"/>
      <c r="G17" s="41"/>
      <c r="H17" s="41"/>
      <c r="I17" s="41"/>
      <c r="J17" s="11"/>
      <c r="K17" s="41"/>
      <c r="L17" s="304"/>
      <c r="N17" s="321"/>
      <c r="O17" s="324"/>
      <c r="Y17" s="54"/>
      <c r="AB17" s="54"/>
      <c r="AJ17" s="150"/>
      <c r="AM17" s="13"/>
    </row>
    <row r="18" spans="1:39" ht="15" customHeight="1">
      <c r="A18" s="44"/>
      <c r="B18" s="306" t="s">
        <v>34</v>
      </c>
      <c r="C18" s="41"/>
      <c r="D18" s="41"/>
      <c r="E18" s="41"/>
      <c r="F18" s="57" t="s">
        <v>300</v>
      </c>
      <c r="G18" s="41"/>
      <c r="H18" s="41"/>
      <c r="I18" s="41"/>
      <c r="J18" s="11"/>
      <c r="K18" s="41"/>
      <c r="L18" s="117"/>
      <c r="N18" s="321"/>
      <c r="O18" s="323" t="s">
        <v>409</v>
      </c>
      <c r="Y18" s="54"/>
      <c r="AB18" s="54"/>
      <c r="AJ18" s="150"/>
      <c r="AM18" s="13"/>
    </row>
    <row r="19" spans="1:39" ht="15" customHeight="1">
      <c r="B19" s="306"/>
      <c r="C19" s="41"/>
      <c r="D19" s="41"/>
      <c r="E19" s="41"/>
      <c r="F19" s="57"/>
      <c r="G19" s="41"/>
      <c r="H19" s="41"/>
      <c r="I19" s="41"/>
      <c r="J19" s="11"/>
      <c r="K19" s="41"/>
      <c r="L19" s="309"/>
      <c r="N19" s="321"/>
      <c r="O19" s="325"/>
      <c r="Y19" s="54"/>
      <c r="AB19" s="54"/>
      <c r="AJ19" s="150"/>
      <c r="AM19" s="13"/>
    </row>
    <row r="20" spans="1:39" ht="15" customHeight="1">
      <c r="B20" s="205" t="s">
        <v>35</v>
      </c>
      <c r="C20" s="41"/>
      <c r="D20" s="41"/>
      <c r="E20" s="41"/>
      <c r="F20" s="57" t="s">
        <v>395</v>
      </c>
      <c r="G20" s="41"/>
      <c r="H20" s="41"/>
      <c r="I20" s="41"/>
      <c r="J20" s="11"/>
      <c r="K20" s="41"/>
      <c r="L20" s="117"/>
      <c r="N20" s="321"/>
      <c r="O20" s="323" t="s">
        <v>410</v>
      </c>
      <c r="Y20" s="54"/>
      <c r="AB20" s="54"/>
      <c r="AJ20" s="150"/>
      <c r="AM20" s="13"/>
    </row>
    <row r="21" spans="1:39" ht="15" customHeight="1">
      <c r="B21" s="307"/>
      <c r="C21" s="59"/>
      <c r="D21" s="59"/>
      <c r="E21" s="59"/>
      <c r="F21" s="26"/>
      <c r="G21" s="59"/>
      <c r="H21" s="59"/>
      <c r="I21" s="59"/>
      <c r="J21" s="59"/>
      <c r="K21" s="59"/>
      <c r="L21" s="302"/>
      <c r="N21" s="321"/>
      <c r="O21" s="324"/>
      <c r="Y21" s="54"/>
      <c r="AB21" s="54"/>
      <c r="AJ21" s="150"/>
      <c r="AM21" s="13"/>
    </row>
    <row r="22" spans="1:39" ht="15" customHeight="1">
      <c r="B22" s="308" t="s">
        <v>4</v>
      </c>
      <c r="C22" s="41"/>
      <c r="D22" s="41"/>
      <c r="E22" s="41"/>
      <c r="F22" s="57"/>
      <c r="G22" s="41"/>
      <c r="H22" s="41"/>
      <c r="I22" s="41"/>
      <c r="J22" s="11"/>
      <c r="K22" s="41"/>
      <c r="L22" s="304"/>
      <c r="N22" s="321"/>
      <c r="O22" s="324"/>
      <c r="Y22" s="54"/>
      <c r="AB22" s="54"/>
      <c r="AI22" s="170"/>
      <c r="AJ22" s="150"/>
      <c r="AM22" s="13"/>
    </row>
    <row r="23" spans="1:39" ht="15" customHeight="1">
      <c r="B23" s="305"/>
      <c r="C23" s="41"/>
      <c r="D23" s="41"/>
      <c r="E23" s="41"/>
      <c r="F23" s="57" t="s">
        <v>301</v>
      </c>
      <c r="G23" s="41"/>
      <c r="H23" s="41"/>
      <c r="I23" s="41"/>
      <c r="J23" s="11"/>
      <c r="K23" s="41"/>
      <c r="L23" s="117"/>
      <c r="N23" s="321"/>
      <c r="O23" s="323" t="s">
        <v>411</v>
      </c>
      <c r="Y23" s="54"/>
      <c r="AB23" s="54"/>
      <c r="AJ23" s="150"/>
      <c r="AM23" s="13"/>
    </row>
    <row r="24" spans="1:39" ht="15" customHeight="1" thickBot="1">
      <c r="B24" s="310"/>
      <c r="C24" s="116"/>
      <c r="D24" s="116"/>
      <c r="E24" s="116"/>
      <c r="F24" s="311"/>
      <c r="G24" s="116"/>
      <c r="H24" s="116"/>
      <c r="I24" s="116"/>
      <c r="J24" s="116"/>
      <c r="K24" s="116"/>
      <c r="L24" s="235"/>
      <c r="N24" s="321"/>
      <c r="O24" s="324"/>
      <c r="Y24" s="54"/>
      <c r="AB24" s="54"/>
      <c r="AJ24" s="150"/>
      <c r="AM24" s="13"/>
    </row>
    <row r="25" spans="1:39" ht="15" customHeight="1">
      <c r="L25" s="54"/>
      <c r="N25" s="321"/>
      <c r="O25" s="324"/>
      <c r="Y25" s="54"/>
      <c r="AB25" s="54"/>
      <c r="AJ25" s="150"/>
      <c r="AM25" s="13"/>
    </row>
    <row r="26" spans="1:39" ht="15" customHeight="1">
      <c r="B26" s="41"/>
      <c r="C26" s="41"/>
      <c r="D26" s="41"/>
      <c r="E26" s="41"/>
      <c r="F26" s="41"/>
      <c r="G26" s="15"/>
      <c r="H26" s="41"/>
      <c r="I26" s="41"/>
      <c r="J26" s="41"/>
      <c r="K26" s="65"/>
      <c r="L26" s="68"/>
      <c r="M26" s="65"/>
      <c r="N26" s="321"/>
      <c r="O26" s="324"/>
      <c r="P26" s="65"/>
      <c r="Q26" s="65"/>
      <c r="R26" s="65"/>
      <c r="S26" s="65"/>
      <c r="T26" s="65"/>
      <c r="U26" s="65"/>
      <c r="V26" s="65"/>
      <c r="W26" s="65"/>
      <c r="X26" s="65"/>
      <c r="Y26" s="68"/>
      <c r="Z26" s="65"/>
      <c r="AA26" s="65"/>
      <c r="AJ26" s="150"/>
      <c r="AM26" s="13"/>
    </row>
    <row r="27" spans="1:39" ht="15" customHeight="1">
      <c r="B27" s="41"/>
      <c r="C27" s="41"/>
      <c r="D27" s="41"/>
      <c r="E27" s="41"/>
      <c r="F27" s="41"/>
      <c r="G27" s="15"/>
      <c r="H27" s="41"/>
      <c r="I27" s="41"/>
      <c r="J27" s="41"/>
      <c r="K27" s="65"/>
      <c r="L27" s="68"/>
      <c r="M27" s="65"/>
      <c r="N27" s="321"/>
      <c r="O27" s="324"/>
      <c r="P27" s="65"/>
      <c r="Q27" s="65"/>
      <c r="R27" s="65"/>
      <c r="S27" s="65"/>
      <c r="T27" s="65"/>
      <c r="U27" s="65"/>
      <c r="V27" s="65"/>
      <c r="W27" s="65"/>
      <c r="X27" s="65"/>
      <c r="Y27" s="68"/>
      <c r="Z27" s="65"/>
      <c r="AA27" s="65"/>
      <c r="AJ27" s="150"/>
      <c r="AM27" s="13"/>
    </row>
    <row r="28" spans="1:39" ht="15" customHeight="1">
      <c r="A28" s="312" t="s">
        <v>401</v>
      </c>
      <c r="B28" s="24"/>
      <c r="C28" s="41"/>
      <c r="D28" s="41"/>
      <c r="E28" s="41"/>
      <c r="F28" s="41"/>
      <c r="G28" s="15"/>
      <c r="H28" s="41"/>
      <c r="I28" s="41"/>
      <c r="J28" s="41"/>
      <c r="K28" s="65"/>
      <c r="L28" s="68"/>
      <c r="M28" s="65"/>
      <c r="N28" s="321"/>
      <c r="O28" s="323" t="s">
        <v>402</v>
      </c>
      <c r="P28" s="65"/>
      <c r="Q28" s="65"/>
      <c r="R28" s="65"/>
      <c r="S28" s="65"/>
      <c r="X28" s="65"/>
      <c r="Y28" s="68"/>
      <c r="Z28" s="65"/>
      <c r="AJ28" s="150"/>
      <c r="AM28" s="13"/>
    </row>
    <row r="29" spans="1:39" ht="15" customHeight="1" thickBot="1">
      <c r="A29" s="81"/>
      <c r="B29" s="24"/>
      <c r="D29" s="41"/>
      <c r="E29" s="41"/>
      <c r="F29" s="41"/>
      <c r="G29" s="15"/>
      <c r="H29" s="41"/>
      <c r="I29" s="41"/>
      <c r="J29" s="41"/>
      <c r="K29" s="65"/>
      <c r="L29" s="106"/>
      <c r="M29" s="65"/>
      <c r="N29" s="321"/>
      <c r="O29" s="321"/>
      <c r="P29" s="65"/>
      <c r="Q29" s="65"/>
      <c r="R29" s="65"/>
      <c r="S29" s="65"/>
      <c r="X29" s="65"/>
      <c r="Y29" s="106"/>
      <c r="Z29" s="65"/>
      <c r="AJ29" s="150"/>
      <c r="AM29" s="13"/>
    </row>
    <row r="30" spans="1:39" ht="24" customHeight="1" thickBot="1">
      <c r="A30" s="81"/>
      <c r="B30" s="24"/>
      <c r="C30" s="313"/>
      <c r="D30" s="314"/>
      <c r="E30" s="315" t="s">
        <v>355</v>
      </c>
      <c r="F30" s="316"/>
      <c r="G30" s="317"/>
      <c r="H30" s="318"/>
      <c r="I30" s="41"/>
      <c r="J30" s="41"/>
      <c r="K30" s="65"/>
      <c r="L30" s="260"/>
      <c r="M30" s="65"/>
      <c r="N30" s="321"/>
      <c r="O30" s="321"/>
      <c r="P30" s="65"/>
      <c r="Q30" s="65"/>
      <c r="R30" s="65"/>
      <c r="S30" s="65"/>
      <c r="X30" s="65"/>
      <c r="Y30" s="260"/>
      <c r="Z30" s="65"/>
      <c r="AD30" s="171"/>
      <c r="AF30" s="171"/>
      <c r="AJ30" s="150"/>
      <c r="AM30" s="13"/>
    </row>
    <row r="31" spans="1:39" ht="15" customHeight="1">
      <c r="A31" s="81"/>
      <c r="B31" s="24"/>
      <c r="C31" s="41"/>
      <c r="D31" s="41"/>
      <c r="E31" s="41"/>
      <c r="F31" s="41"/>
      <c r="G31" s="15"/>
      <c r="H31" s="41"/>
      <c r="I31" s="41"/>
      <c r="J31" s="41"/>
      <c r="K31" s="65"/>
      <c r="L31" s="106"/>
      <c r="M31" s="65"/>
      <c r="N31" s="321"/>
      <c r="O31" s="321"/>
      <c r="P31" s="65"/>
      <c r="Q31" s="65"/>
      <c r="R31" s="65"/>
      <c r="S31" s="65"/>
      <c r="X31" s="65"/>
      <c r="Y31" s="106"/>
      <c r="Z31" s="65"/>
      <c r="AJ31" s="150"/>
      <c r="AM31" s="13"/>
    </row>
    <row r="32" spans="1:39" ht="15" customHeight="1">
      <c r="B32" s="57" t="s">
        <v>414</v>
      </c>
      <c r="C32" s="41"/>
      <c r="D32" s="41"/>
      <c r="E32" s="41"/>
      <c r="F32" s="41"/>
      <c r="G32" s="15"/>
      <c r="H32" s="41"/>
      <c r="I32" s="41"/>
      <c r="J32" s="41"/>
      <c r="K32" s="65"/>
      <c r="L32" s="76"/>
      <c r="M32" s="65"/>
      <c r="N32" s="321"/>
      <c r="O32" s="321"/>
      <c r="P32" s="65"/>
      <c r="Q32" s="65"/>
      <c r="R32" s="65"/>
      <c r="S32" s="65"/>
      <c r="X32" s="65"/>
      <c r="Y32" s="76"/>
      <c r="Z32" s="65"/>
      <c r="AA32" s="30"/>
      <c r="AJ32" s="150"/>
      <c r="AM32" s="13"/>
    </row>
    <row r="33" spans="1:39" ht="15" customHeight="1">
      <c r="A33" s="65"/>
      <c r="B33" s="58" t="s">
        <v>9</v>
      </c>
      <c r="C33" s="58"/>
      <c r="D33" s="58"/>
      <c r="E33" s="52"/>
      <c r="F33" s="52"/>
      <c r="G33" s="58"/>
      <c r="H33" s="58" t="s">
        <v>351</v>
      </c>
      <c r="I33" s="52"/>
      <c r="J33" s="52"/>
      <c r="K33" s="52"/>
      <c r="L33" s="65"/>
      <c r="M33" s="65"/>
      <c r="N33" s="321"/>
      <c r="O33" s="321"/>
      <c r="P33" s="65"/>
      <c r="Q33" s="65"/>
      <c r="V33" s="65"/>
      <c r="W33" s="65"/>
      <c r="X33" s="65"/>
      <c r="Y33" s="68"/>
      <c r="Z33" s="65"/>
      <c r="AA33" s="65"/>
      <c r="AJ33" s="150"/>
      <c r="AM33" s="13"/>
    </row>
    <row r="34" spans="1:39" ht="15" customHeight="1">
      <c r="A34" s="65"/>
      <c r="B34" s="21"/>
      <c r="C34" s="21"/>
      <c r="D34" s="21"/>
      <c r="E34" s="319" t="s">
        <v>415</v>
      </c>
      <c r="F34" s="319"/>
      <c r="G34" s="319"/>
      <c r="H34" s="319" t="s">
        <v>352</v>
      </c>
      <c r="J34" s="65"/>
      <c r="K34" s="65"/>
      <c r="L34" s="54"/>
      <c r="N34" s="321"/>
      <c r="O34" s="321"/>
      <c r="Z34" s="65"/>
      <c r="AA34" s="65"/>
      <c r="AJ34" s="150"/>
      <c r="AM34" s="13"/>
    </row>
    <row r="35" spans="1:39" ht="15" customHeight="1">
      <c r="A35" s="65"/>
      <c r="B35" s="65" t="s">
        <v>350</v>
      </c>
      <c r="C35" s="65"/>
      <c r="D35" s="65"/>
      <c r="E35" s="281"/>
      <c r="F35" s="281"/>
      <c r="G35" s="281"/>
      <c r="H35" s="281"/>
      <c r="I35" s="37"/>
      <c r="J35" s="37"/>
      <c r="K35" s="37"/>
      <c r="L35" s="54"/>
      <c r="N35" s="321"/>
      <c r="O35" s="321"/>
      <c r="Y35" s="240"/>
      <c r="Z35" s="65"/>
      <c r="AA35" s="65"/>
      <c r="AD35" s="171"/>
      <c r="AF35" s="171"/>
      <c r="AJ35" s="150"/>
      <c r="AM35" s="13"/>
    </row>
    <row r="36" spans="1:39" ht="15" customHeight="1">
      <c r="A36" s="65"/>
      <c r="B36" s="65"/>
      <c r="C36" s="65"/>
      <c r="D36" s="36"/>
      <c r="E36" s="280" t="s">
        <v>10</v>
      </c>
      <c r="F36" s="280"/>
      <c r="G36" s="65"/>
      <c r="H36" s="241">
        <v>0.85</v>
      </c>
      <c r="I36" s="286" t="s">
        <v>353</v>
      </c>
      <c r="J36" s="271"/>
      <c r="K36" s="271"/>
      <c r="L36" s="54"/>
      <c r="N36" s="321"/>
      <c r="O36" s="321"/>
      <c r="P36" s="36"/>
      <c r="V36" s="36"/>
      <c r="W36" s="36"/>
      <c r="X36" s="65"/>
      <c r="Y36" s="68"/>
      <c r="Z36" s="65"/>
      <c r="AA36" s="65"/>
      <c r="AJ36" s="150"/>
      <c r="AM36" s="13"/>
    </row>
    <row r="37" spans="1:39" ht="15" customHeight="1">
      <c r="A37" s="65"/>
      <c r="B37" s="29"/>
      <c r="C37" s="29"/>
      <c r="D37" s="29"/>
      <c r="E37" s="281"/>
      <c r="F37" s="281"/>
      <c r="G37" s="37"/>
      <c r="H37" s="31" t="s">
        <v>36</v>
      </c>
      <c r="I37" s="281"/>
      <c r="J37" s="281"/>
      <c r="K37" s="281"/>
      <c r="L37" s="54"/>
      <c r="N37" s="321"/>
      <c r="O37" s="321"/>
      <c r="P37" s="36"/>
      <c r="V37" s="36"/>
      <c r="W37" s="36"/>
      <c r="X37" s="65"/>
      <c r="Y37" s="68"/>
      <c r="Z37" s="65"/>
      <c r="AA37" s="65"/>
      <c r="AJ37" s="150"/>
      <c r="AM37" s="13"/>
    </row>
    <row r="38" spans="1:39" ht="15" customHeight="1">
      <c r="A38" s="65"/>
      <c r="B38" s="55" t="s">
        <v>354</v>
      </c>
      <c r="C38" s="34"/>
      <c r="D38" s="34"/>
      <c r="E38" s="55"/>
      <c r="F38" s="55"/>
      <c r="G38" s="55"/>
      <c r="H38" s="34" t="s">
        <v>352</v>
      </c>
      <c r="I38" s="239"/>
      <c r="J38" s="239"/>
      <c r="K38" s="239"/>
      <c r="L38" s="54"/>
      <c r="N38" s="321"/>
      <c r="O38" s="321"/>
      <c r="P38" s="36"/>
      <c r="V38" s="36"/>
      <c r="W38" s="36"/>
      <c r="X38" s="65"/>
      <c r="Y38" s="238"/>
      <c r="Z38" s="65"/>
      <c r="AA38" s="65"/>
      <c r="AD38" s="171"/>
      <c r="AF38" s="171"/>
      <c r="AJ38" s="150"/>
      <c r="AM38" s="13"/>
    </row>
    <row r="39" spans="1:39" ht="15" customHeight="1">
      <c r="A39" s="65"/>
      <c r="B39" s="73"/>
      <c r="C39" s="73"/>
      <c r="D39" s="73"/>
      <c r="E39" s="65"/>
      <c r="F39" s="65"/>
      <c r="G39" s="65"/>
      <c r="H39" s="65"/>
      <c r="I39" s="65"/>
      <c r="J39" s="65"/>
      <c r="K39" s="65"/>
      <c r="L39" s="72"/>
      <c r="M39" s="72"/>
      <c r="N39" s="328"/>
      <c r="O39" s="321"/>
      <c r="P39" s="36"/>
      <c r="R39" s="36"/>
      <c r="T39" s="36"/>
      <c r="V39" s="36"/>
      <c r="W39" s="36"/>
      <c r="X39" s="65"/>
      <c r="Y39" s="72"/>
      <c r="Z39" s="65"/>
      <c r="AA39" s="65"/>
      <c r="AJ39" s="150"/>
      <c r="AM39" s="13"/>
    </row>
    <row r="40" spans="1:39" ht="15" customHeight="1">
      <c r="A40" s="65"/>
      <c r="B40" s="70" t="s">
        <v>72</v>
      </c>
      <c r="C40" s="70"/>
      <c r="D40" s="65"/>
      <c r="E40" s="65"/>
      <c r="F40" s="70"/>
      <c r="G40" s="70"/>
      <c r="H40" s="65"/>
      <c r="I40" s="65"/>
      <c r="J40" s="65"/>
      <c r="K40" s="65"/>
      <c r="L40" s="68"/>
      <c r="M40" s="65"/>
      <c r="N40" s="321"/>
      <c r="O40" s="321"/>
      <c r="P40" s="65"/>
      <c r="Q40" s="65"/>
      <c r="R40" s="65"/>
      <c r="S40" s="65"/>
      <c r="T40" s="65"/>
      <c r="U40" s="65"/>
      <c r="V40" s="65"/>
      <c r="W40" s="65"/>
      <c r="X40" s="65"/>
      <c r="Y40" s="68"/>
      <c r="Z40" s="65"/>
      <c r="AA40" s="65"/>
      <c r="AJ40" s="150"/>
      <c r="AM40" s="13"/>
    </row>
    <row r="41" spans="1:39" ht="15" customHeight="1">
      <c r="A41" s="65"/>
      <c r="B41" s="73"/>
      <c r="C41" s="73" t="s">
        <v>76</v>
      </c>
      <c r="D41" s="43" t="s">
        <v>73</v>
      </c>
      <c r="E41" s="73" t="s">
        <v>91</v>
      </c>
      <c r="F41" s="65"/>
      <c r="G41" s="65"/>
      <c r="H41" s="65"/>
      <c r="I41" s="65"/>
      <c r="L41" s="72"/>
      <c r="M41" s="65"/>
      <c r="N41" s="321"/>
      <c r="O41" s="321"/>
      <c r="P41" s="65"/>
      <c r="Q41" s="65"/>
      <c r="R41" s="65"/>
      <c r="S41" s="65"/>
      <c r="T41" s="65"/>
      <c r="U41" s="65"/>
      <c r="V41" s="65"/>
      <c r="W41" s="65"/>
      <c r="X41" s="65"/>
      <c r="Y41" s="72"/>
      <c r="Z41" s="65"/>
      <c r="AA41" s="65"/>
      <c r="AJ41" s="150"/>
      <c r="AM41" s="13"/>
    </row>
    <row r="42" spans="1:39" ht="15" customHeight="1">
      <c r="A42" s="65"/>
      <c r="B42" s="73"/>
      <c r="C42" s="73" t="s">
        <v>77</v>
      </c>
      <c r="D42" s="43" t="s">
        <v>73</v>
      </c>
      <c r="E42" s="73" t="s">
        <v>75</v>
      </c>
      <c r="F42" s="65"/>
      <c r="G42" s="65" t="s">
        <v>74</v>
      </c>
      <c r="H42" s="65"/>
      <c r="L42" s="72"/>
      <c r="N42" s="321"/>
      <c r="O42" s="323" t="s">
        <v>412</v>
      </c>
      <c r="P42" s="65"/>
      <c r="Q42" s="65"/>
      <c r="R42" s="65"/>
      <c r="S42" s="65"/>
      <c r="T42" s="65"/>
      <c r="U42" s="65"/>
      <c r="V42" s="65"/>
      <c r="W42" s="65"/>
      <c r="X42" s="65"/>
      <c r="Z42" s="65"/>
      <c r="AJ42" s="150"/>
      <c r="AM42" s="13"/>
    </row>
    <row r="43" spans="1:39" ht="15" customHeight="1">
      <c r="A43" s="65"/>
      <c r="B43" s="73"/>
      <c r="C43" s="73" t="s">
        <v>82</v>
      </c>
      <c r="D43" s="43" t="s">
        <v>73</v>
      </c>
      <c r="E43" s="73" t="s">
        <v>104</v>
      </c>
      <c r="L43" s="54"/>
      <c r="N43" s="321"/>
      <c r="O43" s="323" t="s">
        <v>412</v>
      </c>
      <c r="R43" s="65"/>
      <c r="S43" s="65"/>
      <c r="T43" s="65"/>
      <c r="U43" s="65"/>
      <c r="V43" s="65"/>
      <c r="W43" s="65"/>
      <c r="X43" s="65"/>
      <c r="Z43" s="65"/>
      <c r="AJ43" s="150"/>
      <c r="AM43" s="13"/>
    </row>
    <row r="44" spans="1:39" ht="15" customHeight="1">
      <c r="A44" s="65"/>
      <c r="B44" s="73"/>
      <c r="D44" s="43" t="s">
        <v>73</v>
      </c>
      <c r="E44" s="60">
        <v>1</v>
      </c>
      <c r="F44" s="65" t="s">
        <v>80</v>
      </c>
      <c r="G44" s="65"/>
      <c r="L44" s="54"/>
      <c r="N44" s="321"/>
      <c r="O44" s="323"/>
      <c r="P44" s="65"/>
      <c r="Q44" s="65"/>
      <c r="V44" s="65"/>
      <c r="W44" s="65"/>
      <c r="X44" s="65"/>
      <c r="Z44" s="65"/>
      <c r="AJ44" s="150"/>
      <c r="AM44" s="13"/>
    </row>
    <row r="45" spans="1:39" ht="15" customHeight="1">
      <c r="A45" s="65"/>
      <c r="B45" s="73"/>
      <c r="D45" s="43" t="s">
        <v>73</v>
      </c>
      <c r="E45" s="60">
        <v>1</v>
      </c>
      <c r="F45" s="65" t="s">
        <v>81</v>
      </c>
      <c r="L45" s="54"/>
      <c r="N45" s="321"/>
      <c r="O45" s="323"/>
      <c r="V45" s="65"/>
      <c r="W45" s="65"/>
      <c r="X45" s="65"/>
      <c r="Z45" s="65"/>
      <c r="AJ45" s="150"/>
      <c r="AM45" s="13"/>
    </row>
    <row r="46" spans="1:39" ht="15" customHeight="1">
      <c r="A46" s="65"/>
      <c r="B46" s="73"/>
      <c r="D46" s="43" t="s">
        <v>73</v>
      </c>
      <c r="E46" s="65" t="s">
        <v>37</v>
      </c>
      <c r="F46" s="65"/>
      <c r="G46" s="65"/>
      <c r="H46" s="65"/>
      <c r="I46" s="65" t="s">
        <v>10</v>
      </c>
      <c r="L46" s="65"/>
      <c r="M46" s="65"/>
      <c r="N46" s="321"/>
      <c r="O46" s="323"/>
      <c r="P46" s="65"/>
      <c r="V46" s="65"/>
      <c r="W46" s="65"/>
      <c r="X46" s="65"/>
      <c r="Z46" s="65"/>
      <c r="AJ46" s="150"/>
      <c r="AM46" s="13"/>
    </row>
    <row r="47" spans="1:39" ht="15" customHeight="1">
      <c r="A47" s="65"/>
      <c r="B47" s="73"/>
      <c r="C47" s="65" t="s">
        <v>79</v>
      </c>
      <c r="D47" s="43" t="s">
        <v>73</v>
      </c>
      <c r="E47" s="60">
        <v>1</v>
      </c>
      <c r="F47" s="65" t="s">
        <v>78</v>
      </c>
      <c r="H47" s="65"/>
      <c r="I47" s="65"/>
      <c r="L47" s="65"/>
      <c r="M47" s="72"/>
      <c r="N47" s="321"/>
      <c r="O47" s="323" t="s">
        <v>413</v>
      </c>
      <c r="P47" s="65"/>
      <c r="Q47" s="65"/>
      <c r="R47" s="65"/>
      <c r="S47" s="65"/>
      <c r="V47" s="65"/>
      <c r="W47" s="65"/>
      <c r="X47" s="65"/>
      <c r="Z47" s="65"/>
      <c r="AJ47" s="150"/>
      <c r="AM47" s="13"/>
    </row>
    <row r="48" spans="1:39" ht="15" customHeight="1">
      <c r="A48" s="65"/>
      <c r="B48" s="107"/>
      <c r="C48" s="65" t="s">
        <v>417</v>
      </c>
      <c r="D48" s="43" t="s">
        <v>68</v>
      </c>
      <c r="E48" s="60" t="s">
        <v>189</v>
      </c>
      <c r="F48" s="65"/>
      <c r="H48" s="65"/>
      <c r="I48" s="65"/>
      <c r="L48" s="65"/>
      <c r="M48" s="106"/>
      <c r="N48" s="321"/>
      <c r="O48" s="321"/>
      <c r="P48" s="65"/>
      <c r="Q48" s="65"/>
      <c r="R48" s="65"/>
      <c r="S48" s="65"/>
      <c r="V48" s="65"/>
      <c r="W48" s="65"/>
      <c r="X48" s="65"/>
      <c r="Y48" s="106"/>
      <c r="Z48" s="65"/>
      <c r="AA48" s="48"/>
      <c r="AJ48" s="150"/>
      <c r="AM48" s="13"/>
    </row>
    <row r="49" spans="1:39" ht="15" customHeight="1">
      <c r="A49" s="65"/>
      <c r="B49" s="107"/>
      <c r="C49" s="65"/>
      <c r="D49" s="43" t="s">
        <v>273</v>
      </c>
      <c r="E49" s="60" t="s">
        <v>416</v>
      </c>
      <c r="F49" s="65"/>
      <c r="H49" s="65"/>
      <c r="I49" s="65"/>
      <c r="L49" s="65"/>
      <c r="M49" s="106"/>
      <c r="N49" s="321"/>
      <c r="O49" s="321"/>
      <c r="P49" s="65"/>
      <c r="Q49" s="65"/>
      <c r="R49" s="65"/>
      <c r="S49" s="65"/>
      <c r="V49" s="65"/>
      <c r="W49" s="65"/>
      <c r="X49" s="65"/>
      <c r="Y49" s="106"/>
      <c r="Z49" s="65"/>
      <c r="AA49" s="48"/>
      <c r="AJ49" s="150"/>
      <c r="AM49" s="13"/>
    </row>
    <row r="50" spans="1:39" ht="15" customHeight="1">
      <c r="A50" s="65"/>
      <c r="B50" s="107"/>
      <c r="C50" s="65" t="s">
        <v>190</v>
      </c>
      <c r="D50" s="43" t="s">
        <v>68</v>
      </c>
      <c r="E50" s="65" t="s">
        <v>418</v>
      </c>
      <c r="F50" s="65"/>
      <c r="H50" s="65"/>
      <c r="I50" s="65"/>
      <c r="L50" s="65"/>
      <c r="M50" s="106"/>
      <c r="N50" s="321"/>
      <c r="O50" s="321"/>
      <c r="P50" s="65"/>
      <c r="Q50" s="65"/>
      <c r="R50" s="65"/>
      <c r="S50" s="65"/>
      <c r="V50" s="65"/>
      <c r="W50" s="65"/>
      <c r="X50" s="65"/>
      <c r="Y50" s="106"/>
      <c r="Z50" s="65"/>
      <c r="AA50" s="48"/>
      <c r="AJ50" s="150"/>
      <c r="AM50" s="13"/>
    </row>
    <row r="51" spans="1:39" ht="15" customHeight="1">
      <c r="A51" s="65"/>
      <c r="B51" s="107"/>
      <c r="C51" s="65" t="s">
        <v>191</v>
      </c>
      <c r="D51" s="43" t="s">
        <v>68</v>
      </c>
      <c r="E51" s="65" t="s">
        <v>419</v>
      </c>
      <c r="F51" s="65"/>
      <c r="H51" s="65"/>
      <c r="I51" s="65"/>
      <c r="L51" s="65"/>
      <c r="M51" s="106"/>
      <c r="N51" s="321"/>
      <c r="O51" s="321"/>
      <c r="P51" s="65"/>
      <c r="Q51" s="65"/>
      <c r="R51" s="65"/>
      <c r="S51" s="65"/>
      <c r="V51" s="65"/>
      <c r="W51" s="65"/>
      <c r="X51" s="65"/>
      <c r="Y51" s="106"/>
      <c r="Z51" s="65"/>
      <c r="AA51" s="48"/>
      <c r="AJ51" s="150"/>
      <c r="AM51" s="13"/>
    </row>
    <row r="52" spans="1:39" ht="15" customHeight="1">
      <c r="A52" s="65"/>
      <c r="B52" s="107"/>
      <c r="C52" s="65" t="s">
        <v>192</v>
      </c>
      <c r="D52" s="43" t="s">
        <v>68</v>
      </c>
      <c r="E52" s="65" t="s">
        <v>420</v>
      </c>
      <c r="F52" s="65"/>
      <c r="H52" s="65"/>
      <c r="I52" s="65"/>
      <c r="L52" s="65"/>
      <c r="M52" s="106"/>
      <c r="N52" s="321"/>
      <c r="O52" s="321"/>
      <c r="P52" s="65"/>
      <c r="Q52" s="65"/>
      <c r="R52" s="65"/>
      <c r="S52" s="65"/>
      <c r="V52" s="65"/>
      <c r="W52" s="65"/>
      <c r="X52" s="65"/>
      <c r="Y52" s="106"/>
      <c r="Z52" s="65"/>
      <c r="AA52" s="48"/>
      <c r="AJ52" s="150"/>
      <c r="AM52" s="13"/>
    </row>
    <row r="53" spans="1:39" ht="15" customHeight="1">
      <c r="A53" s="65"/>
      <c r="B53" s="107"/>
      <c r="C53" s="65" t="s">
        <v>193</v>
      </c>
      <c r="D53" s="43" t="s">
        <v>68</v>
      </c>
      <c r="E53" s="65" t="s">
        <v>421</v>
      </c>
      <c r="F53" s="65"/>
      <c r="H53" s="65"/>
      <c r="I53" s="65"/>
      <c r="L53" s="65"/>
      <c r="M53" s="106"/>
      <c r="N53" s="321"/>
      <c r="O53" s="321"/>
      <c r="P53" s="65"/>
      <c r="Q53" s="65"/>
      <c r="R53" s="65"/>
      <c r="S53" s="65"/>
      <c r="V53" s="65"/>
      <c r="W53" s="65"/>
      <c r="X53" s="65"/>
      <c r="Y53" s="106"/>
      <c r="Z53" s="65"/>
      <c r="AA53" s="48"/>
      <c r="AJ53" s="150"/>
      <c r="AM53" s="13"/>
    </row>
    <row r="54" spans="1:39" ht="15" customHeight="1">
      <c r="A54" s="65"/>
      <c r="B54" s="107"/>
      <c r="C54" s="65"/>
      <c r="D54" s="65"/>
      <c r="E54" s="43"/>
      <c r="F54" s="65"/>
      <c r="H54" s="65"/>
      <c r="J54" s="65"/>
      <c r="K54" s="65"/>
      <c r="L54" s="65"/>
      <c r="M54" s="106"/>
      <c r="N54" s="321"/>
      <c r="O54" s="326"/>
      <c r="Q54" s="65"/>
      <c r="R54" s="65"/>
      <c r="S54" s="65"/>
      <c r="X54" s="65"/>
      <c r="Y54" s="106"/>
      <c r="Z54" s="65"/>
      <c r="AA54" s="48"/>
      <c r="AJ54" s="150"/>
      <c r="AM54" s="13"/>
    </row>
    <row r="55" spans="1:39" ht="15" customHeight="1">
      <c r="A55" s="65"/>
      <c r="B55" s="107"/>
      <c r="C55" s="65"/>
      <c r="D55" s="65"/>
      <c r="E55" s="43"/>
      <c r="F55" s="65"/>
      <c r="G55" s="60"/>
      <c r="H55" s="65"/>
      <c r="J55" s="65"/>
      <c r="K55" s="65"/>
      <c r="L55" s="65"/>
      <c r="M55" s="106"/>
      <c r="N55" s="321"/>
      <c r="O55" s="321"/>
      <c r="P55" s="65"/>
      <c r="Q55" s="65"/>
      <c r="R55" s="65"/>
      <c r="S55" s="65"/>
      <c r="V55" s="65"/>
      <c r="W55" s="65"/>
      <c r="X55" s="65"/>
      <c r="Y55" s="106"/>
      <c r="Z55" s="65"/>
      <c r="AA55" s="48"/>
      <c r="AJ55" s="150"/>
      <c r="AM55" s="13"/>
    </row>
    <row r="56" spans="1:39" ht="15" customHeight="1">
      <c r="A56" s="65"/>
      <c r="B56" s="107"/>
      <c r="C56" s="65"/>
      <c r="D56" s="65"/>
      <c r="E56" s="43"/>
      <c r="F56" s="65"/>
      <c r="G56" s="60"/>
      <c r="H56" s="65"/>
      <c r="J56" s="65"/>
      <c r="K56" s="65"/>
      <c r="L56" s="65"/>
      <c r="M56" s="106"/>
      <c r="N56" s="321"/>
      <c r="O56" s="321"/>
      <c r="P56" s="65"/>
      <c r="Q56" s="65"/>
      <c r="R56" s="65"/>
      <c r="S56" s="65"/>
      <c r="V56" s="65"/>
      <c r="W56" s="65"/>
      <c r="X56" s="65"/>
      <c r="Y56" s="106"/>
      <c r="Z56" s="65"/>
      <c r="AA56" s="48"/>
      <c r="AJ56" s="150"/>
      <c r="AM56" s="13"/>
    </row>
    <row r="57" spans="1:39" ht="15" customHeight="1">
      <c r="A57" s="65"/>
      <c r="B57" s="107"/>
      <c r="C57" s="65"/>
      <c r="D57" s="65"/>
      <c r="E57" s="43"/>
      <c r="F57" s="65"/>
      <c r="G57" s="60"/>
      <c r="H57" s="65"/>
      <c r="J57" s="65"/>
      <c r="K57" s="65"/>
      <c r="L57" s="65"/>
      <c r="M57" s="106"/>
      <c r="N57" s="321"/>
      <c r="O57" s="321"/>
      <c r="P57" s="65"/>
      <c r="Q57" s="65"/>
      <c r="R57" s="65"/>
      <c r="S57" s="65"/>
      <c r="V57" s="65"/>
      <c r="W57" s="65"/>
      <c r="X57" s="65"/>
      <c r="Y57" s="106"/>
      <c r="Z57" s="65"/>
      <c r="AA57" s="48"/>
      <c r="AJ57" s="150"/>
      <c r="AM57" s="13"/>
    </row>
    <row r="58" spans="1:39" ht="15" customHeight="1">
      <c r="A58" s="65"/>
      <c r="B58" s="107"/>
      <c r="C58" s="65"/>
      <c r="D58" s="65"/>
      <c r="E58" s="43"/>
      <c r="F58" s="65"/>
      <c r="G58" s="60"/>
      <c r="H58" s="65"/>
      <c r="J58" s="65"/>
      <c r="K58" s="65"/>
      <c r="L58" s="65"/>
      <c r="M58" s="106"/>
      <c r="N58" s="321"/>
      <c r="O58" s="321"/>
      <c r="P58" s="65"/>
      <c r="Q58" s="65"/>
      <c r="R58" s="65"/>
      <c r="S58" s="65"/>
      <c r="V58" s="65"/>
      <c r="W58" s="65"/>
      <c r="X58" s="65"/>
      <c r="Y58" s="106"/>
      <c r="Z58" s="65"/>
      <c r="AA58" s="48"/>
      <c r="AJ58" s="150"/>
      <c r="AM58" s="13"/>
    </row>
    <row r="59" spans="1:39" ht="15" customHeight="1">
      <c r="A59" s="65"/>
      <c r="B59" s="107"/>
      <c r="C59" s="65"/>
      <c r="D59" s="65"/>
      <c r="E59" s="43"/>
      <c r="F59" s="65"/>
      <c r="G59" s="60"/>
      <c r="H59" s="65"/>
      <c r="J59" s="65"/>
      <c r="K59" s="65"/>
      <c r="L59" s="65"/>
      <c r="M59" s="106"/>
      <c r="N59" s="321"/>
      <c r="O59" s="321"/>
      <c r="P59" s="65"/>
      <c r="Q59" s="65"/>
      <c r="R59" s="65"/>
      <c r="S59" s="65"/>
      <c r="V59" s="65"/>
      <c r="W59" s="65"/>
      <c r="X59" s="65"/>
      <c r="Y59" s="106"/>
      <c r="Z59" s="65"/>
      <c r="AA59" s="48"/>
      <c r="AJ59" s="150"/>
      <c r="AM59" s="13"/>
    </row>
    <row r="60" spans="1:39" ht="15" customHeight="1">
      <c r="A60" s="65"/>
      <c r="B60" s="107"/>
      <c r="C60" s="65"/>
      <c r="D60" s="65"/>
      <c r="E60" s="43"/>
      <c r="F60" s="65"/>
      <c r="G60" s="60"/>
      <c r="H60" s="65"/>
      <c r="J60" s="65"/>
      <c r="K60" s="65"/>
      <c r="L60" s="65"/>
      <c r="M60" s="106"/>
      <c r="N60" s="321"/>
      <c r="O60" s="321"/>
      <c r="P60" s="65"/>
      <c r="Q60" s="65"/>
      <c r="R60" s="65"/>
      <c r="S60" s="65"/>
      <c r="V60" s="65"/>
      <c r="W60" s="65"/>
      <c r="X60" s="65"/>
      <c r="Y60" s="106"/>
      <c r="Z60" s="65"/>
      <c r="AA60" s="48"/>
      <c r="AJ60" s="150"/>
      <c r="AM60" s="13"/>
    </row>
    <row r="61" spans="1:39" ht="15" customHeight="1">
      <c r="A61" s="65"/>
      <c r="B61" s="107"/>
      <c r="C61" s="65"/>
      <c r="D61" s="65"/>
      <c r="E61" s="43"/>
      <c r="F61" s="65"/>
      <c r="G61" s="60"/>
      <c r="H61" s="65"/>
      <c r="J61" s="65"/>
      <c r="K61" s="65"/>
      <c r="L61" s="65"/>
      <c r="M61" s="106"/>
      <c r="N61" s="321"/>
      <c r="O61" s="321"/>
      <c r="P61" s="65"/>
      <c r="Q61" s="65"/>
      <c r="R61" s="65"/>
      <c r="S61" s="65"/>
      <c r="V61" s="65"/>
      <c r="W61" s="65"/>
      <c r="X61" s="65"/>
      <c r="Y61" s="106"/>
      <c r="Z61" s="65"/>
      <c r="AA61" s="48"/>
      <c r="AJ61" s="150"/>
      <c r="AM61" s="13"/>
    </row>
    <row r="62" spans="1:39" ht="15" customHeight="1">
      <c r="A62" s="65"/>
      <c r="B62" s="107"/>
      <c r="C62" s="65"/>
      <c r="D62" s="65"/>
      <c r="E62" s="43"/>
      <c r="F62" s="65"/>
      <c r="G62" s="60"/>
      <c r="H62" s="65"/>
      <c r="J62" s="65"/>
      <c r="K62" s="65"/>
      <c r="L62" s="65"/>
      <c r="M62" s="106"/>
      <c r="N62" s="321"/>
      <c r="O62" s="321"/>
      <c r="P62" s="65"/>
      <c r="Q62" s="65"/>
      <c r="R62" s="65"/>
      <c r="S62" s="65"/>
      <c r="V62" s="65"/>
      <c r="W62" s="65"/>
      <c r="X62" s="65"/>
      <c r="Y62" s="106"/>
      <c r="Z62" s="65"/>
      <c r="AA62" s="48"/>
      <c r="AJ62" s="150"/>
      <c r="AM62" s="13"/>
    </row>
    <row r="63" spans="1:39" ht="15" customHeight="1">
      <c r="A63" s="65"/>
      <c r="B63" s="107"/>
      <c r="C63" s="65"/>
      <c r="D63" s="65"/>
      <c r="E63" s="43"/>
      <c r="F63" s="65"/>
      <c r="G63" s="60"/>
      <c r="H63" s="65"/>
      <c r="J63" s="65"/>
      <c r="K63" s="65"/>
      <c r="L63" s="65"/>
      <c r="M63" s="106"/>
      <c r="N63" s="321"/>
      <c r="O63" s="321"/>
      <c r="P63" s="65"/>
      <c r="Q63" s="65"/>
      <c r="R63" s="65"/>
      <c r="S63" s="65"/>
      <c r="V63" s="65"/>
      <c r="W63" s="65"/>
      <c r="X63" s="65"/>
      <c r="Y63" s="106"/>
      <c r="Z63" s="65"/>
      <c r="AA63" s="48"/>
      <c r="AJ63" s="150"/>
      <c r="AM63" s="13"/>
    </row>
    <row r="64" spans="1:39" ht="15" customHeight="1">
      <c r="A64" s="65"/>
      <c r="B64" s="107"/>
      <c r="C64" s="65"/>
      <c r="D64" s="65"/>
      <c r="E64" s="43"/>
      <c r="F64" s="65"/>
      <c r="G64" s="60"/>
      <c r="H64" s="65"/>
      <c r="J64" s="65"/>
      <c r="K64" s="65"/>
      <c r="L64" s="65"/>
      <c r="M64" s="106"/>
      <c r="N64" s="321"/>
      <c r="O64" s="321"/>
      <c r="P64" s="65"/>
      <c r="Q64" s="65"/>
      <c r="R64" s="65"/>
      <c r="S64" s="65"/>
      <c r="V64" s="65"/>
      <c r="W64" s="65"/>
      <c r="X64" s="65"/>
      <c r="Y64" s="106"/>
      <c r="Z64" s="65"/>
      <c r="AA64" s="48"/>
      <c r="AJ64" s="150"/>
      <c r="AM64" s="13"/>
    </row>
    <row r="65" spans="1:39" ht="15" customHeight="1">
      <c r="A65" s="65"/>
      <c r="B65" s="330" t="s">
        <v>425</v>
      </c>
      <c r="C65" s="329" t="s">
        <v>424</v>
      </c>
      <c r="D65" s="43"/>
      <c r="E65" s="65"/>
      <c r="F65" s="60"/>
      <c r="H65" s="65"/>
      <c r="J65" s="65"/>
      <c r="K65" s="65"/>
      <c r="L65" s="65"/>
      <c r="M65" s="106"/>
      <c r="N65" s="321"/>
      <c r="O65" s="321"/>
      <c r="P65" s="65"/>
      <c r="Q65" s="65"/>
      <c r="R65" s="65"/>
      <c r="S65" s="65"/>
      <c r="V65" s="65"/>
      <c r="W65" s="65"/>
      <c r="X65" s="65"/>
      <c r="Y65" s="106"/>
      <c r="Z65" s="65"/>
      <c r="AA65" s="48"/>
      <c r="AJ65" s="150"/>
      <c r="AM65" s="13"/>
    </row>
    <row r="66" spans="1:39" ht="15" customHeight="1">
      <c r="A66" s="65"/>
      <c r="B66" s="107"/>
      <c r="C66" s="65"/>
      <c r="D66" s="54" t="s">
        <v>187</v>
      </c>
      <c r="E66" s="65"/>
      <c r="F66" s="60"/>
      <c r="H66" s="65"/>
      <c r="J66" s="65"/>
      <c r="K66" s="65"/>
      <c r="L66" s="65"/>
      <c r="M66" s="106"/>
      <c r="N66" s="321"/>
      <c r="O66" s="321"/>
      <c r="P66" s="65"/>
      <c r="Q66" s="65"/>
      <c r="R66" s="65"/>
      <c r="S66" s="65"/>
      <c r="V66" s="65"/>
      <c r="W66" s="65"/>
      <c r="X66" s="65"/>
      <c r="Y66" s="106"/>
      <c r="Z66" s="65"/>
      <c r="AA66" s="48"/>
      <c r="AJ66" s="150"/>
      <c r="AM66" s="13"/>
    </row>
    <row r="67" spans="1:39" ht="15" customHeight="1">
      <c r="A67" s="65"/>
      <c r="B67" s="107"/>
      <c r="D67" s="43" t="s">
        <v>349</v>
      </c>
      <c r="E67" s="65"/>
      <c r="F67" s="60"/>
      <c r="H67" s="65"/>
      <c r="J67" s="65"/>
      <c r="K67" s="65"/>
      <c r="L67" s="65"/>
      <c r="M67" s="106"/>
      <c r="N67" s="321"/>
      <c r="O67" s="321"/>
      <c r="P67" s="65"/>
      <c r="Q67" s="65"/>
      <c r="R67" s="65"/>
      <c r="S67" s="65"/>
      <c r="V67" s="65"/>
      <c r="W67" s="65"/>
      <c r="X67" s="65"/>
      <c r="Y67" s="106"/>
      <c r="Z67" s="65"/>
      <c r="AA67" s="48"/>
      <c r="AJ67" s="150"/>
      <c r="AM67" s="13"/>
    </row>
    <row r="68" spans="1:39" ht="15" customHeight="1">
      <c r="A68" s="65"/>
      <c r="B68" s="107"/>
      <c r="D68" s="224" t="s">
        <v>359</v>
      </c>
      <c r="E68" s="65"/>
      <c r="F68" s="60"/>
      <c r="H68" s="65"/>
      <c r="J68" s="65"/>
      <c r="K68" s="65"/>
      <c r="L68" s="65"/>
      <c r="M68" s="106"/>
      <c r="N68" s="321"/>
      <c r="O68" s="321"/>
      <c r="P68" s="65"/>
      <c r="Q68" s="65"/>
      <c r="R68" s="65"/>
      <c r="S68" s="65"/>
      <c r="V68" s="65"/>
      <c r="W68" s="65"/>
      <c r="X68" s="65"/>
      <c r="Y68" s="106"/>
      <c r="Z68" s="65"/>
      <c r="AA68" s="48"/>
      <c r="AJ68" s="150"/>
      <c r="AM68" s="13"/>
    </row>
    <row r="69" spans="1:39" ht="15" customHeight="1">
      <c r="A69" s="65"/>
      <c r="B69" s="107"/>
      <c r="D69" s="65" t="s">
        <v>360</v>
      </c>
      <c r="E69" s="65"/>
      <c r="F69" s="60"/>
      <c r="H69" s="65"/>
      <c r="J69" s="65"/>
      <c r="K69" s="65"/>
      <c r="L69" s="65"/>
      <c r="M69" s="106"/>
      <c r="N69" s="321"/>
      <c r="O69" s="321"/>
      <c r="P69" s="65"/>
      <c r="Q69" s="65"/>
      <c r="R69" s="65"/>
      <c r="S69" s="65"/>
      <c r="V69" s="65"/>
      <c r="W69" s="65"/>
      <c r="X69" s="65"/>
      <c r="Y69" s="106"/>
      <c r="Z69" s="65"/>
      <c r="AA69" s="48"/>
      <c r="AJ69" s="150"/>
      <c r="AM69" s="13"/>
    </row>
    <row r="70" spans="1:39" ht="15" customHeight="1">
      <c r="A70" s="65"/>
      <c r="B70" s="330" t="s">
        <v>425</v>
      </c>
      <c r="C70" s="331" t="s">
        <v>426</v>
      </c>
      <c r="D70" s="43"/>
      <c r="E70" s="65"/>
      <c r="F70" s="60"/>
      <c r="H70" s="65"/>
      <c r="J70" s="65"/>
      <c r="K70" s="65"/>
      <c r="L70" s="65"/>
      <c r="M70" s="106"/>
      <c r="N70" s="321"/>
      <c r="O70" s="321"/>
      <c r="P70" s="65"/>
      <c r="Q70" s="65"/>
      <c r="R70" s="65"/>
      <c r="S70" s="65"/>
      <c r="V70" s="65"/>
      <c r="W70" s="65"/>
      <c r="X70" s="65"/>
      <c r="Y70" s="106"/>
      <c r="Z70" s="65"/>
      <c r="AA70" s="48"/>
      <c r="AJ70" s="150"/>
      <c r="AM70" s="13"/>
    </row>
    <row r="71" spans="1:39" ht="15" customHeight="1">
      <c r="A71" s="65"/>
      <c r="B71" s="107"/>
      <c r="C71" s="65"/>
      <c r="D71" s="54" t="s">
        <v>188</v>
      </c>
      <c r="E71" s="65"/>
      <c r="F71" s="60"/>
      <c r="H71" s="65"/>
      <c r="J71" s="65"/>
      <c r="K71" s="65"/>
      <c r="L71" s="65"/>
      <c r="M71" s="106"/>
      <c r="N71" s="321"/>
      <c r="O71" s="321"/>
      <c r="P71" s="65"/>
      <c r="Q71" s="65"/>
      <c r="R71" s="65"/>
      <c r="S71" s="65"/>
      <c r="V71" s="65"/>
      <c r="W71" s="65"/>
      <c r="X71" s="65"/>
      <c r="Y71" s="106"/>
      <c r="Z71" s="65"/>
      <c r="AA71" s="48"/>
      <c r="AJ71" s="150"/>
      <c r="AM71" s="13"/>
    </row>
    <row r="72" spans="1:39" ht="15" customHeight="1">
      <c r="A72" s="65"/>
      <c r="B72" s="107"/>
      <c r="D72" s="43" t="s">
        <v>195</v>
      </c>
      <c r="E72" s="65"/>
      <c r="F72" s="60"/>
      <c r="H72" s="65"/>
      <c r="J72" s="65"/>
      <c r="K72" s="65"/>
      <c r="L72" s="65"/>
      <c r="M72" s="106"/>
      <c r="N72" s="321"/>
      <c r="O72" s="321"/>
      <c r="P72" s="65"/>
      <c r="Q72" s="65"/>
      <c r="R72" s="65"/>
      <c r="S72" s="65"/>
      <c r="V72" s="65"/>
      <c r="W72" s="65"/>
      <c r="X72" s="65"/>
      <c r="Y72" s="106"/>
      <c r="Z72" s="65"/>
      <c r="AA72" s="48"/>
      <c r="AJ72" s="150"/>
      <c r="AM72" s="13"/>
    </row>
    <row r="73" spans="1:39" ht="15" customHeight="1">
      <c r="A73" s="65"/>
      <c r="B73" s="107"/>
      <c r="C73" s="65"/>
      <c r="D73" s="65" t="s">
        <v>275</v>
      </c>
      <c r="E73" s="65"/>
      <c r="F73" s="60"/>
      <c r="H73" s="65"/>
      <c r="J73" s="65"/>
      <c r="K73" s="65"/>
      <c r="L73" s="65"/>
      <c r="M73" s="106"/>
      <c r="N73" s="321"/>
      <c r="O73" s="321"/>
      <c r="P73" s="65"/>
      <c r="Q73" s="65"/>
      <c r="R73" s="65"/>
      <c r="S73" s="65"/>
      <c r="V73" s="65"/>
      <c r="W73" s="65"/>
      <c r="X73" s="65"/>
      <c r="Y73" s="106"/>
      <c r="Z73" s="65"/>
      <c r="AA73" s="48"/>
      <c r="AJ73" s="150"/>
      <c r="AM73" s="13"/>
    </row>
    <row r="74" spans="1:39" ht="15" customHeight="1">
      <c r="A74" s="65"/>
      <c r="B74" s="107"/>
      <c r="C74" s="65"/>
      <c r="D74" s="43" t="s">
        <v>361</v>
      </c>
      <c r="E74" s="65"/>
      <c r="F74" s="60"/>
      <c r="H74" s="65"/>
      <c r="J74" s="65"/>
      <c r="K74" s="65"/>
      <c r="L74" s="65"/>
      <c r="M74" s="106"/>
      <c r="N74" s="321"/>
      <c r="O74" s="321"/>
      <c r="P74" s="65"/>
      <c r="Q74" s="65"/>
      <c r="R74" s="65"/>
      <c r="S74" s="65"/>
      <c r="V74" s="65"/>
      <c r="W74" s="65"/>
      <c r="X74" s="65"/>
      <c r="Y74" s="106"/>
      <c r="Z74" s="65"/>
      <c r="AA74" s="48"/>
      <c r="AJ74" s="150"/>
      <c r="AM74" s="13"/>
    </row>
    <row r="75" spans="1:39" ht="15" customHeight="1">
      <c r="A75" s="65"/>
      <c r="B75" s="330" t="s">
        <v>425</v>
      </c>
      <c r="C75" s="331" t="s">
        <v>427</v>
      </c>
      <c r="D75" s="43"/>
      <c r="E75" s="65"/>
      <c r="F75" s="60"/>
      <c r="H75" s="65"/>
      <c r="J75" s="65"/>
      <c r="K75" s="65"/>
      <c r="L75" s="65"/>
      <c r="M75" s="106"/>
      <c r="N75" s="321"/>
      <c r="O75" s="321"/>
      <c r="P75" s="65"/>
      <c r="Q75" s="65"/>
      <c r="R75" s="65"/>
      <c r="S75" s="65"/>
      <c r="V75" s="65"/>
      <c r="W75" s="65"/>
      <c r="X75" s="65"/>
      <c r="Y75" s="106"/>
      <c r="Z75" s="65"/>
      <c r="AA75" s="48"/>
      <c r="AJ75" s="150"/>
      <c r="AM75" s="13"/>
    </row>
    <row r="76" spans="1:39" ht="15" customHeight="1">
      <c r="A76" s="65"/>
      <c r="B76" s="107"/>
      <c r="C76" s="65"/>
      <c r="D76" s="54" t="s">
        <v>194</v>
      </c>
      <c r="E76" s="65"/>
      <c r="F76" s="60"/>
      <c r="H76" s="65"/>
      <c r="J76" s="65"/>
      <c r="K76" s="65"/>
      <c r="L76" s="65"/>
      <c r="M76" s="106"/>
      <c r="N76" s="321"/>
      <c r="O76" s="321"/>
      <c r="P76" s="65"/>
      <c r="Q76" s="65"/>
      <c r="R76" s="65"/>
      <c r="S76" s="65"/>
      <c r="V76" s="65"/>
      <c r="W76" s="65"/>
      <c r="X76" s="65"/>
      <c r="Y76" s="106"/>
      <c r="Z76" s="65"/>
      <c r="AA76" s="48"/>
      <c r="AJ76" s="150"/>
      <c r="AM76" s="13"/>
    </row>
    <row r="77" spans="1:39" ht="15" customHeight="1">
      <c r="A77" s="65"/>
      <c r="B77" s="107"/>
      <c r="D77" s="43" t="s">
        <v>196</v>
      </c>
      <c r="E77" s="65"/>
      <c r="F77" s="60"/>
      <c r="H77" s="65"/>
      <c r="J77" s="65"/>
      <c r="K77" s="65"/>
      <c r="L77" s="65"/>
      <c r="M77" s="106"/>
      <c r="N77" s="321"/>
      <c r="O77" s="321"/>
      <c r="P77" s="65"/>
      <c r="Q77" s="65"/>
      <c r="R77" s="65"/>
      <c r="S77" s="65"/>
      <c r="V77" s="65"/>
      <c r="W77" s="65"/>
      <c r="X77" s="65"/>
      <c r="Y77" s="106"/>
      <c r="Z77" s="65"/>
      <c r="AA77" s="48"/>
      <c r="AJ77" s="150"/>
      <c r="AM77" s="13"/>
    </row>
    <row r="78" spans="1:39" ht="15" customHeight="1">
      <c r="A78" s="65"/>
      <c r="B78" s="107"/>
      <c r="C78" s="65"/>
      <c r="D78" s="65" t="s">
        <v>197</v>
      </c>
      <c r="E78" s="172">
        <v>3</v>
      </c>
      <c r="F78" s="54" t="s">
        <v>198</v>
      </c>
      <c r="H78" s="172"/>
      <c r="J78" s="65"/>
      <c r="K78" s="65"/>
      <c r="L78" s="65"/>
      <c r="M78" s="106"/>
      <c r="N78" s="321"/>
      <c r="O78" s="321"/>
      <c r="P78" s="65"/>
      <c r="Q78" s="65"/>
      <c r="R78" s="65"/>
      <c r="S78" s="65"/>
      <c r="V78" s="65"/>
      <c r="W78" s="65"/>
      <c r="X78" s="65"/>
      <c r="Y78" s="106"/>
      <c r="Z78" s="65"/>
      <c r="AA78" s="48"/>
      <c r="AJ78" s="150"/>
      <c r="AM78" s="13"/>
    </row>
    <row r="79" spans="1:39" ht="15" customHeight="1">
      <c r="A79" s="65"/>
      <c r="B79" s="330" t="s">
        <v>425</v>
      </c>
      <c r="C79" s="331" t="s">
        <v>428</v>
      </c>
      <c r="D79" s="43"/>
      <c r="E79" s="65"/>
      <c r="F79" s="60"/>
      <c r="H79" s="65"/>
      <c r="J79" s="65"/>
      <c r="K79" s="65"/>
      <c r="L79" s="65"/>
      <c r="M79" s="106"/>
      <c r="N79" s="321"/>
      <c r="O79" s="321"/>
      <c r="P79" s="65"/>
      <c r="Q79" s="65"/>
      <c r="R79" s="65"/>
      <c r="S79" s="65"/>
      <c r="V79" s="65"/>
      <c r="W79" s="65"/>
      <c r="X79" s="65"/>
      <c r="Y79" s="106"/>
      <c r="Z79" s="65"/>
      <c r="AA79" s="48"/>
      <c r="AJ79" s="150"/>
      <c r="AM79" s="13"/>
    </row>
    <row r="80" spans="1:39" ht="15" customHeight="1">
      <c r="A80" s="65"/>
      <c r="B80" s="107"/>
      <c r="C80" s="65"/>
      <c r="D80" s="65" t="s">
        <v>199</v>
      </c>
      <c r="E80" s="65"/>
      <c r="F80" s="60"/>
      <c r="H80" s="65"/>
      <c r="J80" s="65"/>
      <c r="K80" s="65"/>
      <c r="L80" s="65"/>
      <c r="M80" s="106"/>
      <c r="N80" s="321"/>
      <c r="O80" s="321"/>
      <c r="P80" s="65"/>
      <c r="Q80" s="65"/>
      <c r="R80" s="65"/>
      <c r="S80" s="65"/>
      <c r="V80" s="65"/>
      <c r="W80" s="65"/>
      <c r="X80" s="65"/>
      <c r="Y80" s="106"/>
      <c r="Z80" s="65"/>
      <c r="AA80" s="48"/>
      <c r="AJ80" s="150"/>
      <c r="AM80" s="13"/>
    </row>
    <row r="81" spans="1:45" ht="15" customHeight="1">
      <c r="A81" s="65"/>
      <c r="B81" s="107"/>
      <c r="D81" s="65" t="s">
        <v>95</v>
      </c>
      <c r="E81" s="65"/>
      <c r="F81" s="60"/>
      <c r="H81" s="65"/>
      <c r="J81" s="65"/>
      <c r="K81" s="65"/>
      <c r="L81" s="65"/>
      <c r="M81" s="106"/>
      <c r="N81" s="321"/>
      <c r="O81" s="321"/>
      <c r="P81" s="65"/>
      <c r="Q81" s="65"/>
      <c r="R81" s="65"/>
      <c r="S81" s="65"/>
      <c r="V81" s="65"/>
      <c r="W81" s="65"/>
      <c r="X81" s="65"/>
      <c r="Y81" s="106"/>
      <c r="Z81" s="65"/>
      <c r="AA81" s="48"/>
      <c r="AJ81" s="150"/>
      <c r="AM81" s="13"/>
    </row>
    <row r="82" spans="1:45" ht="15" customHeight="1">
      <c r="A82" s="65"/>
      <c r="B82" s="77"/>
      <c r="C82" s="65"/>
      <c r="D82" s="65"/>
      <c r="E82" s="43"/>
      <c r="F82" s="77"/>
      <c r="H82" s="65"/>
      <c r="I82" s="65"/>
      <c r="J82" s="65"/>
      <c r="K82" s="65"/>
      <c r="L82" s="54"/>
      <c r="M82" s="65"/>
      <c r="N82" s="321"/>
      <c r="O82" s="321"/>
      <c r="P82" s="65"/>
      <c r="Q82" s="65"/>
      <c r="R82" s="65"/>
      <c r="S82" s="65"/>
      <c r="T82" s="65"/>
      <c r="U82" s="65"/>
      <c r="V82" s="65"/>
      <c r="W82" s="65"/>
      <c r="X82" s="65"/>
      <c r="Y82" s="76"/>
      <c r="Z82" s="65"/>
      <c r="AA82" s="65"/>
      <c r="AJ82" s="150"/>
      <c r="AM82" s="13"/>
    </row>
    <row r="83" spans="1:45" ht="15" customHeight="1">
      <c r="A83" s="65"/>
      <c r="B83" s="73"/>
      <c r="C83" s="271" t="s">
        <v>85</v>
      </c>
      <c r="D83" s="272" t="s">
        <v>73</v>
      </c>
      <c r="E83" s="152" t="s">
        <v>83</v>
      </c>
      <c r="F83" s="73"/>
      <c r="H83" s="65"/>
      <c r="I83" s="65"/>
      <c r="J83" s="65"/>
      <c r="K83" s="65"/>
      <c r="L83" s="65"/>
      <c r="M83" s="65"/>
      <c r="N83" s="321"/>
      <c r="O83" s="321"/>
      <c r="P83" s="65"/>
      <c r="Q83" s="65"/>
      <c r="R83" s="65"/>
      <c r="S83" s="65"/>
      <c r="T83" s="65"/>
      <c r="U83" s="65"/>
      <c r="V83" s="65"/>
      <c r="W83" s="65"/>
      <c r="X83" s="65"/>
      <c r="Y83" s="72"/>
      <c r="Z83" s="65"/>
      <c r="AA83" s="65"/>
      <c r="AJ83" s="150"/>
      <c r="AM83" s="13"/>
    </row>
    <row r="84" spans="1:45" ht="15" customHeight="1">
      <c r="A84" s="45"/>
      <c r="B84" s="65"/>
      <c r="C84" s="271"/>
      <c r="D84" s="272"/>
      <c r="E84" s="151" t="s">
        <v>84</v>
      </c>
      <c r="F84" s="65"/>
      <c r="H84" s="65"/>
      <c r="I84" s="65"/>
      <c r="J84" s="65"/>
      <c r="K84" s="65"/>
      <c r="L84" s="65"/>
      <c r="M84" s="65"/>
      <c r="N84" s="321"/>
      <c r="O84" s="321"/>
      <c r="P84" s="65"/>
      <c r="Q84" s="65"/>
      <c r="R84" s="65"/>
      <c r="S84" s="65"/>
      <c r="T84" s="65"/>
      <c r="U84" s="65"/>
      <c r="V84" s="65"/>
      <c r="W84" s="65"/>
      <c r="X84" s="65"/>
      <c r="Y84" s="68"/>
      <c r="Z84" s="65"/>
      <c r="AA84" s="65"/>
      <c r="AJ84" s="150"/>
      <c r="AM84" s="13"/>
    </row>
    <row r="85" spans="1:45" ht="15" customHeight="1">
      <c r="A85" s="65"/>
      <c r="B85" s="65"/>
      <c r="C85" s="271" t="s">
        <v>86</v>
      </c>
      <c r="D85" s="272" t="s">
        <v>73</v>
      </c>
      <c r="E85" s="277" t="s">
        <v>422</v>
      </c>
      <c r="F85" s="277"/>
      <c r="G85" s="277"/>
      <c r="H85" s="65"/>
      <c r="I85" s="65"/>
      <c r="J85" s="65"/>
      <c r="K85" s="65"/>
      <c r="L85" s="65"/>
      <c r="N85" s="321"/>
      <c r="O85" s="321"/>
      <c r="P85" s="65"/>
      <c r="Q85" s="65"/>
      <c r="R85" s="65"/>
      <c r="S85" s="65"/>
      <c r="T85" s="65"/>
      <c r="U85" s="65"/>
      <c r="V85" s="65"/>
      <c r="W85" s="65"/>
      <c r="X85" s="65"/>
      <c r="Y85" s="68"/>
      <c r="Z85" s="65"/>
      <c r="AA85" s="65"/>
      <c r="AJ85" s="150"/>
      <c r="AM85" s="13"/>
    </row>
    <row r="86" spans="1:45" ht="15" customHeight="1">
      <c r="A86" s="65"/>
      <c r="B86" s="65"/>
      <c r="C86" s="271"/>
      <c r="D86" s="272"/>
      <c r="E86" s="54" t="s">
        <v>423</v>
      </c>
      <c r="F86" s="65"/>
      <c r="G86" s="65"/>
      <c r="H86" s="65"/>
      <c r="I86" s="65"/>
      <c r="J86" s="65"/>
      <c r="K86" s="65"/>
      <c r="L86" s="65"/>
      <c r="M86" s="65"/>
      <c r="N86" s="321"/>
      <c r="O86" s="321"/>
      <c r="P86" s="65"/>
      <c r="Q86" s="65"/>
      <c r="R86" s="65"/>
      <c r="S86" s="65"/>
      <c r="T86" s="65"/>
      <c r="U86" s="65"/>
      <c r="V86" s="65"/>
      <c r="W86" s="65"/>
      <c r="X86" s="65"/>
      <c r="Y86" s="68"/>
      <c r="Z86" s="65"/>
      <c r="AA86" s="65"/>
      <c r="AJ86" s="150"/>
      <c r="AM86" s="13"/>
    </row>
    <row r="87" spans="1:45" ht="15" customHeight="1">
      <c r="A87" s="65"/>
      <c r="B87" s="65"/>
      <c r="C87" s="65"/>
      <c r="D87" s="65"/>
      <c r="F87" s="65"/>
      <c r="G87" s="65"/>
      <c r="H87" s="65"/>
      <c r="I87" s="65"/>
      <c r="J87" s="65"/>
      <c r="K87" s="65"/>
      <c r="L87" s="65"/>
      <c r="M87" s="65"/>
      <c r="N87" s="321"/>
      <c r="O87" s="321"/>
      <c r="P87" s="65"/>
      <c r="Q87" s="65"/>
      <c r="R87" s="65"/>
      <c r="S87" s="65"/>
      <c r="T87" s="65"/>
      <c r="U87" s="65"/>
      <c r="V87" s="65"/>
      <c r="W87" s="65"/>
      <c r="X87" s="65"/>
      <c r="Y87" s="68"/>
      <c r="Z87" s="65"/>
      <c r="AA87" s="65"/>
      <c r="AJ87" s="150"/>
      <c r="AM87" s="13"/>
    </row>
    <row r="88" spans="1:45" ht="15" customHeight="1">
      <c r="A88" s="65"/>
      <c r="B88" s="65"/>
      <c r="C88" s="65" t="s">
        <v>89</v>
      </c>
      <c r="D88" s="43" t="s">
        <v>67</v>
      </c>
      <c r="E88" s="65" t="s">
        <v>88</v>
      </c>
      <c r="F88" s="65"/>
      <c r="H88" s="65"/>
      <c r="I88" s="65"/>
      <c r="J88" s="65"/>
      <c r="K88" s="65"/>
      <c r="L88" s="65"/>
      <c r="M88" s="65"/>
      <c r="N88" s="321"/>
      <c r="O88" s="321"/>
      <c r="P88" s="65"/>
      <c r="Q88" s="65"/>
      <c r="R88" s="65"/>
      <c r="S88" s="65"/>
      <c r="T88" s="65"/>
      <c r="U88" s="65"/>
      <c r="V88" s="65"/>
      <c r="W88" s="65"/>
      <c r="X88" s="65"/>
      <c r="Y88" s="74"/>
      <c r="Z88" s="65"/>
      <c r="AA88" s="65"/>
      <c r="AJ88" s="150"/>
      <c r="AM88" s="13"/>
    </row>
    <row r="89" spans="1:45" ht="15" customHeight="1">
      <c r="A89" s="65"/>
      <c r="B89" s="65"/>
      <c r="C89" s="65" t="s">
        <v>90</v>
      </c>
      <c r="D89" s="43" t="s">
        <v>67</v>
      </c>
      <c r="E89" s="65" t="s">
        <v>154</v>
      </c>
      <c r="F89" s="65"/>
      <c r="H89" s="65"/>
      <c r="I89" s="65"/>
      <c r="J89" s="65"/>
      <c r="K89" s="65"/>
      <c r="L89" s="65"/>
      <c r="M89" s="65"/>
      <c r="N89" s="321"/>
      <c r="O89" s="321"/>
      <c r="P89" s="65"/>
      <c r="Q89" s="65"/>
      <c r="R89" s="65"/>
      <c r="S89" s="65"/>
      <c r="T89" s="65"/>
      <c r="U89" s="65"/>
      <c r="V89" s="65"/>
      <c r="W89" s="65"/>
      <c r="X89" s="65"/>
      <c r="Y89" s="74"/>
      <c r="Z89" s="65"/>
      <c r="AA89" s="65"/>
      <c r="AJ89" s="150"/>
      <c r="AM89" s="13"/>
    </row>
    <row r="90" spans="1:45" ht="15" customHeight="1">
      <c r="A90" s="65"/>
      <c r="B90" s="65"/>
      <c r="C90" s="65" t="s">
        <v>200</v>
      </c>
      <c r="D90" s="43" t="s">
        <v>67</v>
      </c>
      <c r="E90" s="65" t="s">
        <v>201</v>
      </c>
      <c r="F90" s="75"/>
      <c r="H90" s="65"/>
      <c r="K90" s="65"/>
      <c r="L90" s="54"/>
      <c r="N90" s="321"/>
      <c r="O90" s="321"/>
      <c r="P90" s="65"/>
      <c r="Q90" s="65"/>
      <c r="R90" s="65"/>
      <c r="S90" s="65"/>
      <c r="T90" s="65"/>
      <c r="U90" s="65"/>
      <c r="V90" s="65"/>
      <c r="W90" s="65"/>
      <c r="X90" s="65"/>
      <c r="Y90" s="76"/>
      <c r="Z90" s="65"/>
      <c r="AA90" s="65"/>
      <c r="AJ90" s="150"/>
      <c r="AM90" s="13"/>
    </row>
    <row r="91" spans="1:45" ht="15" customHeight="1">
      <c r="A91" s="65"/>
      <c r="B91" s="65"/>
      <c r="C91" s="65"/>
      <c r="D91" s="65"/>
      <c r="E91" s="65" t="s">
        <v>87</v>
      </c>
      <c r="F91" s="65"/>
      <c r="G91" s="65"/>
      <c r="H91" s="65"/>
      <c r="I91" s="65"/>
      <c r="J91" s="65"/>
      <c r="K91" s="65"/>
      <c r="L91" s="65"/>
      <c r="M91" s="65"/>
      <c r="N91" s="327"/>
      <c r="O91" s="327"/>
      <c r="P91" s="65"/>
      <c r="Q91" s="65"/>
      <c r="R91" s="65"/>
      <c r="S91" s="65"/>
      <c r="T91" s="65"/>
      <c r="U91" s="65"/>
      <c r="V91" s="65"/>
      <c r="W91" s="65"/>
      <c r="X91" s="65"/>
      <c r="Y91" s="76"/>
      <c r="Z91" s="65"/>
      <c r="AA91" s="65"/>
      <c r="AJ91" s="150"/>
      <c r="AM91" s="13"/>
    </row>
    <row r="92" spans="1:45" ht="15" customHeight="1">
      <c r="A92" s="65"/>
      <c r="B92" s="65"/>
      <c r="C92" s="65"/>
      <c r="D92" s="65"/>
      <c r="E92" s="43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260"/>
      <c r="Z92" s="65"/>
      <c r="AA92" s="65"/>
      <c r="AD92" s="171"/>
      <c r="AF92" s="171"/>
      <c r="AJ92" s="150"/>
      <c r="AM92" s="13"/>
    </row>
    <row r="93" spans="1:45" ht="15" customHeight="1">
      <c r="A93" s="65"/>
      <c r="B93" s="65"/>
      <c r="C93" s="65"/>
      <c r="D93" s="65"/>
      <c r="E93" s="43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260"/>
      <c r="Z93" s="65"/>
      <c r="AA93" s="65"/>
      <c r="AD93" s="171"/>
      <c r="AF93" s="171"/>
      <c r="AJ93" s="150"/>
      <c r="AM93" s="13"/>
    </row>
    <row r="94" spans="1:45" ht="15" customHeight="1" thickBot="1">
      <c r="A94" s="143" t="s">
        <v>282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72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72"/>
      <c r="Z94" s="65"/>
      <c r="AA94" s="65"/>
      <c r="AB94" s="144"/>
      <c r="AJ94" s="150"/>
      <c r="AM94" s="13"/>
    </row>
    <row r="95" spans="1:45" ht="15" customHeight="1">
      <c r="A95" s="163" t="s">
        <v>3</v>
      </c>
      <c r="B95" s="273" t="s">
        <v>206</v>
      </c>
      <c r="C95" s="276"/>
      <c r="D95" s="276"/>
      <c r="E95" s="276"/>
      <c r="F95" s="276"/>
      <c r="G95" s="276"/>
      <c r="H95" s="275"/>
      <c r="I95" s="273" t="s">
        <v>207</v>
      </c>
      <c r="J95" s="276"/>
      <c r="K95" s="275"/>
      <c r="L95" s="158" t="s">
        <v>11</v>
      </c>
      <c r="M95" s="158" t="s">
        <v>94</v>
      </c>
      <c r="N95" s="159" t="s">
        <v>12</v>
      </c>
      <c r="R95" s="145"/>
      <c r="S95" s="11"/>
      <c r="T95" s="145"/>
      <c r="U95" s="11"/>
      <c r="V95" s="11"/>
      <c r="W95" s="11"/>
      <c r="X95" s="11"/>
      <c r="Y95" s="11"/>
      <c r="Z95" s="11"/>
      <c r="AA95" s="11"/>
      <c r="AC95" s="11"/>
      <c r="AD95" s="11"/>
      <c r="AF95" s="11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</row>
    <row r="96" spans="1:45" ht="15" customHeight="1">
      <c r="A96" s="164"/>
      <c r="B96" s="157" t="s">
        <v>203</v>
      </c>
      <c r="C96" s="157" t="s">
        <v>268</v>
      </c>
      <c r="D96" s="157" t="s">
        <v>340</v>
      </c>
      <c r="E96" s="157" t="s">
        <v>341</v>
      </c>
      <c r="F96" s="157" t="s">
        <v>204</v>
      </c>
      <c r="G96" s="157" t="s">
        <v>279</v>
      </c>
      <c r="H96" s="157" t="s">
        <v>205</v>
      </c>
      <c r="I96" s="157" t="s">
        <v>274</v>
      </c>
      <c r="J96" s="157" t="s">
        <v>208</v>
      </c>
      <c r="K96" s="157" t="s">
        <v>209</v>
      </c>
      <c r="L96" s="157"/>
      <c r="M96" s="157"/>
      <c r="N96" s="160"/>
      <c r="R96" s="145"/>
      <c r="S96" s="11"/>
      <c r="T96" s="145"/>
      <c r="U96" s="11"/>
      <c r="V96" s="11"/>
      <c r="W96" s="11"/>
      <c r="X96" s="11"/>
      <c r="Y96" s="11"/>
      <c r="Z96" s="11"/>
      <c r="AA96" s="11"/>
      <c r="AC96" s="11"/>
      <c r="AD96" s="11"/>
      <c r="AF96" s="11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</row>
    <row r="97" spans="1:45" ht="15" customHeight="1">
      <c r="A97" s="147"/>
      <c r="B97" s="244"/>
      <c r="C97" s="185"/>
      <c r="D97" s="185"/>
      <c r="E97" s="247"/>
      <c r="F97" s="186">
        <f>(C97*7.85+(D97+E97)*2.5)/10^5/2</f>
        <v>0</v>
      </c>
      <c r="G97" s="2"/>
      <c r="H97" s="2">
        <f>F97*G97*B97^2/12/10^6</f>
        <v>0</v>
      </c>
      <c r="I97" s="2"/>
      <c r="J97" s="2"/>
      <c r="K97" s="2" t="e">
        <f>0.5*J97/I97*B97*B97/12/10^6</f>
        <v>#DIV/0!</v>
      </c>
      <c r="L97" s="2" t="e">
        <f>0.5*$E$78/I97*B97*B97/12/10^6</f>
        <v>#DIV/0!</v>
      </c>
      <c r="M97" s="113"/>
      <c r="N97" s="188"/>
      <c r="R97" s="171"/>
      <c r="S97" s="11"/>
      <c r="T97" s="171"/>
      <c r="U97" s="11"/>
      <c r="V97" s="11"/>
      <c r="W97" s="11"/>
      <c r="X97" s="11"/>
      <c r="Y97" s="11"/>
      <c r="Z97" s="11"/>
      <c r="AA97" s="11"/>
      <c r="AC97" s="11"/>
      <c r="AD97" s="11"/>
      <c r="AF97" s="11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</row>
    <row r="98" spans="1:45" ht="1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72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72"/>
      <c r="Z98" s="65"/>
      <c r="AA98" s="65"/>
      <c r="AJ98" s="150"/>
      <c r="AM98" s="13"/>
    </row>
    <row r="99" spans="1:45" ht="15" customHeight="1" thickBot="1">
      <c r="A99" s="143" t="s">
        <v>283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76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76"/>
      <c r="Z99" s="65"/>
      <c r="AA99" s="65"/>
      <c r="AJ99" s="150"/>
      <c r="AM99" s="13"/>
    </row>
    <row r="100" spans="1:45" ht="15" customHeight="1">
      <c r="A100" s="225" t="s">
        <v>3</v>
      </c>
      <c r="B100" s="273" t="s">
        <v>93</v>
      </c>
      <c r="C100" s="275"/>
      <c r="D100" s="161" t="s">
        <v>166</v>
      </c>
      <c r="E100" s="226" t="s">
        <v>16</v>
      </c>
      <c r="F100" s="226" t="s">
        <v>17</v>
      </c>
      <c r="G100" s="226" t="s">
        <v>200</v>
      </c>
      <c r="H100" s="226" t="s">
        <v>96</v>
      </c>
      <c r="I100" s="226" t="s">
        <v>13</v>
      </c>
      <c r="J100" s="226" t="s">
        <v>14</v>
      </c>
      <c r="K100" s="226" t="s">
        <v>2</v>
      </c>
      <c r="L100" s="226" t="s">
        <v>153</v>
      </c>
      <c r="M100" s="226" t="s">
        <v>202</v>
      </c>
      <c r="N100" s="230" t="s">
        <v>159</v>
      </c>
      <c r="Q100" s="145"/>
      <c r="R100" s="11"/>
      <c r="S100" s="145"/>
      <c r="T100" s="11"/>
      <c r="U100" s="11"/>
      <c r="V100" s="11"/>
      <c r="W100" s="11"/>
      <c r="X100" s="11"/>
      <c r="Y100" s="11"/>
      <c r="Z100" s="11"/>
      <c r="AA100" s="11"/>
      <c r="AC100" s="11"/>
      <c r="AD100" s="11"/>
      <c r="AF100" s="11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</row>
    <row r="101" spans="1:45" ht="15" customHeight="1">
      <c r="A101" s="227"/>
      <c r="B101" s="228" t="s">
        <v>92</v>
      </c>
      <c r="C101" s="228" t="s">
        <v>97</v>
      </c>
      <c r="D101" s="165" t="s">
        <v>222</v>
      </c>
      <c r="E101" s="228"/>
      <c r="F101" s="228"/>
      <c r="G101" s="228"/>
      <c r="H101" s="228"/>
      <c r="I101" s="228"/>
      <c r="J101" s="228"/>
      <c r="K101" s="228"/>
      <c r="L101" s="228"/>
      <c r="M101" s="228"/>
      <c r="N101" s="229"/>
      <c r="Q101" s="145"/>
      <c r="R101" s="11"/>
      <c r="S101" s="145"/>
      <c r="T101" s="11"/>
      <c r="U101" s="11"/>
      <c r="V101" s="11"/>
      <c r="W101" s="11"/>
      <c r="X101" s="11"/>
      <c r="Y101" s="11"/>
      <c r="Z101" s="11"/>
      <c r="AA101" s="11"/>
      <c r="AC101" s="11"/>
      <c r="AD101" s="11"/>
      <c r="AF101" s="11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</row>
    <row r="102" spans="1:45" ht="15" customHeight="1">
      <c r="A102" s="147">
        <f>A97</f>
        <v>0</v>
      </c>
      <c r="B102" s="2"/>
      <c r="C102" s="2"/>
      <c r="D102" s="255" t="str">
        <f>IF(B102&lt;=0,"Positive","Negative")</f>
        <v>Positive</v>
      </c>
      <c r="E102" s="148"/>
      <c r="F102" s="2"/>
      <c r="G102" s="189"/>
      <c r="H102" s="2"/>
      <c r="I102" s="148" t="e">
        <f>1*1*PI()^2*Es/((B97/F102)^2)</f>
        <v>#REF!</v>
      </c>
      <c r="J102" s="148"/>
      <c r="K102" s="2">
        <f>IF(D102="Positive",IF(B97&lt;=IF(B102=0,0,1.2*J102*SQRT(1*1*Fyf/ABS(B102))),H102,H102*MAX(0.85/(1-ABS(B102)/I102),1)),H102)</f>
        <v>0</v>
      </c>
      <c r="L102" s="148"/>
      <c r="M102" s="149" t="e">
        <f t="shared" ref="M102" si="0">IF(ABS(K102)&lt;=0.6*Fyf,"OK","NG")</f>
        <v>#REF!</v>
      </c>
      <c r="N102" s="220" t="str">
        <f t="shared" ref="N102" si="1">IF(K102=0,"Inf",0.6*Fyf/ABS(K102))</f>
        <v>Inf</v>
      </c>
      <c r="Q102" s="171"/>
      <c r="R102" s="11"/>
      <c r="S102" s="171"/>
      <c r="T102" s="11"/>
      <c r="U102" s="11"/>
      <c r="V102" s="11"/>
      <c r="W102" s="11"/>
      <c r="X102" s="11"/>
      <c r="Y102" s="11"/>
      <c r="Z102" s="11"/>
      <c r="AA102" s="11"/>
      <c r="AC102" s="11"/>
      <c r="AD102" s="11"/>
      <c r="AF102" s="11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</row>
    <row r="103" spans="1:45" ht="1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76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76"/>
      <c r="Z103" s="65"/>
      <c r="AA103" s="65"/>
      <c r="AJ103" s="150"/>
      <c r="AM103" s="13"/>
    </row>
    <row r="104" spans="1:45" ht="1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8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8"/>
      <c r="Z104" s="65"/>
      <c r="AA104" s="65"/>
      <c r="AJ104" s="150"/>
      <c r="AM104" s="13"/>
    </row>
    <row r="105" spans="1:45" ht="15" customHeight="1">
      <c r="A105" s="312" t="s">
        <v>429</v>
      </c>
      <c r="B105" s="25"/>
      <c r="C105" s="65"/>
      <c r="D105" s="43"/>
      <c r="E105" s="65"/>
      <c r="F105" s="65"/>
      <c r="G105" s="65"/>
      <c r="H105" s="65"/>
      <c r="I105" s="65"/>
      <c r="J105" s="65"/>
      <c r="K105" s="106"/>
      <c r="L105" s="54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106"/>
      <c r="Z105" s="65"/>
      <c r="AA105" s="65"/>
      <c r="AJ105" s="150"/>
      <c r="AM105" s="13"/>
    </row>
    <row r="106" spans="1:45" ht="15" customHeight="1" thickBot="1">
      <c r="A106" s="312"/>
      <c r="B106" s="25"/>
      <c r="C106" s="65"/>
      <c r="D106" s="43"/>
      <c r="E106" s="65"/>
      <c r="F106" s="65"/>
      <c r="G106" s="65"/>
      <c r="H106" s="65"/>
      <c r="I106" s="65"/>
      <c r="J106" s="65"/>
      <c r="K106" s="260"/>
      <c r="L106" s="54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260"/>
      <c r="Z106" s="65"/>
      <c r="AA106" s="65"/>
      <c r="AD106" s="171"/>
      <c r="AF106" s="171"/>
      <c r="AJ106" s="150"/>
      <c r="AM106" s="13"/>
    </row>
    <row r="107" spans="1:45" ht="15" customHeight="1">
      <c r="A107" s="82"/>
      <c r="B107" s="131"/>
      <c r="C107" s="130"/>
      <c r="D107" s="196" t="s">
        <v>180</v>
      </c>
      <c r="E107" s="130"/>
      <c r="F107" s="114"/>
      <c r="G107" s="114"/>
      <c r="H107" s="114"/>
      <c r="I107" s="114"/>
      <c r="J107" s="130"/>
      <c r="K107" s="196" t="s">
        <v>214</v>
      </c>
      <c r="L107" s="130"/>
      <c r="M107" s="114"/>
      <c r="N107" s="132"/>
      <c r="AD107" s="11"/>
      <c r="AF107" s="11"/>
    </row>
    <row r="108" spans="1:45" ht="15" customHeight="1">
      <c r="A108" s="82"/>
      <c r="B108" s="191" t="s">
        <v>210</v>
      </c>
      <c r="C108" s="36"/>
      <c r="D108" s="197" t="s">
        <v>26</v>
      </c>
      <c r="E108" s="65"/>
      <c r="F108" s="115"/>
      <c r="G108" s="115"/>
      <c r="H108" s="115"/>
      <c r="I108" s="66" t="s">
        <v>18</v>
      </c>
      <c r="J108" s="41"/>
      <c r="K108" s="197"/>
      <c r="L108" s="65"/>
      <c r="M108" s="65"/>
      <c r="N108" s="117"/>
      <c r="AD108" s="11"/>
      <c r="AF108" s="11"/>
    </row>
    <row r="109" spans="1:45" ht="15" customHeight="1">
      <c r="A109" s="82"/>
      <c r="B109" s="191"/>
      <c r="C109" s="36"/>
      <c r="D109" s="197" t="s">
        <v>27</v>
      </c>
      <c r="E109" s="65"/>
      <c r="F109" s="14"/>
      <c r="G109" s="14"/>
      <c r="H109" s="14"/>
      <c r="I109" s="66" t="s">
        <v>19</v>
      </c>
      <c r="J109" s="41"/>
      <c r="K109" s="197" t="s">
        <v>31</v>
      </c>
      <c r="L109" s="65"/>
      <c r="M109" s="65"/>
      <c r="N109" s="117" t="s">
        <v>23</v>
      </c>
      <c r="AD109" s="11"/>
      <c r="AF109" s="11"/>
    </row>
    <row r="110" spans="1:45" ht="15" customHeight="1">
      <c r="A110" s="82"/>
      <c r="B110" s="192"/>
      <c r="C110" s="29"/>
      <c r="D110" s="201" t="s">
        <v>212</v>
      </c>
      <c r="E110" s="37"/>
      <c r="F110" s="126" t="s">
        <v>213</v>
      </c>
      <c r="G110" s="125"/>
      <c r="H110" s="37"/>
      <c r="I110" s="128" t="s">
        <v>20</v>
      </c>
      <c r="J110" s="127"/>
      <c r="K110" s="198"/>
      <c r="L110" s="37"/>
      <c r="M110" s="125"/>
      <c r="N110" s="129"/>
      <c r="AD110" s="11"/>
      <c r="AF110" s="11"/>
    </row>
    <row r="111" spans="1:45" ht="15" customHeight="1">
      <c r="A111" s="82"/>
      <c r="B111" s="191" t="s">
        <v>211</v>
      </c>
      <c r="C111" s="36"/>
      <c r="D111" s="197" t="s">
        <v>29</v>
      </c>
      <c r="E111" s="65"/>
      <c r="F111" s="169"/>
      <c r="G111" s="169"/>
      <c r="H111" s="65"/>
      <c r="I111" s="66" t="s">
        <v>21</v>
      </c>
      <c r="J111" s="41"/>
      <c r="K111" s="199" t="s">
        <v>30</v>
      </c>
      <c r="L111" s="65"/>
      <c r="M111" s="65"/>
      <c r="N111" s="117" t="s">
        <v>24</v>
      </c>
      <c r="AD111" s="11"/>
      <c r="AF111" s="11"/>
    </row>
    <row r="112" spans="1:45" ht="15" customHeight="1" thickBot="1">
      <c r="A112" s="82"/>
      <c r="B112" s="193"/>
      <c r="C112" s="194"/>
      <c r="D112" s="202" t="s">
        <v>28</v>
      </c>
      <c r="E112" s="103"/>
      <c r="F112" s="118" t="s">
        <v>213</v>
      </c>
      <c r="G112" s="116"/>
      <c r="H112" s="103"/>
      <c r="I112" s="156" t="s">
        <v>22</v>
      </c>
      <c r="J112" s="116"/>
      <c r="K112" s="200"/>
      <c r="L112" s="103"/>
      <c r="M112" s="116"/>
      <c r="N112" s="195"/>
      <c r="Z112" s="65"/>
      <c r="AA112" s="65"/>
      <c r="AJ112" s="150"/>
      <c r="AM112" s="13"/>
    </row>
    <row r="113" spans="1:45" ht="15" customHeight="1">
      <c r="A113" s="82"/>
      <c r="B113" s="25"/>
      <c r="C113" s="65"/>
      <c r="D113" s="43"/>
      <c r="E113" s="65"/>
      <c r="F113" s="65"/>
      <c r="G113" s="65"/>
      <c r="H113" s="65"/>
      <c r="I113" s="65"/>
      <c r="J113" s="65"/>
      <c r="K113" s="106"/>
      <c r="L113" s="54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106"/>
      <c r="Z113" s="65"/>
      <c r="AA113" s="65"/>
      <c r="AJ113" s="150"/>
      <c r="AM113" s="13"/>
    </row>
    <row r="114" spans="1:45" ht="15" customHeight="1">
      <c r="A114" s="45"/>
      <c r="B114" s="24" t="s">
        <v>124</v>
      </c>
      <c r="C114" s="65"/>
      <c r="D114" s="65"/>
      <c r="E114" s="65"/>
      <c r="F114" s="65"/>
      <c r="G114" s="65"/>
      <c r="H114" s="65"/>
      <c r="I114" s="65"/>
      <c r="J114" s="65"/>
      <c r="K114" s="65"/>
      <c r="L114" s="68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8"/>
      <c r="Z114" s="65"/>
      <c r="AA114" s="65"/>
      <c r="AJ114" s="150"/>
      <c r="AM114" s="13"/>
    </row>
    <row r="115" spans="1:45" ht="15" customHeight="1">
      <c r="A115" s="45"/>
      <c r="B115" s="65"/>
      <c r="C115" s="270" t="s">
        <v>99</v>
      </c>
      <c r="D115" s="277" t="s">
        <v>215</v>
      </c>
      <c r="E115" s="277"/>
      <c r="F115" s="278" t="s">
        <v>98</v>
      </c>
      <c r="G115" s="162" t="s">
        <v>216</v>
      </c>
      <c r="I115" s="65"/>
      <c r="N115" s="65"/>
      <c r="O115" s="65"/>
      <c r="P115" s="65"/>
      <c r="Q115" s="65"/>
      <c r="R115" s="65"/>
      <c r="S115" s="65"/>
      <c r="T115" s="65"/>
      <c r="U115" s="68"/>
      <c r="V115" s="65"/>
      <c r="W115" s="65"/>
      <c r="Y115" s="54"/>
      <c r="Z115" s="145"/>
      <c r="AB115" s="145"/>
      <c r="AC115" s="11"/>
      <c r="AD115" s="11"/>
      <c r="AF115" s="150"/>
      <c r="AI115" s="13"/>
      <c r="AR115" s="54"/>
      <c r="AS115" s="54"/>
    </row>
    <row r="116" spans="1:45" ht="15" customHeight="1">
      <c r="A116" s="65"/>
      <c r="B116" s="65"/>
      <c r="C116" s="270"/>
      <c r="D116" s="283" t="s">
        <v>100</v>
      </c>
      <c r="E116" s="283"/>
      <c r="F116" s="270"/>
      <c r="G116" s="166" t="s">
        <v>101</v>
      </c>
      <c r="I116" s="65"/>
      <c r="N116" s="65"/>
      <c r="O116" s="65"/>
      <c r="P116" s="65"/>
      <c r="Q116" s="65"/>
      <c r="R116" s="65"/>
      <c r="S116" s="65"/>
      <c r="T116" s="65"/>
      <c r="U116" s="68"/>
      <c r="V116" s="65"/>
      <c r="W116" s="65"/>
      <c r="Y116" s="54"/>
      <c r="Z116" s="145"/>
      <c r="AB116" s="145"/>
      <c r="AC116" s="11"/>
      <c r="AD116" s="11"/>
      <c r="AF116" s="150"/>
      <c r="AI116" s="13"/>
      <c r="AR116" s="54"/>
      <c r="AS116" s="54"/>
    </row>
    <row r="117" spans="1:45" ht="15" customHeight="1">
      <c r="B117" s="203" t="s">
        <v>302</v>
      </c>
      <c r="C117" s="65" t="s">
        <v>303</v>
      </c>
      <c r="D117" s="65"/>
      <c r="E117" s="65"/>
      <c r="F117" s="28"/>
      <c r="G117" s="65"/>
      <c r="H117" s="65"/>
      <c r="I117" s="65"/>
      <c r="J117" s="65"/>
      <c r="K117" s="65"/>
      <c r="L117" s="68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8"/>
      <c r="Z117" s="65"/>
      <c r="AA117" s="65"/>
      <c r="AJ117" s="150"/>
      <c r="AM117" s="13"/>
    </row>
    <row r="118" spans="1:45" ht="15" customHeight="1">
      <c r="B118" s="45"/>
      <c r="C118" s="65"/>
      <c r="D118" s="65"/>
      <c r="E118" s="65"/>
      <c r="F118" s="28"/>
      <c r="G118" s="65"/>
      <c r="H118" s="65"/>
      <c r="I118" s="65"/>
      <c r="J118" s="65"/>
      <c r="K118" s="65"/>
      <c r="L118" s="108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108"/>
      <c r="Z118" s="65"/>
      <c r="AA118" s="65"/>
      <c r="AJ118" s="150"/>
      <c r="AM118" s="13"/>
    </row>
    <row r="119" spans="1:45" ht="15" customHeight="1">
      <c r="A119" s="45"/>
      <c r="B119" s="17" t="s">
        <v>302</v>
      </c>
      <c r="C119" s="70" t="s">
        <v>103</v>
      </c>
      <c r="D119" s="65"/>
      <c r="E119" s="57"/>
      <c r="F119" s="65"/>
      <c r="G119" s="65"/>
      <c r="H119" s="65"/>
      <c r="I119" s="65"/>
      <c r="J119" s="47"/>
      <c r="K119" s="109"/>
      <c r="L119" s="54"/>
      <c r="N119" s="4"/>
      <c r="O119" s="48" t="s">
        <v>176</v>
      </c>
      <c r="P119" s="65"/>
      <c r="Q119" s="65"/>
      <c r="R119" s="65"/>
      <c r="S119" s="65"/>
      <c r="T119" s="65"/>
      <c r="U119" s="65"/>
      <c r="V119" s="65"/>
      <c r="W119" s="65"/>
      <c r="X119" s="65"/>
      <c r="Y119" s="76"/>
      <c r="Z119" s="65"/>
      <c r="AA119" s="65"/>
      <c r="AJ119" s="150"/>
      <c r="AM119" s="13"/>
    </row>
    <row r="120" spans="1:45" ht="15" customHeight="1">
      <c r="B120" s="45"/>
      <c r="C120" s="58" t="s">
        <v>9</v>
      </c>
      <c r="D120" s="52"/>
      <c r="E120" s="52"/>
      <c r="F120" s="52"/>
      <c r="G120" s="52"/>
      <c r="H120" s="58" t="s">
        <v>38</v>
      </c>
      <c r="I120" s="52"/>
      <c r="J120" s="52"/>
      <c r="K120" s="97"/>
      <c r="O120" s="65"/>
      <c r="P120" s="65"/>
      <c r="Q120" s="65"/>
      <c r="R120" s="65"/>
      <c r="T120" s="65"/>
      <c r="U120" s="108"/>
      <c r="V120" s="65"/>
      <c r="Y120" s="54"/>
      <c r="Z120" s="100"/>
      <c r="AB120" s="145"/>
      <c r="AD120" s="11"/>
      <c r="AE120" s="145"/>
      <c r="AF120" s="11"/>
    </row>
    <row r="121" spans="1:45" ht="15" customHeight="1">
      <c r="B121" s="45"/>
      <c r="C121" s="65" t="s">
        <v>165</v>
      </c>
      <c r="D121" s="65"/>
      <c r="F121" s="65"/>
      <c r="G121" s="65"/>
      <c r="H121" s="53">
        <v>1</v>
      </c>
      <c r="K121" s="4"/>
      <c r="O121" s="65"/>
      <c r="P121" s="65"/>
      <c r="Q121" s="65"/>
      <c r="R121" s="65"/>
      <c r="T121" s="65"/>
      <c r="U121" s="108"/>
      <c r="V121" s="65"/>
      <c r="Y121" s="54"/>
      <c r="Z121" s="100"/>
      <c r="AB121" s="145"/>
      <c r="AD121" s="11"/>
      <c r="AE121" s="145"/>
      <c r="AF121" s="11"/>
    </row>
    <row r="122" spans="1:45" ht="15" customHeight="1">
      <c r="B122" s="45"/>
      <c r="C122" s="55" t="s">
        <v>10</v>
      </c>
      <c r="D122" s="55"/>
      <c r="E122" s="55"/>
      <c r="F122" s="55"/>
      <c r="G122" s="55"/>
      <c r="H122" s="59" t="s">
        <v>304</v>
      </c>
      <c r="I122" s="55"/>
      <c r="J122" s="55"/>
      <c r="K122" s="98"/>
      <c r="O122" s="65"/>
      <c r="P122" s="65"/>
      <c r="Q122" s="65"/>
      <c r="R122" s="65"/>
      <c r="T122" s="65"/>
      <c r="U122" s="108"/>
      <c r="V122" s="65"/>
      <c r="Y122" s="54"/>
      <c r="Z122" s="100"/>
      <c r="AB122" s="145"/>
      <c r="AD122" s="11"/>
      <c r="AE122" s="145"/>
      <c r="AF122" s="11"/>
    </row>
    <row r="123" spans="1:45" ht="15" customHeight="1">
      <c r="C123" s="65" t="s">
        <v>305</v>
      </c>
      <c r="D123" s="39"/>
      <c r="L123" s="54"/>
      <c r="T123" s="65"/>
      <c r="U123" s="108"/>
      <c r="V123" s="65"/>
      <c r="Y123" s="54"/>
      <c r="Z123" s="100"/>
      <c r="AB123" s="145"/>
      <c r="AD123" s="11"/>
      <c r="AE123" s="145"/>
      <c r="AF123" s="11"/>
    </row>
    <row r="124" spans="1:45" ht="15" customHeight="1">
      <c r="A124" s="11"/>
      <c r="B124" s="13"/>
      <c r="C124" s="110" t="s">
        <v>160</v>
      </c>
      <c r="D124" s="39"/>
      <c r="E124" s="39"/>
      <c r="G124" s="1"/>
      <c r="H124" s="1"/>
      <c r="I124" s="1"/>
      <c r="L124" s="109"/>
      <c r="O124" s="4"/>
      <c r="P124" s="65"/>
      <c r="Q124" s="65"/>
      <c r="R124" s="65"/>
      <c r="T124" s="65"/>
      <c r="U124" s="108"/>
      <c r="V124" s="65"/>
      <c r="Y124" s="54"/>
      <c r="Z124" s="100"/>
      <c r="AB124" s="145"/>
      <c r="AD124" s="11"/>
      <c r="AE124" s="145"/>
      <c r="AF124" s="11"/>
    </row>
    <row r="125" spans="1:45" ht="15" customHeight="1">
      <c r="A125" s="11"/>
      <c r="C125" s="65" t="s">
        <v>306</v>
      </c>
      <c r="D125" s="39"/>
      <c r="H125" s="1"/>
      <c r="I125" s="1"/>
      <c r="L125" s="109"/>
      <c r="O125" s="4"/>
      <c r="Q125" s="65"/>
      <c r="R125" s="65"/>
      <c r="T125" s="65"/>
      <c r="U125" s="108"/>
      <c r="V125" s="65"/>
      <c r="Y125" s="54"/>
      <c r="Z125" s="100"/>
      <c r="AB125" s="145"/>
      <c r="AD125" s="11"/>
      <c r="AE125" s="145"/>
      <c r="AF125" s="11"/>
    </row>
    <row r="126" spans="1:45" ht="15" customHeight="1">
      <c r="A126" s="11"/>
      <c r="C126" s="65" t="s">
        <v>6</v>
      </c>
      <c r="D126" s="39"/>
      <c r="H126" s="1"/>
      <c r="I126" s="1"/>
      <c r="L126" s="109"/>
      <c r="Q126" s="65"/>
      <c r="R126" s="65"/>
      <c r="T126" s="65"/>
      <c r="U126" s="108"/>
      <c r="V126" s="65"/>
      <c r="Y126" s="54"/>
      <c r="Z126" s="100"/>
      <c r="AB126" s="145"/>
      <c r="AD126" s="11"/>
      <c r="AE126" s="145"/>
      <c r="AF126" s="11"/>
    </row>
    <row r="127" spans="1:45" ht="15" customHeight="1">
      <c r="A127" s="11"/>
      <c r="C127" s="65" t="s">
        <v>269</v>
      </c>
      <c r="D127" s="39"/>
      <c r="H127" s="1"/>
      <c r="I127" s="1"/>
      <c r="L127" s="109"/>
      <c r="Q127" s="65"/>
      <c r="R127" s="65"/>
      <c r="T127" s="65"/>
      <c r="U127" s="108"/>
      <c r="V127" s="65"/>
      <c r="Y127" s="54"/>
      <c r="Z127" s="100"/>
      <c r="AB127" s="145"/>
      <c r="AD127" s="11"/>
      <c r="AE127" s="145"/>
      <c r="AF127" s="11"/>
    </row>
    <row r="128" spans="1:45" ht="15" customHeight="1">
      <c r="A128" s="65"/>
      <c r="C128" s="65"/>
      <c r="D128" s="65"/>
      <c r="E128" s="65"/>
      <c r="F128" s="95"/>
      <c r="G128" s="65"/>
      <c r="H128" s="95"/>
      <c r="I128" s="65"/>
      <c r="J128" s="95"/>
      <c r="K128" s="65"/>
      <c r="L128" s="9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95"/>
      <c r="Z128" s="65"/>
      <c r="AA128" s="65"/>
    </row>
    <row r="129" spans="1:32" ht="15" customHeight="1">
      <c r="A129" s="45"/>
      <c r="B129" s="25" t="s">
        <v>125</v>
      </c>
      <c r="C129" s="9"/>
      <c r="D129" s="65"/>
      <c r="E129" s="65"/>
      <c r="F129" s="68"/>
      <c r="G129" s="65"/>
      <c r="H129" s="68"/>
      <c r="I129" s="65"/>
      <c r="J129" s="68"/>
      <c r="K129" s="65"/>
      <c r="L129" s="68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8"/>
      <c r="Z129" s="65"/>
      <c r="AA129" s="30"/>
    </row>
    <row r="130" spans="1:32" ht="15" customHeight="1">
      <c r="A130" s="16"/>
      <c r="B130" s="25"/>
      <c r="C130" s="9"/>
      <c r="D130" s="65"/>
      <c r="E130" s="65"/>
      <c r="F130" s="68"/>
      <c r="G130" s="65"/>
      <c r="H130" s="68"/>
      <c r="I130" s="65"/>
      <c r="J130" s="68"/>
      <c r="K130" s="65"/>
      <c r="L130" s="68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8"/>
      <c r="AD130" s="11"/>
      <c r="AF130" s="11"/>
    </row>
    <row r="131" spans="1:32" ht="15" customHeight="1">
      <c r="A131" s="45"/>
      <c r="C131" s="58" t="s">
        <v>9</v>
      </c>
      <c r="D131" s="58"/>
      <c r="E131" s="58"/>
      <c r="F131" s="58"/>
      <c r="G131" s="58"/>
      <c r="H131" s="58" t="s">
        <v>39</v>
      </c>
      <c r="I131" s="58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8"/>
      <c r="AD131" s="11"/>
      <c r="AF131" s="11"/>
    </row>
    <row r="132" spans="1:32" ht="15" customHeight="1">
      <c r="A132" s="45"/>
      <c r="C132" s="56" t="s">
        <v>105</v>
      </c>
      <c r="D132" s="56"/>
      <c r="E132" s="56"/>
      <c r="F132" s="56"/>
      <c r="G132" s="56"/>
      <c r="H132" s="61" t="s">
        <v>40</v>
      </c>
      <c r="I132" s="56"/>
      <c r="J132" s="56"/>
      <c r="K132" s="56"/>
      <c r="L132" s="65"/>
      <c r="M132" s="65"/>
      <c r="N132" s="65"/>
      <c r="O132" s="48" t="s">
        <v>218</v>
      </c>
      <c r="P132" s="65"/>
      <c r="Q132" s="65"/>
      <c r="R132" s="65"/>
      <c r="S132" s="65"/>
      <c r="T132" s="65"/>
      <c r="U132" s="65"/>
      <c r="V132" s="65"/>
      <c r="W132" s="65"/>
      <c r="X132" s="65"/>
      <c r="Y132" s="68"/>
      <c r="AD132" s="11"/>
      <c r="AF132" s="11"/>
    </row>
    <row r="133" spans="1:32" ht="15" customHeight="1">
      <c r="A133" s="45"/>
      <c r="C133" s="65"/>
      <c r="D133" s="65"/>
      <c r="E133" s="65"/>
      <c r="F133" s="65"/>
      <c r="G133" s="65"/>
      <c r="H133" s="65"/>
      <c r="I133" s="17"/>
      <c r="J133" s="57"/>
      <c r="K133" s="65"/>
      <c r="L133" s="65"/>
      <c r="M133" s="65"/>
      <c r="N133" s="65"/>
      <c r="P133" s="65"/>
      <c r="Q133" s="65"/>
      <c r="R133" s="65"/>
      <c r="S133" s="65"/>
      <c r="T133" s="65"/>
      <c r="U133" s="65"/>
      <c r="V133" s="65"/>
      <c r="W133" s="65"/>
      <c r="X133" s="65"/>
      <c r="Y133" s="68"/>
      <c r="AD133" s="11"/>
      <c r="AF133" s="11"/>
    </row>
    <row r="134" spans="1:32" ht="15" customHeight="1">
      <c r="A134" s="65"/>
      <c r="C134" s="65" t="s">
        <v>106</v>
      </c>
      <c r="D134" s="65"/>
      <c r="E134" s="65"/>
      <c r="F134" s="65"/>
      <c r="G134" s="65"/>
      <c r="H134" s="65" t="s">
        <v>430</v>
      </c>
      <c r="I134" s="47"/>
      <c r="J134" s="57"/>
      <c r="K134" s="65"/>
      <c r="L134" s="65"/>
      <c r="M134" s="65"/>
      <c r="N134" s="65"/>
      <c r="O134" s="48" t="s">
        <v>217</v>
      </c>
      <c r="P134" s="65"/>
      <c r="Q134" s="65"/>
      <c r="R134" s="65"/>
      <c r="S134" s="65"/>
      <c r="T134" s="65"/>
      <c r="U134" s="65"/>
      <c r="V134" s="65"/>
      <c r="W134" s="65"/>
      <c r="X134" s="65"/>
      <c r="Y134" s="68"/>
      <c r="AD134" s="11"/>
      <c r="AF134" s="11"/>
    </row>
    <row r="135" spans="1:32" ht="15" customHeight="1">
      <c r="A135" s="45"/>
      <c r="C135" s="55"/>
      <c r="D135" s="55"/>
      <c r="E135" s="55"/>
      <c r="F135" s="55"/>
      <c r="G135" s="55"/>
      <c r="H135" s="55"/>
      <c r="I135" s="55"/>
      <c r="J135" s="26"/>
      <c r="K135" s="5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8"/>
      <c r="Z135" s="65"/>
      <c r="AD135" s="11"/>
      <c r="AF135" s="11"/>
    </row>
    <row r="136" spans="1:32" ht="15" customHeight="1">
      <c r="A136" s="65"/>
      <c r="B136" s="65"/>
      <c r="C136" s="65"/>
      <c r="D136" s="65"/>
      <c r="E136" s="65"/>
      <c r="F136" s="68"/>
      <c r="G136" s="65"/>
      <c r="H136" s="68"/>
      <c r="I136" s="65"/>
      <c r="J136" s="68"/>
      <c r="K136" s="65"/>
      <c r="L136" s="68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8"/>
      <c r="Z136" s="65"/>
      <c r="AD136" s="11"/>
      <c r="AF136" s="11"/>
    </row>
    <row r="137" spans="1:32" ht="15" customHeight="1">
      <c r="B137" s="17" t="s">
        <v>302</v>
      </c>
      <c r="C137" s="54" t="s">
        <v>220</v>
      </c>
      <c r="D137" s="47"/>
      <c r="E137" s="57"/>
      <c r="F137" s="47"/>
      <c r="G137" s="47"/>
      <c r="H137" s="47"/>
      <c r="I137" s="65"/>
      <c r="J137" s="65"/>
      <c r="K137" s="68"/>
      <c r="L137" s="65"/>
      <c r="M137" s="68"/>
      <c r="N137" s="65"/>
      <c r="O137" s="48" t="s">
        <v>219</v>
      </c>
      <c r="P137" s="65"/>
      <c r="Q137" s="65"/>
      <c r="R137" s="65"/>
      <c r="S137" s="65"/>
      <c r="T137" s="65"/>
      <c r="U137" s="65"/>
      <c r="V137" s="65"/>
      <c r="W137" s="65"/>
      <c r="X137" s="65"/>
      <c r="Y137" s="68"/>
      <c r="Z137" s="65"/>
      <c r="AD137" s="11"/>
      <c r="AF137" s="11"/>
    </row>
    <row r="138" spans="1:32" ht="15" customHeight="1">
      <c r="B138" s="65"/>
      <c r="C138" s="58" t="s">
        <v>9</v>
      </c>
      <c r="D138" s="52"/>
      <c r="E138" s="52"/>
      <c r="F138" s="52"/>
      <c r="G138" s="52"/>
      <c r="H138" s="58" t="s">
        <v>42</v>
      </c>
      <c r="I138" s="52"/>
      <c r="J138" s="52"/>
      <c r="K138" s="52"/>
      <c r="L138" s="65"/>
      <c r="M138" s="65"/>
      <c r="N138" s="65"/>
      <c r="O138" s="65"/>
      <c r="P138" s="65"/>
      <c r="Q138" s="65"/>
      <c r="R138" s="65"/>
      <c r="W138" s="65"/>
      <c r="X138" s="65"/>
      <c r="Y138" s="68"/>
      <c r="Z138" s="65"/>
      <c r="AA138" s="65"/>
      <c r="AD138" s="11"/>
      <c r="AF138" s="11"/>
    </row>
    <row r="139" spans="1:32" ht="15" customHeight="1">
      <c r="B139" s="65"/>
      <c r="C139" s="56" t="s">
        <v>43</v>
      </c>
      <c r="D139" s="56"/>
      <c r="E139" s="56"/>
      <c r="F139" s="56"/>
      <c r="G139" s="56"/>
      <c r="H139" s="61" t="s">
        <v>44</v>
      </c>
      <c r="I139" s="56"/>
      <c r="J139" s="56"/>
      <c r="K139" s="56"/>
      <c r="L139" s="65"/>
      <c r="M139" s="65"/>
      <c r="N139" s="65"/>
      <c r="O139" s="65"/>
      <c r="P139" s="65"/>
      <c r="Q139" s="65"/>
      <c r="R139" s="65"/>
      <c r="W139" s="65"/>
      <c r="X139" s="65"/>
      <c r="Y139" s="68"/>
      <c r="Z139" s="65"/>
      <c r="AA139" s="65"/>
      <c r="AD139" s="11"/>
      <c r="AF139" s="11"/>
    </row>
    <row r="140" spans="1:32" ht="15" customHeight="1">
      <c r="B140" s="65"/>
      <c r="C140" s="280" t="s">
        <v>10</v>
      </c>
      <c r="D140" s="280"/>
      <c r="E140" s="280"/>
      <c r="F140" s="27"/>
      <c r="G140" s="27"/>
      <c r="H140" s="27" t="s">
        <v>431</v>
      </c>
      <c r="I140" s="27"/>
      <c r="J140" s="18"/>
      <c r="K140" s="27"/>
      <c r="L140" s="65"/>
      <c r="M140" s="65"/>
      <c r="N140" s="65"/>
      <c r="O140" s="65"/>
      <c r="P140" s="65"/>
      <c r="Q140" s="65"/>
      <c r="R140" s="65"/>
      <c r="W140" s="65"/>
      <c r="X140" s="65"/>
      <c r="Y140" s="68"/>
      <c r="Z140" s="65"/>
      <c r="AA140" s="65"/>
    </row>
    <row r="141" spans="1:32" ht="15" customHeight="1">
      <c r="B141" s="65"/>
      <c r="C141" s="282"/>
      <c r="D141" s="282"/>
      <c r="E141" s="282"/>
      <c r="F141" s="55"/>
      <c r="G141" s="55"/>
      <c r="H141" s="55"/>
      <c r="I141" s="55"/>
      <c r="J141" s="26"/>
      <c r="K141" s="55"/>
      <c r="L141" s="65"/>
      <c r="M141" s="65"/>
      <c r="N141" s="65"/>
      <c r="O141" s="65"/>
      <c r="P141" s="65"/>
      <c r="Q141" s="65"/>
      <c r="R141" s="65"/>
      <c r="W141" s="65"/>
      <c r="Y141" s="68"/>
      <c r="Z141" s="65"/>
      <c r="AA141" s="65"/>
      <c r="AF141" s="11"/>
    </row>
    <row r="142" spans="1:32" ht="15" customHeight="1">
      <c r="B142" s="65"/>
      <c r="C142" s="110"/>
      <c r="D142" s="54" t="s">
        <v>41</v>
      </c>
      <c r="E142" s="65"/>
      <c r="F142" s="65"/>
      <c r="G142" s="65"/>
      <c r="H142" s="65"/>
      <c r="I142" s="65"/>
      <c r="J142" s="57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108"/>
      <c r="Z142" s="65"/>
      <c r="AA142" s="65"/>
      <c r="AF142" s="11"/>
    </row>
    <row r="143" spans="1:32" ht="15" customHeight="1">
      <c r="B143" s="65"/>
      <c r="C143" s="110"/>
      <c r="D143" s="65" t="s">
        <v>229</v>
      </c>
      <c r="E143" s="65"/>
      <c r="F143" s="65"/>
      <c r="G143" s="65"/>
      <c r="H143" s="65"/>
      <c r="I143" s="204" t="e">
        <f>+MAX(MIN(0.7*Fyf,Fyw),0.5*Fyf)</f>
        <v>#REF!</v>
      </c>
      <c r="J143" s="57"/>
      <c r="K143" s="65"/>
      <c r="L143" s="65"/>
      <c r="N143" s="204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108"/>
      <c r="Z143" s="65"/>
      <c r="AA143" s="65"/>
      <c r="AF143" s="11"/>
    </row>
    <row r="144" spans="1:32" ht="15" customHeight="1">
      <c r="B144" s="65"/>
      <c r="C144" s="110"/>
      <c r="D144" s="65" t="s">
        <v>307</v>
      </c>
      <c r="E144" s="65"/>
      <c r="F144" s="65"/>
      <c r="G144" s="65"/>
      <c r="H144" s="65"/>
      <c r="I144" s="65"/>
      <c r="J144" s="57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108"/>
      <c r="Z144" s="65"/>
      <c r="AA144" s="65"/>
      <c r="AF144" s="11"/>
    </row>
    <row r="145" spans="1:32" ht="15" customHeight="1">
      <c r="B145" s="65"/>
      <c r="C145" s="110"/>
      <c r="D145" s="65" t="s">
        <v>308</v>
      </c>
      <c r="E145" s="65"/>
      <c r="F145" s="65"/>
      <c r="G145" s="65"/>
      <c r="H145" s="65"/>
      <c r="I145" s="65"/>
      <c r="J145" s="57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108"/>
      <c r="Z145" s="65"/>
      <c r="AA145" s="65"/>
      <c r="AF145" s="11"/>
    </row>
    <row r="146" spans="1:32" ht="15" customHeight="1">
      <c r="B146" s="65"/>
      <c r="C146" s="110"/>
      <c r="D146" s="65" t="s">
        <v>309</v>
      </c>
      <c r="E146" s="110"/>
      <c r="F146" s="65"/>
      <c r="G146" s="65"/>
      <c r="H146" s="65"/>
      <c r="I146" s="65"/>
      <c r="J146" s="57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108"/>
      <c r="Z146" s="65"/>
      <c r="AA146" s="65"/>
      <c r="AF146" s="11"/>
    </row>
    <row r="147" spans="1:32" ht="15" customHeight="1">
      <c r="A147" s="65"/>
      <c r="B147" s="65"/>
      <c r="C147" s="65"/>
      <c r="D147" s="65"/>
      <c r="E147" s="65"/>
      <c r="F147" s="68"/>
      <c r="G147" s="65"/>
      <c r="H147" s="68"/>
      <c r="I147" s="65"/>
      <c r="J147" s="68"/>
      <c r="K147" s="65"/>
      <c r="L147" s="68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8"/>
      <c r="Z147" s="65"/>
      <c r="AA147" s="65"/>
      <c r="AF147" s="11"/>
    </row>
    <row r="148" spans="1:32" ht="15" customHeight="1">
      <c r="B148" s="17" t="s">
        <v>302</v>
      </c>
      <c r="C148" s="54" t="s">
        <v>221</v>
      </c>
      <c r="D148" s="47"/>
      <c r="E148" s="57"/>
      <c r="F148" s="47"/>
      <c r="G148" s="47"/>
      <c r="H148" s="47"/>
      <c r="I148" s="65"/>
      <c r="J148" s="65"/>
      <c r="K148" s="68"/>
      <c r="L148" s="65"/>
      <c r="M148" s="68"/>
      <c r="N148" s="65"/>
      <c r="O148" s="48" t="s">
        <v>186</v>
      </c>
      <c r="P148" s="65"/>
      <c r="Q148" s="65"/>
      <c r="R148" s="65"/>
      <c r="S148" s="65"/>
      <c r="T148" s="65"/>
      <c r="U148" s="65"/>
      <c r="V148" s="65"/>
      <c r="W148" s="65"/>
      <c r="X148" s="65"/>
      <c r="Y148" s="68"/>
      <c r="Z148" s="65"/>
      <c r="AF148" s="11"/>
    </row>
    <row r="149" spans="1:32" ht="15" customHeight="1">
      <c r="B149" s="65"/>
      <c r="C149" s="58" t="s">
        <v>9</v>
      </c>
      <c r="D149" s="52"/>
      <c r="E149" s="52"/>
      <c r="F149" s="52"/>
      <c r="G149" s="52"/>
      <c r="H149" s="58" t="s">
        <v>276</v>
      </c>
      <c r="I149" s="52"/>
      <c r="J149" s="52"/>
      <c r="K149" s="52"/>
      <c r="L149" s="65"/>
      <c r="M149" s="65"/>
      <c r="N149" s="65"/>
      <c r="O149" s="65"/>
      <c r="P149" s="65"/>
      <c r="Q149" s="65"/>
      <c r="R149" s="65"/>
      <c r="V149" s="65"/>
      <c r="W149" s="65"/>
      <c r="X149" s="65"/>
      <c r="Y149" s="68"/>
      <c r="Z149" s="65"/>
      <c r="AA149" s="65"/>
      <c r="AF149" s="11"/>
    </row>
    <row r="150" spans="1:32" ht="15" customHeight="1">
      <c r="B150" s="65"/>
      <c r="C150" s="56" t="s">
        <v>45</v>
      </c>
      <c r="D150" s="56"/>
      <c r="E150" s="56"/>
      <c r="F150" s="56"/>
      <c r="G150" s="56"/>
      <c r="H150" s="61" t="s">
        <v>44</v>
      </c>
      <c r="I150" s="56"/>
      <c r="J150" s="56"/>
      <c r="K150" s="56"/>
      <c r="L150" s="65"/>
      <c r="M150" s="65"/>
      <c r="N150" s="65"/>
      <c r="O150" s="65"/>
      <c r="P150" s="65"/>
      <c r="Q150" s="65"/>
      <c r="R150" s="65"/>
      <c r="V150" s="65"/>
      <c r="W150" s="65"/>
      <c r="X150" s="65"/>
      <c r="Y150" s="68"/>
      <c r="Z150" s="65"/>
      <c r="AA150" s="65"/>
      <c r="AF150" s="11"/>
    </row>
    <row r="151" spans="1:32" ht="15" customHeight="1">
      <c r="B151" s="65"/>
      <c r="C151" s="280" t="s">
        <v>46</v>
      </c>
      <c r="D151" s="280"/>
      <c r="E151" s="280"/>
      <c r="F151" s="27"/>
      <c r="G151" s="27"/>
      <c r="H151" s="27" t="s">
        <v>432</v>
      </c>
      <c r="I151" s="27"/>
      <c r="J151" s="27"/>
      <c r="K151" s="27"/>
      <c r="L151" s="65"/>
      <c r="M151" s="65"/>
      <c r="N151" s="65"/>
      <c r="O151" s="65"/>
      <c r="P151" s="65"/>
      <c r="Q151" s="65"/>
      <c r="R151" s="65"/>
      <c r="V151" s="65"/>
      <c r="W151" s="65"/>
      <c r="X151" s="65"/>
      <c r="Y151" s="68"/>
      <c r="Z151" s="65"/>
      <c r="AA151" s="65"/>
      <c r="AF151" s="11"/>
    </row>
    <row r="152" spans="1:32" ht="15" customHeight="1">
      <c r="B152" s="65"/>
      <c r="C152" s="281"/>
      <c r="D152" s="281"/>
      <c r="E152" s="281"/>
      <c r="F152" s="37"/>
      <c r="G152" s="37"/>
      <c r="H152" s="37"/>
      <c r="I152" s="37"/>
      <c r="J152" s="37"/>
      <c r="K152" s="37"/>
      <c r="L152" s="65"/>
      <c r="M152" s="65"/>
      <c r="N152" s="65"/>
      <c r="O152" s="65"/>
      <c r="P152" s="65"/>
      <c r="Q152" s="65"/>
      <c r="R152" s="65"/>
      <c r="T152" s="65"/>
      <c r="U152" s="65"/>
      <c r="V152" s="65"/>
      <c r="W152" s="65"/>
      <c r="X152" s="65"/>
      <c r="Y152" s="68"/>
      <c r="Z152" s="65"/>
      <c r="AA152" s="65"/>
      <c r="AF152" s="11"/>
    </row>
    <row r="153" spans="1:32" ht="15" customHeight="1">
      <c r="B153" s="65"/>
      <c r="C153" s="55" t="s">
        <v>47</v>
      </c>
      <c r="D153" s="55"/>
      <c r="E153" s="55"/>
      <c r="F153" s="55"/>
      <c r="G153" s="55"/>
      <c r="H153" s="59" t="s">
        <v>310</v>
      </c>
      <c r="I153" s="55"/>
      <c r="J153" s="55"/>
      <c r="K153" s="5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8"/>
      <c r="Z153" s="65"/>
      <c r="AA153" s="65"/>
      <c r="AF153" s="11"/>
    </row>
    <row r="154" spans="1:32" ht="15" customHeight="1">
      <c r="B154" s="65"/>
      <c r="C154" s="65"/>
      <c r="D154" s="65" t="s">
        <v>48</v>
      </c>
      <c r="E154" s="65"/>
      <c r="F154" s="65"/>
      <c r="G154" s="68"/>
      <c r="H154" s="65"/>
      <c r="I154" s="68"/>
      <c r="J154" s="65"/>
      <c r="K154" s="68"/>
      <c r="L154" s="65"/>
      <c r="M154" s="68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8"/>
      <c r="Z154" s="65"/>
      <c r="AA154" s="65"/>
      <c r="AF154" s="11"/>
    </row>
    <row r="155" spans="1:32" ht="15" customHeight="1">
      <c r="B155" s="65"/>
      <c r="C155" s="65"/>
      <c r="D155" s="65" t="s">
        <v>311</v>
      </c>
      <c r="E155" s="65"/>
      <c r="F155" s="65"/>
      <c r="G155" s="108"/>
      <c r="H155" s="270" t="s">
        <v>435</v>
      </c>
      <c r="I155" s="262" t="s">
        <v>433</v>
      </c>
      <c r="J155" s="65"/>
      <c r="K155" s="108"/>
      <c r="L155" s="65"/>
      <c r="M155" s="108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108"/>
      <c r="Z155" s="65"/>
      <c r="AA155" s="65"/>
      <c r="AF155" s="11"/>
    </row>
    <row r="156" spans="1:32" ht="15" customHeight="1">
      <c r="B156" s="65"/>
      <c r="C156" s="65"/>
      <c r="D156" s="65" t="s">
        <v>312</v>
      </c>
      <c r="E156" s="65"/>
      <c r="F156" s="65"/>
      <c r="G156" s="108"/>
      <c r="H156" s="270"/>
      <c r="I156" s="108" t="s">
        <v>434</v>
      </c>
      <c r="J156" s="65"/>
      <c r="K156" s="108"/>
      <c r="L156" s="65"/>
      <c r="M156" s="108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108"/>
      <c r="Z156" s="65"/>
      <c r="AA156" s="65"/>
      <c r="AF156" s="11"/>
    </row>
    <row r="157" spans="1:32" ht="15" customHeight="1">
      <c r="B157" s="65"/>
      <c r="C157" s="65"/>
      <c r="D157" s="65"/>
      <c r="E157" s="65"/>
      <c r="F157" s="65"/>
      <c r="G157" s="108"/>
      <c r="H157" s="65"/>
      <c r="I157" s="108"/>
      <c r="J157" s="65"/>
      <c r="K157" s="108"/>
      <c r="L157" s="65"/>
      <c r="M157" s="108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108"/>
      <c r="Z157" s="65"/>
      <c r="AA157" s="65"/>
      <c r="AF157" s="11"/>
    </row>
    <row r="158" spans="1:32" ht="15" customHeight="1">
      <c r="B158" s="17" t="s">
        <v>302</v>
      </c>
      <c r="C158" s="54" t="s">
        <v>49</v>
      </c>
      <c r="D158" s="47"/>
      <c r="E158" s="57"/>
      <c r="F158" s="47"/>
      <c r="G158" s="47"/>
      <c r="H158" s="47"/>
      <c r="I158" s="65"/>
      <c r="J158" s="65"/>
      <c r="K158" s="68"/>
      <c r="L158" s="65"/>
      <c r="M158" s="68"/>
      <c r="N158" s="65"/>
      <c r="O158" s="48" t="s">
        <v>177</v>
      </c>
      <c r="P158" s="65"/>
      <c r="Q158" s="65"/>
      <c r="R158" s="65"/>
      <c r="S158" s="65"/>
      <c r="T158" s="65"/>
      <c r="U158" s="65"/>
      <c r="V158" s="65"/>
      <c r="W158" s="65"/>
      <c r="X158" s="65"/>
      <c r="Y158" s="68"/>
      <c r="Z158" s="65"/>
      <c r="AF158" s="11"/>
    </row>
    <row r="159" spans="1:32" ht="15" customHeight="1">
      <c r="B159" s="65"/>
      <c r="C159" s="58" t="s">
        <v>9</v>
      </c>
      <c r="D159" s="52"/>
      <c r="E159" s="52"/>
      <c r="F159" s="52"/>
      <c r="G159" s="52"/>
      <c r="H159" s="58" t="s">
        <v>50</v>
      </c>
      <c r="I159" s="52"/>
      <c r="J159" s="52"/>
      <c r="K159" s="52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8"/>
      <c r="Z159" s="65"/>
      <c r="AA159" s="65"/>
      <c r="AF159" s="11"/>
    </row>
    <row r="160" spans="1:32" ht="15" customHeight="1">
      <c r="B160" s="65"/>
      <c r="C160" s="56" t="s">
        <v>313</v>
      </c>
      <c r="D160" s="56"/>
      <c r="E160" s="56"/>
      <c r="F160" s="56"/>
      <c r="G160" s="56"/>
      <c r="H160" s="61" t="s">
        <v>314</v>
      </c>
      <c r="I160" s="56"/>
      <c r="J160" s="56"/>
      <c r="K160" s="56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8"/>
      <c r="Z160" s="65"/>
      <c r="AA160" s="65"/>
      <c r="AF160" s="11"/>
    </row>
    <row r="161" spans="1:32" ht="15" customHeight="1">
      <c r="B161" s="65"/>
      <c r="C161" s="280" t="s">
        <v>315</v>
      </c>
      <c r="D161" s="280"/>
      <c r="E161" s="280"/>
      <c r="F161" s="65"/>
      <c r="G161" s="65"/>
      <c r="H161" s="27" t="s">
        <v>436</v>
      </c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8"/>
      <c r="Z161" s="65"/>
      <c r="AA161" s="65"/>
      <c r="AF161" s="11"/>
    </row>
    <row r="162" spans="1:32" ht="15" customHeight="1">
      <c r="B162" s="65"/>
      <c r="C162" s="281"/>
      <c r="D162" s="281"/>
      <c r="E162" s="281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8"/>
      <c r="Z162" s="65"/>
      <c r="AA162" s="65"/>
    </row>
    <row r="163" spans="1:32" ht="15" customHeight="1">
      <c r="B163" s="65"/>
      <c r="C163" s="231" t="s">
        <v>339</v>
      </c>
      <c r="D163" s="19"/>
      <c r="E163" s="19"/>
      <c r="F163" s="19"/>
      <c r="G163" s="19"/>
      <c r="H163" s="20" t="s">
        <v>316</v>
      </c>
      <c r="I163" s="19"/>
      <c r="J163" s="19"/>
      <c r="K163" s="19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8"/>
      <c r="Z163" s="65"/>
      <c r="AA163" s="65"/>
    </row>
    <row r="164" spans="1:32" ht="15" customHeight="1">
      <c r="A164" s="65"/>
      <c r="B164" s="65"/>
      <c r="C164" s="65"/>
      <c r="D164" s="65"/>
      <c r="E164" s="65"/>
      <c r="F164" s="68"/>
      <c r="G164" s="65"/>
      <c r="H164" s="68"/>
      <c r="I164" s="65"/>
      <c r="J164" s="65"/>
      <c r="K164" s="65"/>
      <c r="L164" s="68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8"/>
      <c r="Z164" s="65"/>
      <c r="AA164" s="65"/>
    </row>
    <row r="165" spans="1:32" ht="15" customHeight="1">
      <c r="A165" s="65"/>
      <c r="B165" s="65"/>
      <c r="C165" s="65" t="s">
        <v>438</v>
      </c>
      <c r="D165" s="65"/>
      <c r="E165" s="65"/>
      <c r="F165" s="68"/>
      <c r="G165" s="65" t="s">
        <v>439</v>
      </c>
      <c r="H165" s="68"/>
      <c r="I165" s="65"/>
      <c r="J165" s="68"/>
      <c r="K165" s="65"/>
      <c r="L165" s="68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8"/>
      <c r="Z165" s="65"/>
      <c r="AA165" s="65"/>
    </row>
    <row r="166" spans="1:32" ht="15" customHeight="1">
      <c r="A166" s="65"/>
      <c r="B166" s="65"/>
      <c r="C166" s="65" t="s">
        <v>437</v>
      </c>
      <c r="D166" s="65"/>
      <c r="E166" s="65"/>
      <c r="F166" s="68"/>
      <c r="G166" s="65" t="s">
        <v>440</v>
      </c>
      <c r="H166" s="68"/>
      <c r="I166" s="65"/>
      <c r="J166" s="68"/>
      <c r="K166" s="65"/>
      <c r="L166" s="68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8"/>
      <c r="Z166" s="65"/>
      <c r="AA166" s="65"/>
    </row>
    <row r="167" spans="1:32" ht="15" customHeight="1">
      <c r="A167" s="45"/>
      <c r="C167" s="54" t="s">
        <v>441</v>
      </c>
      <c r="F167" s="68"/>
      <c r="G167" s="65"/>
      <c r="H167" s="68"/>
      <c r="I167" s="65"/>
      <c r="J167" s="68"/>
      <c r="K167" s="65"/>
      <c r="L167" s="68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8"/>
      <c r="Z167" s="65"/>
      <c r="AA167" s="65"/>
    </row>
    <row r="168" spans="1:32" ht="15" customHeight="1">
      <c r="A168" s="45"/>
      <c r="C168" s="54" t="s">
        <v>442</v>
      </c>
      <c r="F168" s="68"/>
      <c r="G168" s="65"/>
      <c r="H168" s="68"/>
      <c r="I168" s="65"/>
      <c r="J168" s="68"/>
      <c r="K168" s="65"/>
      <c r="L168" s="68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8"/>
      <c r="Z168" s="65"/>
      <c r="AA168" s="65"/>
    </row>
    <row r="169" spans="1:32" ht="15" customHeight="1">
      <c r="A169" s="45"/>
      <c r="H169" s="78"/>
      <c r="I169" s="65"/>
      <c r="J169" s="78"/>
      <c r="K169" s="65"/>
      <c r="L169" s="78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78"/>
      <c r="Z169" s="65"/>
      <c r="AA169" s="65"/>
    </row>
    <row r="170" spans="1:32" ht="15" customHeight="1">
      <c r="A170" s="45"/>
      <c r="H170" s="78"/>
      <c r="I170" s="65"/>
      <c r="J170" s="78"/>
      <c r="K170" s="65"/>
      <c r="L170" s="78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78"/>
      <c r="Z170" s="65"/>
      <c r="AA170" s="65"/>
    </row>
    <row r="171" spans="1:32" ht="15" customHeight="1">
      <c r="A171" s="45"/>
      <c r="G171" s="65"/>
      <c r="H171" s="78"/>
      <c r="I171" s="65"/>
      <c r="J171" s="78"/>
      <c r="K171" s="65"/>
      <c r="L171" s="78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78"/>
      <c r="Z171" s="65"/>
      <c r="AA171" s="65"/>
    </row>
    <row r="172" spans="1:32" ht="15" customHeight="1">
      <c r="A172" s="45"/>
      <c r="C172" s="65" t="s">
        <v>107</v>
      </c>
      <c r="D172" s="43" t="s">
        <v>111</v>
      </c>
      <c r="E172" s="65" t="s">
        <v>109</v>
      </c>
      <c r="G172" s="65"/>
      <c r="H172" s="78"/>
      <c r="I172" s="65"/>
      <c r="J172" s="78"/>
      <c r="K172" s="65"/>
      <c r="L172" s="78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78"/>
      <c r="Z172" s="65"/>
      <c r="AA172" s="65"/>
    </row>
    <row r="173" spans="1:32" ht="15" customHeight="1">
      <c r="A173" s="45"/>
      <c r="C173" s="65" t="s">
        <v>108</v>
      </c>
      <c r="D173" s="43" t="s">
        <v>111</v>
      </c>
      <c r="E173" s="65" t="s">
        <v>110</v>
      </c>
      <c r="G173" s="65"/>
      <c r="H173" s="78"/>
      <c r="I173" s="65"/>
      <c r="J173" s="78"/>
      <c r="K173" s="65"/>
      <c r="L173" s="78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78"/>
      <c r="Z173" s="65"/>
      <c r="AA173" s="65"/>
    </row>
    <row r="174" spans="1:32" ht="15" customHeight="1">
      <c r="A174" s="45"/>
      <c r="C174" s="65" t="s">
        <v>112</v>
      </c>
      <c r="D174" s="43" t="s">
        <v>111</v>
      </c>
      <c r="E174" s="65" t="s">
        <v>113</v>
      </c>
      <c r="F174" s="65"/>
      <c r="G174" s="65"/>
      <c r="H174" s="78"/>
      <c r="I174" s="65"/>
      <c r="J174" s="78"/>
      <c r="K174" s="65"/>
      <c r="L174" s="78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78"/>
      <c r="Z174" s="65"/>
      <c r="AA174" s="65"/>
    </row>
    <row r="175" spans="1:32" ht="15" customHeight="1">
      <c r="A175" s="45"/>
      <c r="C175" s="65"/>
      <c r="D175" s="65" t="s">
        <v>114</v>
      </c>
      <c r="F175" s="65"/>
      <c r="G175" s="65"/>
      <c r="H175" s="108"/>
      <c r="I175" s="65"/>
      <c r="J175" s="108"/>
      <c r="K175" s="65"/>
      <c r="L175" s="108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108"/>
      <c r="Z175" s="65"/>
      <c r="AA175" s="65"/>
    </row>
    <row r="176" spans="1:32" ht="15" customHeight="1">
      <c r="A176" s="45"/>
      <c r="G176" s="65"/>
      <c r="H176" s="108"/>
      <c r="I176" s="65"/>
      <c r="J176" s="108"/>
      <c r="K176" s="65"/>
      <c r="L176" s="108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108"/>
      <c r="Z176" s="65"/>
      <c r="AA176" s="65"/>
    </row>
    <row r="177" spans="1:27" ht="15" customHeight="1">
      <c r="A177" s="45"/>
      <c r="B177" s="17" t="s">
        <v>302</v>
      </c>
      <c r="C177" s="54" t="s">
        <v>51</v>
      </c>
      <c r="D177" s="47"/>
      <c r="E177" s="57"/>
      <c r="F177" s="47"/>
      <c r="G177" s="47"/>
      <c r="H177" s="47"/>
      <c r="I177" s="65"/>
      <c r="J177" s="65"/>
      <c r="K177" s="65"/>
      <c r="L177" s="65"/>
      <c r="M177" s="68"/>
      <c r="N177" s="65"/>
      <c r="O177" s="48" t="s">
        <v>177</v>
      </c>
      <c r="P177" s="65"/>
      <c r="Q177" s="65"/>
      <c r="R177" s="65"/>
      <c r="S177" s="65"/>
      <c r="T177" s="65"/>
      <c r="U177" s="65"/>
      <c r="V177" s="65"/>
      <c r="W177" s="65"/>
      <c r="X177" s="65"/>
      <c r="Y177" s="78"/>
      <c r="Z177" s="65"/>
    </row>
    <row r="178" spans="1:27" ht="15" customHeight="1">
      <c r="B178" s="65"/>
      <c r="C178" s="58" t="s">
        <v>9</v>
      </c>
      <c r="D178" s="52"/>
      <c r="E178" s="58"/>
      <c r="F178" s="58"/>
      <c r="G178" s="52"/>
      <c r="H178" s="58" t="s">
        <v>52</v>
      </c>
      <c r="I178" s="52"/>
      <c r="J178" s="52"/>
      <c r="K178" s="52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78"/>
      <c r="Z178" s="65"/>
      <c r="AA178" s="65"/>
    </row>
    <row r="179" spans="1:27" ht="15" customHeight="1">
      <c r="B179" s="45"/>
      <c r="C179" s="21" t="s">
        <v>317</v>
      </c>
      <c r="D179" s="21"/>
      <c r="E179" s="21"/>
      <c r="F179" s="21"/>
      <c r="G179" s="21"/>
      <c r="H179" s="22" t="s">
        <v>53</v>
      </c>
      <c r="I179" s="21"/>
      <c r="J179" s="21"/>
      <c r="K179" s="21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78"/>
      <c r="Z179" s="65"/>
      <c r="AA179" s="65"/>
    </row>
    <row r="180" spans="1:27" ht="15" customHeight="1">
      <c r="B180" s="65"/>
      <c r="C180" s="32" t="s">
        <v>318</v>
      </c>
      <c r="D180" s="32"/>
      <c r="E180" s="33"/>
      <c r="F180" s="32"/>
      <c r="G180" s="32"/>
      <c r="H180" s="32" t="s">
        <v>319</v>
      </c>
      <c r="I180" s="32"/>
      <c r="J180" s="32"/>
      <c r="K180" s="32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78"/>
      <c r="Z180" s="65"/>
      <c r="AA180" s="65"/>
    </row>
    <row r="181" spans="1:27" ht="15" customHeight="1">
      <c r="B181" s="65"/>
      <c r="C181" s="55" t="s">
        <v>320</v>
      </c>
      <c r="D181" s="55"/>
      <c r="E181" s="59"/>
      <c r="F181" s="55"/>
      <c r="G181" s="55"/>
      <c r="H181" s="55" t="s">
        <v>321</v>
      </c>
      <c r="I181" s="55"/>
      <c r="J181" s="55"/>
      <c r="K181" s="5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78"/>
      <c r="Z181" s="65"/>
      <c r="AA181" s="65"/>
    </row>
    <row r="182" spans="1:27" ht="15" customHeight="1">
      <c r="L182" s="54"/>
      <c r="Q182" s="65"/>
      <c r="R182" s="65"/>
      <c r="S182" s="65"/>
      <c r="T182" s="65"/>
      <c r="U182" s="65"/>
      <c r="V182" s="65"/>
      <c r="W182" s="65"/>
      <c r="X182" s="65"/>
      <c r="Y182" s="78"/>
      <c r="Z182" s="65"/>
      <c r="AA182" s="65"/>
    </row>
    <row r="183" spans="1:27" ht="15" customHeight="1">
      <c r="B183" s="17" t="s">
        <v>302</v>
      </c>
      <c r="C183" s="55" t="s">
        <v>365</v>
      </c>
      <c r="D183" s="55"/>
      <c r="E183" s="55"/>
      <c r="F183" s="55"/>
      <c r="G183" s="55"/>
      <c r="H183" s="55"/>
      <c r="I183" s="55"/>
      <c r="J183" s="55"/>
      <c r="K183" s="55"/>
      <c r="L183" s="55"/>
      <c r="M183" s="71"/>
      <c r="N183" s="5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78"/>
      <c r="Z183" s="65"/>
      <c r="AA183" s="65"/>
    </row>
    <row r="184" spans="1:27" ht="15" customHeight="1">
      <c r="B184" s="65"/>
      <c r="C184" s="58" t="s">
        <v>9</v>
      </c>
      <c r="D184" s="58"/>
      <c r="E184" s="52"/>
      <c r="F184" s="52"/>
      <c r="G184" s="58" t="s">
        <v>8</v>
      </c>
      <c r="H184" s="52"/>
      <c r="I184" s="52"/>
      <c r="J184" s="52"/>
      <c r="K184" s="58" t="s">
        <v>54</v>
      </c>
      <c r="L184" s="52"/>
      <c r="M184" s="52"/>
      <c r="N184" s="52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78"/>
      <c r="Z184" s="65"/>
      <c r="AA184" s="65"/>
    </row>
    <row r="185" spans="1:27" ht="15" customHeight="1">
      <c r="B185" s="65"/>
      <c r="C185" s="56" t="s">
        <v>55</v>
      </c>
      <c r="D185" s="56"/>
      <c r="E185" s="56"/>
      <c r="F185" s="56"/>
      <c r="G185" s="35">
        <v>4</v>
      </c>
      <c r="H185" s="56"/>
      <c r="I185" s="56"/>
      <c r="J185" s="56"/>
      <c r="K185" s="167">
        <v>5.34</v>
      </c>
      <c r="L185" s="56"/>
      <c r="M185" s="56"/>
      <c r="N185" s="56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78"/>
      <c r="Z185" s="65"/>
      <c r="AA185" s="65"/>
    </row>
    <row r="186" spans="1:27" ht="15" customHeight="1">
      <c r="B186" s="65"/>
      <c r="C186" s="65"/>
      <c r="D186" s="36"/>
      <c r="E186" s="65" t="s">
        <v>33</v>
      </c>
      <c r="F186" s="65"/>
      <c r="G186" s="65" t="s">
        <v>322</v>
      </c>
      <c r="H186" s="65"/>
      <c r="I186" s="65"/>
      <c r="J186" s="65"/>
      <c r="K186" s="65"/>
      <c r="L186" s="65"/>
      <c r="M186" s="65"/>
      <c r="N186" s="65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78"/>
      <c r="Z186" s="65"/>
      <c r="AA186" s="65"/>
    </row>
    <row r="187" spans="1:27" ht="15" customHeight="1">
      <c r="B187" s="65"/>
      <c r="C187" s="36" t="s">
        <v>56</v>
      </c>
      <c r="D187" s="36"/>
      <c r="E187" s="65"/>
      <c r="F187" s="65"/>
      <c r="G187" s="65"/>
      <c r="H187" s="65"/>
      <c r="I187" s="65"/>
      <c r="J187" s="65"/>
      <c r="K187" s="55" t="s">
        <v>444</v>
      </c>
      <c r="L187" s="55"/>
      <c r="M187" s="55"/>
      <c r="N187" s="270" t="s">
        <v>445</v>
      </c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78"/>
      <c r="Z187" s="65"/>
      <c r="AA187" s="65"/>
    </row>
    <row r="188" spans="1:27" ht="15" customHeight="1">
      <c r="B188" s="45"/>
      <c r="C188" s="36"/>
      <c r="D188" s="36"/>
      <c r="E188" s="65" t="s">
        <v>57</v>
      </c>
      <c r="F188" s="65"/>
      <c r="G188" s="65" t="s">
        <v>323</v>
      </c>
      <c r="H188" s="65"/>
      <c r="I188" s="65"/>
      <c r="J188" s="65"/>
      <c r="K188" s="65"/>
      <c r="L188" s="65" t="s">
        <v>443</v>
      </c>
      <c r="M188" s="65"/>
      <c r="N188" s="270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78"/>
      <c r="Z188" s="65"/>
      <c r="AA188" s="65"/>
    </row>
    <row r="189" spans="1:27" ht="15" customHeight="1">
      <c r="B189" s="65"/>
      <c r="C189" s="34"/>
      <c r="D189" s="34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78"/>
      <c r="Z189" s="65"/>
      <c r="AA189" s="65"/>
    </row>
    <row r="190" spans="1:27" ht="15" customHeight="1">
      <c r="A190" s="65"/>
      <c r="C190" s="36" t="s">
        <v>271</v>
      </c>
      <c r="D190" s="65"/>
      <c r="E190" s="65"/>
      <c r="F190" s="65"/>
      <c r="G190" s="28"/>
      <c r="H190" s="65"/>
      <c r="I190" s="65"/>
      <c r="K190" s="65"/>
      <c r="L190" s="68"/>
      <c r="M190" s="65"/>
      <c r="N190" s="65"/>
      <c r="O190" s="65"/>
      <c r="P190" s="153"/>
      <c r="Q190" s="153"/>
      <c r="R190" s="153"/>
      <c r="S190" s="153"/>
      <c r="T190" s="153"/>
      <c r="U190" s="153"/>
      <c r="V190" s="153"/>
      <c r="W190" s="153"/>
      <c r="X190" s="153"/>
      <c r="Y190" s="78"/>
      <c r="Z190" s="65"/>
      <c r="AA190" s="65"/>
    </row>
    <row r="191" spans="1:27" ht="15" customHeight="1">
      <c r="A191" s="65"/>
      <c r="C191" s="70" t="s">
        <v>270</v>
      </c>
      <c r="D191" s="65"/>
      <c r="E191" s="65"/>
      <c r="F191" s="65"/>
      <c r="G191" s="28"/>
      <c r="H191" s="65"/>
      <c r="I191" s="65"/>
      <c r="J191" s="65"/>
      <c r="K191" s="65"/>
      <c r="L191" s="68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78"/>
      <c r="Z191" s="65"/>
      <c r="AA191" s="65"/>
    </row>
    <row r="192" spans="1:27" ht="15" customHeight="1">
      <c r="A192" s="65"/>
      <c r="B192" s="80"/>
      <c r="C192" s="65"/>
      <c r="D192" s="65"/>
      <c r="E192" s="65"/>
      <c r="F192" s="65"/>
      <c r="G192" s="28"/>
      <c r="H192" s="65"/>
      <c r="I192" s="65"/>
      <c r="J192" s="65"/>
      <c r="K192" s="65"/>
      <c r="L192" s="78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78"/>
      <c r="Z192" s="65"/>
      <c r="AA192" s="65"/>
    </row>
    <row r="193" spans="1:45" ht="15" customHeight="1" thickBot="1">
      <c r="A193" s="146" t="s">
        <v>284</v>
      </c>
      <c r="G193" s="1"/>
      <c r="H193" s="1"/>
      <c r="I193" s="1"/>
      <c r="L193" s="109"/>
      <c r="O193" s="4"/>
      <c r="U193" s="100"/>
      <c r="W193" s="109"/>
      <c r="Y193" s="109"/>
      <c r="AB193" s="145"/>
      <c r="AD193" s="11"/>
      <c r="AF193" s="11"/>
    </row>
    <row r="194" spans="1:45" ht="15" customHeight="1">
      <c r="A194" s="154" t="s">
        <v>69</v>
      </c>
      <c r="B194" s="273" t="s">
        <v>172</v>
      </c>
      <c r="C194" s="276"/>
      <c r="D194" s="276"/>
      <c r="E194" s="276"/>
      <c r="F194" s="275"/>
      <c r="G194" s="273" t="s">
        <v>348</v>
      </c>
      <c r="H194" s="276"/>
      <c r="I194" s="276"/>
      <c r="J194" s="275"/>
      <c r="K194" s="273" t="s">
        <v>173</v>
      </c>
      <c r="L194" s="275"/>
      <c r="M194" s="161" t="s">
        <v>70</v>
      </c>
      <c r="N194" s="161" t="s">
        <v>71</v>
      </c>
      <c r="O194" s="159" t="s">
        <v>102</v>
      </c>
      <c r="AA194" s="11"/>
      <c r="AC194" s="11"/>
      <c r="AD194" s="11"/>
      <c r="AF194" s="11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</row>
    <row r="195" spans="1:45" ht="15" customHeight="1">
      <c r="A195" s="155"/>
      <c r="B195" s="168" t="s">
        <v>169</v>
      </c>
      <c r="C195" s="168" t="s">
        <v>170</v>
      </c>
      <c r="D195" s="168" t="s">
        <v>171</v>
      </c>
      <c r="E195" s="168" t="s">
        <v>281</v>
      </c>
      <c r="F195" s="168" t="s">
        <v>161</v>
      </c>
      <c r="G195" s="236" t="s">
        <v>293</v>
      </c>
      <c r="H195" s="236" t="s">
        <v>294</v>
      </c>
      <c r="I195" s="236" t="s">
        <v>277</v>
      </c>
      <c r="J195" s="236" t="s">
        <v>162</v>
      </c>
      <c r="K195" s="168" t="s">
        <v>163</v>
      </c>
      <c r="L195" s="245" t="s">
        <v>164</v>
      </c>
      <c r="M195" s="165"/>
      <c r="N195" s="165"/>
      <c r="O195" s="160"/>
      <c r="AA195" s="11"/>
      <c r="AC195" s="11"/>
      <c r="AD195" s="11"/>
      <c r="AF195" s="11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ht="15" customHeight="1">
      <c r="A196" s="205">
        <f>A97</f>
        <v>0</v>
      </c>
      <c r="B196" s="206"/>
      <c r="C196" s="206"/>
      <c r="D196" s="206"/>
      <c r="E196" s="206"/>
      <c r="F196" s="206">
        <f>MAX(B196-D196,C196-E196)</f>
        <v>0</v>
      </c>
      <c r="G196" s="237"/>
      <c r="H196" s="237"/>
      <c r="I196" s="237"/>
      <c r="J196" s="254">
        <f>IF(B196-D196&gt;=C196-E196,G196*H196*D196,I196*E196)</f>
        <v>0</v>
      </c>
      <c r="K196" s="206"/>
      <c r="L196" s="207"/>
      <c r="M196" s="207"/>
      <c r="N196" s="207" t="e">
        <f t="shared" ref="N196" si="2">2*F196*M196/J196</f>
        <v>#DIV/0!</v>
      </c>
      <c r="O196" s="209"/>
      <c r="AA196" s="11"/>
      <c r="AC196" s="11"/>
      <c r="AD196" s="11"/>
      <c r="AF196" s="11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</row>
    <row r="197" spans="1:45" ht="15" customHeight="1">
      <c r="B197" s="105"/>
      <c r="C197" s="105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4"/>
      <c r="O197" s="94"/>
      <c r="P197" s="93"/>
      <c r="Q197" s="93"/>
      <c r="R197" s="99"/>
      <c r="S197" s="99"/>
      <c r="T197" s="99"/>
      <c r="U197" s="99"/>
      <c r="V197" s="111"/>
      <c r="W197" s="111"/>
      <c r="X197" s="99"/>
      <c r="Y197" s="99"/>
      <c r="AD197" s="11"/>
      <c r="AF197" s="11"/>
    </row>
    <row r="198" spans="1:45" ht="15" customHeight="1" thickBot="1">
      <c r="A198" s="146" t="s">
        <v>285</v>
      </c>
    </row>
    <row r="199" spans="1:45" ht="15" customHeight="1">
      <c r="A199" s="163" t="s">
        <v>3</v>
      </c>
      <c r="B199" s="242" t="s">
        <v>166</v>
      </c>
      <c r="C199" s="226" t="s">
        <v>151</v>
      </c>
      <c r="D199" s="273" t="s">
        <v>223</v>
      </c>
      <c r="E199" s="276"/>
      <c r="F199" s="276"/>
      <c r="G199" s="275"/>
      <c r="H199" s="273" t="s">
        <v>230</v>
      </c>
      <c r="I199" s="276"/>
      <c r="J199" s="276"/>
      <c r="K199" s="276"/>
      <c r="L199" s="275"/>
      <c r="M199" s="159" t="s">
        <v>15</v>
      </c>
      <c r="X199" s="11"/>
      <c r="Y199" s="11"/>
      <c r="Z199" s="11"/>
      <c r="AA199" s="11"/>
      <c r="AC199" s="11"/>
      <c r="AD199" s="11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</row>
    <row r="200" spans="1:45" ht="15" customHeight="1">
      <c r="A200" s="164"/>
      <c r="B200" s="243" t="s">
        <v>167</v>
      </c>
      <c r="C200" s="228"/>
      <c r="D200" s="157" t="s">
        <v>224</v>
      </c>
      <c r="E200" s="165" t="s">
        <v>225</v>
      </c>
      <c r="F200" s="165" t="s">
        <v>226</v>
      </c>
      <c r="G200" s="165" t="s">
        <v>227</v>
      </c>
      <c r="H200" s="165" t="s">
        <v>231</v>
      </c>
      <c r="I200" s="165" t="s">
        <v>232</v>
      </c>
      <c r="J200" s="165" t="s">
        <v>228</v>
      </c>
      <c r="K200" s="165" t="s">
        <v>233</v>
      </c>
      <c r="L200" s="165" t="s">
        <v>234</v>
      </c>
      <c r="M200" s="160" t="s">
        <v>235</v>
      </c>
      <c r="Y200" s="54"/>
      <c r="AB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</row>
    <row r="201" spans="1:45" ht="15" customHeight="1">
      <c r="A201" s="147">
        <f>A97</f>
        <v>0</v>
      </c>
      <c r="B201" s="256" t="str">
        <f>D102</f>
        <v>Positive</v>
      </c>
      <c r="C201" s="246"/>
      <c r="D201" s="2"/>
      <c r="E201" s="207" t="e">
        <f t="shared" ref="E201" si="3">0.38*SQRT(Es/Fyf)</f>
        <v>#REF!</v>
      </c>
      <c r="F201" s="207" t="e">
        <f t="shared" ref="F201" si="4">0.56*SQRT(Es/Fyr)</f>
        <v>#REF!</v>
      </c>
      <c r="G201" s="210" t="e">
        <f>IF(D201&lt;=E201,1*O196*Fyf,(1-(1-Fyr/O196/Fyf)*((D201-E201)/(F201-E201)))*1*O196*Fyf)</f>
        <v>#REF!</v>
      </c>
      <c r="H201" s="210">
        <f>B97</f>
        <v>0</v>
      </c>
      <c r="I201" s="208">
        <f>J102</f>
        <v>0</v>
      </c>
      <c r="J201" s="208"/>
      <c r="K201" s="208"/>
      <c r="L201" s="207" t="e">
        <f>IF(H201&lt;=I201,1*O196*Fyf,IF(H201&lt;=J201,MIN(1*(1-(1-Fyr/O196/Fyf)*((H201-I201)/(J201-I201)))*1*O196*Fyf,1*O196*Fyf),MIN(K201,1*O196*Fyf)))</f>
        <v>#REF!</v>
      </c>
      <c r="M201" s="209" t="e">
        <f>MIN(G201:L201)</f>
        <v>#REF!</v>
      </c>
      <c r="Y201" s="54"/>
      <c r="AB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</row>
    <row r="202" spans="1:45" ht="15" customHeight="1">
      <c r="A202" s="5"/>
      <c r="B202" s="40"/>
      <c r="C202" s="42"/>
      <c r="D202" s="6"/>
      <c r="E202" s="40"/>
      <c r="F202" s="40"/>
      <c r="G202" s="39"/>
      <c r="H202" s="38"/>
      <c r="I202" s="40"/>
      <c r="J202" s="42"/>
      <c r="K202" s="42"/>
      <c r="L202" s="42"/>
      <c r="M202" s="42"/>
      <c r="N202" s="6"/>
      <c r="O202" s="6"/>
      <c r="P202" s="7"/>
      <c r="Q202" s="7"/>
      <c r="R202" s="8"/>
    </row>
    <row r="203" spans="1:45" ht="15" customHeight="1">
      <c r="A203" s="105"/>
      <c r="L203" s="54"/>
      <c r="Y203" s="54"/>
      <c r="AD203" s="11"/>
      <c r="AE203" s="145"/>
      <c r="AF203" s="11"/>
    </row>
    <row r="204" spans="1:45" ht="15" customHeight="1" thickBot="1">
      <c r="A204" s="146" t="s">
        <v>286</v>
      </c>
      <c r="G204" s="1"/>
      <c r="H204" s="1"/>
      <c r="I204" s="1"/>
      <c r="L204" s="109"/>
      <c r="O204" s="4"/>
      <c r="Y204" s="99"/>
      <c r="AA204" s="109"/>
      <c r="AD204" s="11"/>
      <c r="AF204" s="11"/>
    </row>
    <row r="205" spans="1:45" ht="15" customHeight="1">
      <c r="A205" s="173" t="s">
        <v>3</v>
      </c>
      <c r="B205" s="273" t="s">
        <v>236</v>
      </c>
      <c r="C205" s="276"/>
      <c r="D205" s="276"/>
      <c r="E205" s="276"/>
      <c r="F205" s="276"/>
      <c r="G205" s="276"/>
      <c r="H205" s="275"/>
      <c r="I205" s="273" t="s">
        <v>184</v>
      </c>
      <c r="J205" s="276"/>
      <c r="K205" s="275"/>
      <c r="L205" s="178" t="s">
        <v>363</v>
      </c>
      <c r="M205" s="183" t="s">
        <v>115</v>
      </c>
      <c r="U205" s="11"/>
      <c r="V205" s="11"/>
      <c r="W205" s="11"/>
      <c r="X205" s="11"/>
      <c r="Y205" s="11"/>
      <c r="Z205" s="11"/>
      <c r="AA205" s="11"/>
      <c r="AC205" s="11"/>
      <c r="AD205" s="11"/>
      <c r="AF205" s="11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</row>
    <row r="206" spans="1:45" ht="15" customHeight="1">
      <c r="A206" s="174"/>
      <c r="B206" s="236" t="s">
        <v>171</v>
      </c>
      <c r="C206" s="236" t="s">
        <v>277</v>
      </c>
      <c r="D206" s="236" t="s">
        <v>278</v>
      </c>
      <c r="E206" s="228" t="s">
        <v>295</v>
      </c>
      <c r="F206" s="236" t="s">
        <v>112</v>
      </c>
      <c r="G206" s="228" t="s">
        <v>120</v>
      </c>
      <c r="H206" s="236" t="s">
        <v>237</v>
      </c>
      <c r="I206" s="184" t="s">
        <v>174</v>
      </c>
      <c r="J206" s="184" t="s">
        <v>0</v>
      </c>
      <c r="K206" s="184" t="s">
        <v>1</v>
      </c>
      <c r="L206" s="175"/>
      <c r="M206" s="180"/>
      <c r="U206" s="11"/>
      <c r="V206" s="11"/>
      <c r="W206" s="11"/>
      <c r="X206" s="11"/>
      <c r="Y206" s="11"/>
      <c r="Z206" s="11"/>
      <c r="AA206" s="11"/>
      <c r="AC206" s="11"/>
      <c r="AD206" s="11"/>
      <c r="AF206" s="11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</row>
    <row r="207" spans="1:45" ht="15" customHeight="1">
      <c r="A207" s="205">
        <f>A97</f>
        <v>0</v>
      </c>
      <c r="B207" s="206"/>
      <c r="C207" s="206"/>
      <c r="D207" s="206"/>
      <c r="E207" s="206"/>
      <c r="F207" s="206"/>
      <c r="G207" s="206"/>
      <c r="H207" s="248">
        <f>+(F207+C207-2*E207)*(G207+B207/2+D207/2)/2</f>
        <v>0</v>
      </c>
      <c r="I207" s="207"/>
      <c r="J207" s="207"/>
      <c r="K207" s="207"/>
      <c r="L207" s="207" t="e">
        <f>1.25*(I207+J207+K207)/2/H207/IF(D102="Positive",B207,D207)*10^6</f>
        <v>#DIV/0!</v>
      </c>
      <c r="M207" s="209" t="e">
        <f t="shared" ref="M207" si="5">SQRT(1-(L207/Fyf)^2)</f>
        <v>#DIV/0!</v>
      </c>
      <c r="U207" s="11"/>
      <c r="V207" s="11"/>
      <c r="W207" s="11"/>
      <c r="X207" s="11"/>
      <c r="Y207" s="11"/>
      <c r="Z207" s="11"/>
      <c r="AA207" s="11"/>
      <c r="AC207" s="11"/>
      <c r="AD207" s="11"/>
      <c r="AF207" s="11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</row>
    <row r="208" spans="1:45" ht="15" customHeight="1">
      <c r="A208" s="105"/>
      <c r="B208" s="105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4"/>
      <c r="P208" s="94"/>
      <c r="Q208" s="99"/>
      <c r="R208" s="99"/>
      <c r="S208" s="99"/>
      <c r="T208" s="99"/>
      <c r="U208" s="99"/>
      <c r="V208" s="99"/>
      <c r="W208" s="111"/>
      <c r="X208" s="111"/>
      <c r="Y208" s="99"/>
      <c r="Z208" s="99"/>
      <c r="AA208" s="99"/>
      <c r="AB208" s="99"/>
      <c r="AD208" s="11"/>
      <c r="AE208" s="145"/>
      <c r="AF208" s="11"/>
    </row>
    <row r="209" spans="1:45" ht="15" customHeight="1">
      <c r="B209" s="105"/>
      <c r="C209" s="105"/>
      <c r="D209" s="99"/>
      <c r="E209" s="99"/>
      <c r="F209" s="99"/>
      <c r="G209" s="99"/>
      <c r="H209" s="99"/>
      <c r="I209" s="99"/>
      <c r="J209" s="111"/>
      <c r="K209" s="111"/>
      <c r="L209" s="111"/>
      <c r="M209" s="111"/>
      <c r="N209" s="111"/>
      <c r="O209" s="111"/>
      <c r="P209" s="111"/>
      <c r="Q209" s="111"/>
      <c r="R209" s="99"/>
      <c r="S209" s="99"/>
      <c r="T209" s="99"/>
      <c r="U209" s="99"/>
      <c r="V209" s="99"/>
      <c r="W209" s="99"/>
      <c r="X209" s="99"/>
      <c r="Y209" s="99"/>
      <c r="AA209" s="109"/>
      <c r="AB209" s="145"/>
      <c r="AD209" s="11"/>
      <c r="AE209" s="145"/>
      <c r="AF209" s="11"/>
    </row>
    <row r="210" spans="1:45" ht="15" customHeight="1" thickBot="1">
      <c r="A210" s="146" t="s">
        <v>287</v>
      </c>
      <c r="B210" s="40"/>
      <c r="C210" s="99"/>
      <c r="D210" s="6"/>
      <c r="E210" s="40"/>
      <c r="F210" s="40"/>
      <c r="G210" s="39"/>
      <c r="H210" s="38"/>
      <c r="I210" s="40"/>
      <c r="J210" s="99"/>
      <c r="K210" s="99"/>
      <c r="L210" s="99"/>
      <c r="M210" s="99"/>
      <c r="N210" s="6"/>
      <c r="O210" s="6"/>
      <c r="P210" s="7"/>
      <c r="Q210" s="7"/>
      <c r="R210" s="8"/>
      <c r="Y210" s="109"/>
    </row>
    <row r="211" spans="1:45" ht="15" customHeight="1">
      <c r="A211" s="182" t="s">
        <v>3</v>
      </c>
      <c r="B211" s="242" t="s">
        <v>166</v>
      </c>
      <c r="C211" s="291" t="s">
        <v>342</v>
      </c>
      <c r="D211" s="292"/>
      <c r="E211" s="292"/>
      <c r="F211" s="292"/>
      <c r="G211" s="293"/>
      <c r="H211" s="178" t="s">
        <v>238</v>
      </c>
      <c r="I211" s="178" t="s">
        <v>239</v>
      </c>
      <c r="J211" s="178" t="s">
        <v>240</v>
      </c>
      <c r="K211" s="178" t="s">
        <v>362</v>
      </c>
      <c r="L211" s="176" t="s">
        <v>8</v>
      </c>
      <c r="M211" s="183" t="s">
        <v>116</v>
      </c>
      <c r="S211" s="11"/>
      <c r="U211" s="11"/>
      <c r="V211" s="11"/>
      <c r="W211" s="11"/>
      <c r="Y211" s="54"/>
      <c r="AB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</row>
    <row r="212" spans="1:45" ht="15" customHeight="1">
      <c r="A212" s="181"/>
      <c r="B212" s="243" t="s">
        <v>167</v>
      </c>
      <c r="C212" s="228" t="s">
        <v>343</v>
      </c>
      <c r="D212" s="228" t="s">
        <v>344</v>
      </c>
      <c r="E212" s="228" t="s">
        <v>345</v>
      </c>
      <c r="F212" s="228" t="s">
        <v>346</v>
      </c>
      <c r="G212" s="228" t="s">
        <v>347</v>
      </c>
      <c r="H212" s="177"/>
      <c r="I212" s="177"/>
      <c r="J212" s="177"/>
      <c r="K212" s="177"/>
      <c r="L212" s="177"/>
      <c r="M212" s="180"/>
      <c r="S212" s="11"/>
      <c r="U212" s="11"/>
      <c r="V212" s="11"/>
      <c r="W212" s="11"/>
      <c r="Y212" s="54"/>
      <c r="AB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</row>
    <row r="213" spans="1:45" ht="15" customHeight="1">
      <c r="A213" s="147">
        <f>A97</f>
        <v>0</v>
      </c>
      <c r="B213" s="256" t="str">
        <f>D102</f>
        <v>Positive</v>
      </c>
      <c r="C213" s="185" t="e">
        <f>#REF!</f>
        <v>#REF!</v>
      </c>
      <c r="D213" s="185" t="e">
        <f>#REF!</f>
        <v>#REF!</v>
      </c>
      <c r="E213" s="185" t="e">
        <f>#REF!</f>
        <v>#REF!</v>
      </c>
      <c r="F213" s="185" t="e">
        <f>#REF!</f>
        <v>#REF!</v>
      </c>
      <c r="G213" s="247" t="e">
        <f>IF(B213="Positive",1/3*F213*E213^3,1/3*D213*C213^3)</f>
        <v>#REF!</v>
      </c>
      <c r="H213" s="148" t="e">
        <f>IF(B213="Positive",IF(E213=0,0,(F207-K213*F213)/K213),IF(C213=0,0,(C207-2*E207-K213*D213)/K213))</f>
        <v>#REF!</v>
      </c>
      <c r="I213" s="148" t="e">
        <f>IF(B213="Positive",#REF!,#REF!)</f>
        <v>#REF!</v>
      </c>
      <c r="J213" s="148" t="e">
        <f>IF(B213="Positive",#REF!,#REF!)</f>
        <v>#REF!</v>
      </c>
      <c r="K213" s="148" t="e">
        <f>IF(B213="Positive",#REF!,#REF!)</f>
        <v>#REF!</v>
      </c>
      <c r="L213" s="2" t="e">
        <f>IF(H213=0,4,MIN(MAX((IF(K213=1,8,0.894)*G213/H213/I213^3)^(1/3),1),4))</f>
        <v>#REF!</v>
      </c>
      <c r="M213" s="209" t="e">
        <f>IF(H213=0,5.34,MIN((5.34+2.84*(G213/H213/I213^3)^(1/3))/((K213+1)^2),5.34))</f>
        <v>#REF!</v>
      </c>
      <c r="S213" s="11"/>
      <c r="U213" s="11"/>
      <c r="V213" s="11"/>
      <c r="W213" s="11"/>
      <c r="Y213" s="54"/>
      <c r="AB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</row>
    <row r="214" spans="1:45" ht="15" customHeight="1">
      <c r="A214" s="105"/>
      <c r="B214" s="93"/>
      <c r="C214" s="99"/>
      <c r="D214" s="99"/>
      <c r="E214" s="94"/>
      <c r="F214" s="105"/>
      <c r="G214" s="99"/>
      <c r="H214" s="99"/>
      <c r="I214" s="99"/>
      <c r="J214" s="105"/>
      <c r="K214" s="105"/>
      <c r="L214" s="105"/>
      <c r="M214" s="105"/>
      <c r="N214" s="105"/>
      <c r="O214" s="105"/>
      <c r="P214" s="99"/>
      <c r="Q214" s="99"/>
      <c r="S214" s="11"/>
      <c r="U214" s="145"/>
      <c r="V214" s="11"/>
      <c r="W214" s="145"/>
      <c r="X214" s="11"/>
      <c r="Y214" s="11"/>
      <c r="Z214" s="11"/>
      <c r="AA214" s="11"/>
      <c r="AC214" s="11"/>
      <c r="AD214" s="11"/>
      <c r="AF214" s="11"/>
      <c r="AK214" s="54"/>
      <c r="AL214" s="54"/>
      <c r="AM214" s="54"/>
      <c r="AN214" s="54"/>
      <c r="AO214" s="54"/>
      <c r="AP214" s="54"/>
      <c r="AQ214" s="54"/>
      <c r="AR214" s="54"/>
      <c r="AS214" s="54"/>
    </row>
    <row r="215" spans="1:45" ht="15" customHeight="1">
      <c r="A215" s="105"/>
      <c r="B215" s="93"/>
      <c r="C215" s="99"/>
      <c r="D215" s="99"/>
      <c r="E215" s="94"/>
      <c r="F215" s="105"/>
      <c r="G215" s="99"/>
      <c r="H215" s="99"/>
      <c r="I215" s="99"/>
      <c r="J215" s="105"/>
      <c r="K215" s="105"/>
      <c r="L215" s="105"/>
      <c r="M215" s="105"/>
      <c r="N215" s="105"/>
      <c r="O215" s="105"/>
      <c r="P215" s="99"/>
      <c r="Q215" s="99"/>
      <c r="S215" s="11"/>
      <c r="U215" s="145"/>
      <c r="V215" s="11"/>
      <c r="W215" s="145"/>
      <c r="X215" s="11"/>
      <c r="Y215" s="11"/>
      <c r="Z215" s="11"/>
      <c r="AA215" s="11"/>
      <c r="AC215" s="11"/>
      <c r="AD215" s="11"/>
      <c r="AF215" s="11"/>
      <c r="AK215" s="54"/>
      <c r="AL215" s="54"/>
      <c r="AM215" s="54"/>
      <c r="AN215" s="54"/>
      <c r="AO215" s="54"/>
      <c r="AP215" s="54"/>
      <c r="AQ215" s="54"/>
      <c r="AR215" s="54"/>
      <c r="AS215" s="54"/>
    </row>
    <row r="216" spans="1:45" ht="15" customHeight="1" thickBot="1">
      <c r="A216" s="146" t="s">
        <v>288</v>
      </c>
      <c r="B216" s="42"/>
      <c r="C216" s="40"/>
      <c r="D216" s="39"/>
      <c r="E216" s="40"/>
      <c r="F216" s="42"/>
      <c r="G216" s="42"/>
      <c r="H216" s="6"/>
      <c r="I216" s="7"/>
      <c r="L216" s="54"/>
      <c r="P216" s="86"/>
      <c r="S216" s="11"/>
      <c r="U216" s="145"/>
      <c r="V216" s="11"/>
      <c r="W216" s="145"/>
      <c r="X216" s="11"/>
      <c r="Y216" s="11"/>
      <c r="Z216" s="11"/>
      <c r="AA216" s="11"/>
      <c r="AC216" s="11"/>
      <c r="AD216" s="11"/>
      <c r="AF216" s="11"/>
      <c r="AK216" s="54"/>
      <c r="AL216" s="54"/>
      <c r="AM216" s="54"/>
      <c r="AN216" s="54"/>
      <c r="AO216" s="54"/>
      <c r="AP216" s="54"/>
      <c r="AQ216" s="54"/>
      <c r="AR216" s="54"/>
      <c r="AS216" s="54"/>
    </row>
    <row r="217" spans="1:45" ht="15" customHeight="1">
      <c r="A217" s="182" t="s">
        <v>3</v>
      </c>
      <c r="B217" s="242" t="s">
        <v>166</v>
      </c>
      <c r="C217" s="176" t="s">
        <v>151</v>
      </c>
      <c r="D217" s="273" t="s">
        <v>241</v>
      </c>
      <c r="E217" s="276"/>
      <c r="F217" s="276"/>
      <c r="G217" s="275"/>
      <c r="H217" s="176" t="s">
        <v>5</v>
      </c>
      <c r="I217" s="176" t="s">
        <v>247</v>
      </c>
      <c r="J217" s="176" t="s">
        <v>15</v>
      </c>
      <c r="K217" s="183" t="s">
        <v>15</v>
      </c>
      <c r="L217" s="54"/>
      <c r="N217" s="69"/>
      <c r="Q217" s="11"/>
      <c r="S217" s="11"/>
      <c r="T217" s="11"/>
      <c r="U217" s="11"/>
      <c r="V217" s="11"/>
      <c r="W217" s="11"/>
      <c r="X217" s="11"/>
      <c r="Y217" s="11"/>
      <c r="Z217" s="11"/>
      <c r="AA217" s="11"/>
      <c r="AC217" s="11"/>
      <c r="AD217" s="11"/>
      <c r="AF217" s="11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</row>
    <row r="218" spans="1:45" ht="15" customHeight="1">
      <c r="A218" s="181"/>
      <c r="B218" s="243" t="s">
        <v>167</v>
      </c>
      <c r="C218" s="177"/>
      <c r="D218" s="177" t="s">
        <v>242</v>
      </c>
      <c r="E218" s="177" t="s">
        <v>243</v>
      </c>
      <c r="F218" s="177" t="s">
        <v>244</v>
      </c>
      <c r="G218" s="177" t="s">
        <v>245</v>
      </c>
      <c r="H218" s="177"/>
      <c r="I218" s="177"/>
      <c r="J218" s="177" t="s">
        <v>246</v>
      </c>
      <c r="K218" s="180"/>
      <c r="L218" s="54"/>
      <c r="N218" s="69"/>
      <c r="Q218" s="11"/>
      <c r="S218" s="11"/>
      <c r="T218" s="11"/>
      <c r="U218" s="11"/>
      <c r="V218" s="11"/>
      <c r="W218" s="11"/>
      <c r="X218" s="11"/>
      <c r="Y218" s="11"/>
      <c r="Z218" s="11"/>
      <c r="AA218" s="11"/>
      <c r="AC218" s="11"/>
      <c r="AD218" s="11"/>
      <c r="AF218" s="11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</row>
    <row r="219" spans="1:45" ht="15" customHeight="1">
      <c r="A219" s="147">
        <f>A97</f>
        <v>0</v>
      </c>
      <c r="B219" s="256" t="str">
        <f>D102</f>
        <v>Positive</v>
      </c>
      <c r="C219" s="246">
        <f>C201</f>
        <v>0</v>
      </c>
      <c r="D219" s="2" t="e">
        <f>IF(K213=0,J213,H213)/I213</f>
        <v>#REF!</v>
      </c>
      <c r="E219" s="2" t="e">
        <f>0.95*SQRT(Es*L213/(M207-0.3)/Fyf)</f>
        <v>#REF!</v>
      </c>
      <c r="F219" s="2" t="e">
        <f>0.57*SQRT(Es*L213/Fyf/M207)</f>
        <v>#REF!</v>
      </c>
      <c r="G219" s="2" t="e">
        <f>IF(D219&lt;=F219,1*O196*M207*Fyf,IF(D219&lt;=E219,1*O196*Fyf*(M207-(M207-(M207-0.3)/O196)*((D219-F219)/(E219-F219))),0.9*Es*1*L213/D219/D219))</f>
        <v>#REF!</v>
      </c>
      <c r="H219" s="2" t="e">
        <f>IF(D219&lt;=1.12*SQRT(Es*M213/Fyf),0.58*Fyf,IF(D219&lt;=1.4*SQRT(Es*M213/Fyf),0.65*SQRT(Fyf*Es*M213)/D219,0.9*Es*M213/D219/D219))</f>
        <v>#REF!</v>
      </c>
      <c r="I219" s="2" t="e">
        <f>L207</f>
        <v>#DIV/0!</v>
      </c>
      <c r="J219" s="246" t="e">
        <f t="shared" ref="J219" si="6">IF(C219="OF","OF",G219*SQRT(1-(I219/H219)^2))</f>
        <v>#REF!</v>
      </c>
      <c r="K219" s="209" t="e">
        <f>IF(C219="OF",M201,J219)</f>
        <v>#REF!</v>
      </c>
      <c r="L219" s="54"/>
      <c r="N219" s="69"/>
      <c r="Q219" s="11"/>
      <c r="S219" s="11"/>
      <c r="T219" s="11"/>
      <c r="U219" s="11"/>
      <c r="V219" s="11"/>
      <c r="W219" s="11"/>
      <c r="X219" s="11"/>
      <c r="Y219" s="11"/>
      <c r="Z219" s="11"/>
      <c r="AA219" s="11"/>
      <c r="AC219" s="11"/>
      <c r="AD219" s="11"/>
      <c r="AF219" s="11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</row>
    <row r="220" spans="1:45" ht="15" customHeight="1">
      <c r="A220" s="67"/>
      <c r="B220" s="67"/>
      <c r="C220" s="93"/>
      <c r="D220" s="93"/>
      <c r="E220" s="42"/>
      <c r="F220" s="42"/>
      <c r="G220" s="42"/>
      <c r="H220" s="42"/>
      <c r="I220" s="94"/>
      <c r="J220" s="94"/>
      <c r="K220" s="67"/>
      <c r="L220" s="67"/>
      <c r="M220" s="42"/>
      <c r="N220" s="42"/>
      <c r="O220" s="42"/>
      <c r="P220" s="42"/>
      <c r="Q220" s="42"/>
    </row>
    <row r="221" spans="1:45" ht="15" customHeight="1">
      <c r="A221" s="67"/>
      <c r="B221" s="67"/>
      <c r="C221" s="93"/>
      <c r="D221" s="93"/>
      <c r="E221" s="42"/>
      <c r="F221" s="42"/>
      <c r="G221" s="42"/>
      <c r="H221" s="42"/>
      <c r="I221" s="94"/>
      <c r="J221" s="94"/>
      <c r="K221" s="67"/>
      <c r="L221" s="67"/>
      <c r="M221" s="42"/>
      <c r="N221" s="42"/>
      <c r="O221" s="42"/>
      <c r="P221" s="42"/>
      <c r="Q221" s="42"/>
    </row>
    <row r="222" spans="1:45" ht="15" customHeight="1" thickBot="1">
      <c r="A222" s="67"/>
      <c r="B222" s="82" t="s">
        <v>140</v>
      </c>
      <c r="C222" s="65"/>
      <c r="D222" s="65"/>
      <c r="E222" s="65"/>
      <c r="F222" s="42"/>
      <c r="G222" s="42"/>
      <c r="H222" s="42"/>
      <c r="I222" s="94"/>
      <c r="J222" s="94"/>
      <c r="K222" s="67"/>
      <c r="L222" s="67"/>
      <c r="M222" s="42"/>
      <c r="N222" s="42"/>
      <c r="O222" s="42"/>
      <c r="P222" s="42"/>
      <c r="Q222" s="42"/>
    </row>
    <row r="223" spans="1:45" ht="15" customHeight="1">
      <c r="A223" s="105"/>
      <c r="B223" s="134"/>
      <c r="C223" s="135"/>
      <c r="D223" s="135"/>
      <c r="E223" s="136"/>
      <c r="F223" s="137" t="s">
        <v>180</v>
      </c>
      <c r="G223" s="137"/>
      <c r="H223" s="137"/>
      <c r="I223" s="137"/>
      <c r="J223" s="137" t="s">
        <v>181</v>
      </c>
      <c r="K223" s="137"/>
      <c r="L223" s="138"/>
      <c r="M223" s="99"/>
      <c r="N223" s="99"/>
      <c r="O223" s="99"/>
      <c r="P223" s="99"/>
      <c r="Q223" s="99"/>
    </row>
    <row r="224" spans="1:45" ht="15" customHeight="1">
      <c r="A224" s="82"/>
      <c r="B224" s="287" t="s">
        <v>210</v>
      </c>
      <c r="C224" s="284"/>
      <c r="D224" s="284"/>
      <c r="E224" s="119"/>
      <c r="F224" s="122" t="s">
        <v>324</v>
      </c>
      <c r="G224" s="123"/>
      <c r="H224" s="123"/>
      <c r="I224" s="123"/>
      <c r="J224" s="122" t="s">
        <v>356</v>
      </c>
      <c r="K224" s="123"/>
      <c r="L224" s="140"/>
      <c r="Y224" s="54"/>
      <c r="AD224" s="11"/>
      <c r="AF224" s="11"/>
    </row>
    <row r="225" spans="1:45" ht="15" customHeight="1">
      <c r="A225" s="82"/>
      <c r="B225" s="288"/>
      <c r="C225" s="281"/>
      <c r="D225" s="281"/>
      <c r="E225" s="124"/>
      <c r="F225" s="62" t="s">
        <v>325</v>
      </c>
      <c r="G225" s="125"/>
      <c r="H225" s="125"/>
      <c r="I225" s="125"/>
      <c r="J225" s="37"/>
      <c r="K225" s="37"/>
      <c r="L225" s="141"/>
      <c r="Y225" s="54"/>
      <c r="AD225" s="11"/>
      <c r="AF225" s="11"/>
    </row>
    <row r="226" spans="1:45" ht="15" customHeight="1" thickBot="1">
      <c r="A226" s="82"/>
      <c r="B226" s="289" t="s">
        <v>211</v>
      </c>
      <c r="C226" s="290"/>
      <c r="D226" s="290"/>
      <c r="E226" s="120"/>
      <c r="F226" s="121" t="s">
        <v>358</v>
      </c>
      <c r="G226" s="102"/>
      <c r="H226" s="102"/>
      <c r="I226" s="116"/>
      <c r="J226" s="133" t="s">
        <v>357</v>
      </c>
      <c r="K226" s="133"/>
      <c r="L226" s="142"/>
      <c r="Y226" s="54"/>
      <c r="AD226" s="11"/>
      <c r="AF226" s="11"/>
    </row>
    <row r="227" spans="1:45" ht="15" customHeight="1">
      <c r="A227" s="82"/>
      <c r="Y227" s="54"/>
      <c r="AD227" s="11"/>
      <c r="AF227" s="11"/>
    </row>
    <row r="228" spans="1:45" ht="15" customHeight="1">
      <c r="A228" s="105"/>
      <c r="B228" s="139" t="s">
        <v>248</v>
      </c>
      <c r="C228" s="65"/>
      <c r="E228" s="65"/>
      <c r="F228" s="99"/>
      <c r="G228" s="99"/>
      <c r="H228" s="99"/>
      <c r="I228" s="94"/>
      <c r="J228" s="94"/>
      <c r="K228" s="105"/>
      <c r="L228" s="105"/>
      <c r="M228" s="99"/>
      <c r="N228" s="99"/>
      <c r="O228" s="99"/>
      <c r="P228" s="99"/>
      <c r="Q228" s="99"/>
      <c r="R228" s="99"/>
      <c r="S228" s="105"/>
      <c r="T228" s="105"/>
      <c r="U228" s="105"/>
      <c r="V228" s="105"/>
      <c r="W228" s="105"/>
      <c r="X228" s="105"/>
      <c r="Y228" s="99"/>
      <c r="Z228" s="99"/>
      <c r="AD228" s="11"/>
      <c r="AF228" s="11"/>
    </row>
    <row r="229" spans="1:45" ht="15" customHeight="1">
      <c r="A229" s="105"/>
      <c r="B229" s="43" t="s">
        <v>157</v>
      </c>
      <c r="C229" s="65"/>
      <c r="E229" s="65"/>
      <c r="F229" s="99"/>
      <c r="G229" s="99"/>
      <c r="H229" s="99"/>
      <c r="I229" s="94"/>
      <c r="J229" s="94"/>
      <c r="K229" s="105"/>
      <c r="L229" s="105"/>
      <c r="M229" s="99"/>
      <c r="N229" s="99"/>
      <c r="O229" s="99"/>
      <c r="P229" s="99"/>
      <c r="Q229" s="99"/>
      <c r="R229" s="99"/>
      <c r="S229" s="105"/>
      <c r="T229" s="105"/>
      <c r="U229" s="105"/>
      <c r="V229" s="105"/>
      <c r="W229" s="105"/>
      <c r="X229" s="105"/>
      <c r="Y229" s="99"/>
      <c r="Z229" s="99"/>
      <c r="AD229" s="11"/>
      <c r="AF229" s="11"/>
    </row>
    <row r="230" spans="1:45" ht="15" customHeight="1">
      <c r="A230" s="105"/>
      <c r="B230" s="82"/>
      <c r="C230" s="65"/>
      <c r="D230" s="65"/>
      <c r="E230" s="65"/>
      <c r="F230" s="99"/>
      <c r="G230" s="99"/>
      <c r="H230" s="99"/>
      <c r="I230" s="94"/>
      <c r="J230" s="94"/>
      <c r="K230" s="105"/>
      <c r="L230" s="105"/>
      <c r="M230" s="99"/>
      <c r="N230" s="99"/>
      <c r="O230" s="99"/>
      <c r="P230" s="99"/>
      <c r="Q230" s="99"/>
      <c r="R230" s="99"/>
      <c r="S230" s="105"/>
      <c r="T230" s="105"/>
      <c r="U230" s="105"/>
      <c r="V230" s="105"/>
      <c r="W230" s="105"/>
      <c r="X230" s="105"/>
      <c r="Y230" s="99"/>
      <c r="Z230" s="99"/>
    </row>
    <row r="231" spans="1:45" ht="15" customHeight="1" thickBot="1">
      <c r="A231" s="146" t="s">
        <v>289</v>
      </c>
      <c r="B231" s="67"/>
      <c r="C231" s="93"/>
      <c r="D231" s="93"/>
      <c r="E231" s="42"/>
      <c r="F231" s="42"/>
      <c r="G231" s="42"/>
      <c r="H231" s="42"/>
      <c r="I231" s="94"/>
      <c r="J231" s="94"/>
      <c r="K231" s="67"/>
      <c r="L231" s="67"/>
      <c r="M231" s="42"/>
      <c r="N231" s="42"/>
      <c r="O231" s="42"/>
      <c r="P231" s="42"/>
      <c r="Q231" s="42"/>
      <c r="R231" s="42"/>
      <c r="S231" s="67"/>
      <c r="T231" s="67"/>
      <c r="U231" s="67"/>
      <c r="V231" s="67"/>
      <c r="W231" s="67"/>
      <c r="X231" s="67"/>
      <c r="Y231" s="42"/>
      <c r="Z231" s="42"/>
    </row>
    <row r="232" spans="1:45" ht="15" customHeight="1">
      <c r="A232" s="182" t="s">
        <v>3</v>
      </c>
      <c r="B232" s="176" t="s">
        <v>249</v>
      </c>
      <c r="C232" s="242" t="s">
        <v>166</v>
      </c>
      <c r="D232" s="176" t="s">
        <v>151</v>
      </c>
      <c r="E232" s="176" t="s">
        <v>126</v>
      </c>
      <c r="F232" s="176" t="s">
        <v>156</v>
      </c>
      <c r="G232" s="176" t="s">
        <v>150</v>
      </c>
      <c r="H232" s="176" t="s">
        <v>122</v>
      </c>
      <c r="I232" s="273" t="s">
        <v>257</v>
      </c>
      <c r="J232" s="275"/>
      <c r="K232" s="176" t="s">
        <v>149</v>
      </c>
      <c r="L232" s="176" t="s">
        <v>123</v>
      </c>
      <c r="M232" s="273" t="s">
        <v>137</v>
      </c>
      <c r="N232" s="274"/>
      <c r="O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C232" s="11"/>
      <c r="AD232" s="11"/>
      <c r="AF232" s="11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</row>
    <row r="233" spans="1:45" ht="15" customHeight="1">
      <c r="A233" s="181"/>
      <c r="B233" s="177"/>
      <c r="C233" s="243" t="s">
        <v>167</v>
      </c>
      <c r="D233" s="177"/>
      <c r="E233" s="179"/>
      <c r="F233" s="179"/>
      <c r="G233" s="179" t="s">
        <v>250</v>
      </c>
      <c r="H233" s="179" t="s">
        <v>251</v>
      </c>
      <c r="I233" s="179" t="s">
        <v>252</v>
      </c>
      <c r="J233" s="179" t="s">
        <v>158</v>
      </c>
      <c r="K233" s="179" t="s">
        <v>253</v>
      </c>
      <c r="L233" s="179" t="s">
        <v>254</v>
      </c>
      <c r="M233" s="179" t="s">
        <v>255</v>
      </c>
      <c r="N233" s="221" t="s">
        <v>256</v>
      </c>
      <c r="O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C233" s="11"/>
      <c r="AD233" s="11"/>
      <c r="AF233" s="11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</row>
    <row r="234" spans="1:45" ht="15" customHeight="1">
      <c r="A234" s="147">
        <f>A97</f>
        <v>0</v>
      </c>
      <c r="B234" s="2">
        <f>-MIN(B102,C102)</f>
        <v>0</v>
      </c>
      <c r="C234" s="256" t="str">
        <f>B219</f>
        <v>Positive</v>
      </c>
      <c r="D234" s="246">
        <f>C219</f>
        <v>0</v>
      </c>
      <c r="E234" s="2">
        <f>IF(C234="Positive",ABS(K102),0)</f>
        <v>0</v>
      </c>
      <c r="F234" s="246" t="e">
        <f>+F293</f>
        <v>#REF!</v>
      </c>
      <c r="G234" s="2">
        <f t="shared" ref="G234" si="7">B234+E234</f>
        <v>0</v>
      </c>
      <c r="H234" s="2" t="e">
        <f>O196*Fyf</f>
        <v>#REF!</v>
      </c>
      <c r="I234" s="190" t="e">
        <f t="shared" ref="I234" si="8">IF(AND(F234="S",E234=0),"-",IF(G234&lt;=H234,"OK","NG"))</f>
        <v>#REF!</v>
      </c>
      <c r="J234" s="190" t="e">
        <f>IF(AND(F234="S",E234=0),"-",H234/G234)</f>
        <v>#REF!</v>
      </c>
      <c r="K234" s="2">
        <f t="shared" ref="K234" si="9">+B234+0.333333333333333*E234</f>
        <v>0</v>
      </c>
      <c r="L234" s="2" t="e">
        <f>+K219</f>
        <v>#REF!</v>
      </c>
      <c r="M234" s="190" t="e">
        <f t="shared" ref="M234" si="10">IF(K234&lt;=L234,"OK","NG")</f>
        <v>#REF!</v>
      </c>
      <c r="N234" s="219" t="e">
        <f t="shared" ref="N234" si="11">L234/K234</f>
        <v>#REF!</v>
      </c>
      <c r="O234" s="11"/>
      <c r="Q234" s="11"/>
      <c r="R234" s="11"/>
      <c r="S234" s="11"/>
      <c r="T234" s="11"/>
      <c r="U234" s="11"/>
      <c r="V234" s="11"/>
      <c r="W234" s="11"/>
      <c r="X234" s="11"/>
      <c r="Y234" s="54"/>
      <c r="AB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</row>
    <row r="235" spans="1:45" ht="15" customHeight="1">
      <c r="A235" s="67"/>
      <c r="B235" s="67"/>
      <c r="C235" s="93"/>
      <c r="D235" s="93"/>
      <c r="E235" s="42"/>
      <c r="F235" s="42"/>
      <c r="G235" s="42"/>
      <c r="H235" s="42"/>
      <c r="I235" s="94"/>
      <c r="J235" s="94"/>
      <c r="K235" s="67"/>
      <c r="L235" s="67"/>
      <c r="M235" s="42"/>
      <c r="N235" s="42"/>
      <c r="O235" s="42"/>
      <c r="P235" s="42"/>
      <c r="Q235" s="42"/>
      <c r="R235" s="42"/>
      <c r="S235" s="67"/>
      <c r="T235" s="67"/>
      <c r="U235" s="67"/>
      <c r="V235" s="67"/>
      <c r="W235" s="67"/>
      <c r="X235" s="67"/>
      <c r="Y235" s="42"/>
      <c r="Z235" s="42"/>
    </row>
    <row r="236" spans="1:45" ht="15" customHeight="1">
      <c r="A236" s="67"/>
      <c r="B236" s="67"/>
      <c r="C236" s="93"/>
      <c r="D236" s="93"/>
      <c r="E236" s="42"/>
      <c r="F236" s="42"/>
      <c r="G236" s="42"/>
      <c r="H236" s="42"/>
      <c r="I236" s="94"/>
      <c r="J236" s="94"/>
      <c r="K236" s="67"/>
      <c r="L236" s="67"/>
      <c r="M236" s="42"/>
      <c r="N236" s="42"/>
      <c r="O236" s="42"/>
      <c r="P236" s="42"/>
      <c r="Q236" s="42"/>
      <c r="R236" s="42"/>
      <c r="S236" s="67"/>
      <c r="T236" s="67"/>
      <c r="U236" s="67"/>
      <c r="V236" s="67"/>
      <c r="W236" s="67"/>
      <c r="X236" s="67"/>
      <c r="Y236" s="42"/>
      <c r="Z236" s="42"/>
    </row>
    <row r="237" spans="1:45" ht="15" customHeight="1" thickBot="1">
      <c r="A237" s="146" t="s">
        <v>290</v>
      </c>
      <c r="B237" s="67"/>
      <c r="C237" s="93"/>
      <c r="D237" s="93"/>
      <c r="E237" s="42"/>
      <c r="F237" s="42"/>
      <c r="G237" s="42"/>
      <c r="H237" s="42"/>
      <c r="I237" s="94"/>
      <c r="J237" s="94"/>
      <c r="K237" s="67"/>
      <c r="L237" s="67"/>
      <c r="M237" s="42"/>
      <c r="N237" s="42"/>
      <c r="O237" s="42"/>
      <c r="P237" s="42"/>
      <c r="Q237" s="42"/>
      <c r="R237" s="42"/>
      <c r="S237" s="67"/>
      <c r="T237" s="67"/>
      <c r="U237" s="67"/>
      <c r="V237" s="67"/>
      <c r="W237" s="67"/>
      <c r="X237" s="67"/>
      <c r="Y237" s="42"/>
      <c r="Z237" s="42"/>
    </row>
    <row r="238" spans="1:45" ht="15" customHeight="1">
      <c r="A238" s="216" t="s">
        <v>3</v>
      </c>
      <c r="B238" s="211" t="s">
        <v>89</v>
      </c>
      <c r="C238" s="242" t="s">
        <v>166</v>
      </c>
      <c r="D238" s="226" t="s">
        <v>151</v>
      </c>
      <c r="E238" s="211" t="s">
        <v>126</v>
      </c>
      <c r="F238" s="211" t="s">
        <v>150</v>
      </c>
      <c r="G238" s="211" t="s">
        <v>258</v>
      </c>
      <c r="H238" s="226" t="s">
        <v>259</v>
      </c>
      <c r="I238" s="226" t="s">
        <v>168</v>
      </c>
      <c r="J238" s="273" t="s">
        <v>137</v>
      </c>
      <c r="K238" s="274"/>
      <c r="S238" s="11"/>
      <c r="T238" s="11"/>
      <c r="U238" s="11"/>
      <c r="V238" s="11"/>
      <c r="W238" s="11"/>
      <c r="X238" s="11"/>
      <c r="Y238" s="11"/>
      <c r="Z238" s="11"/>
      <c r="AA238" s="11"/>
      <c r="AC238" s="11"/>
      <c r="AD238" s="11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</row>
    <row r="239" spans="1:45" ht="15" customHeight="1">
      <c r="A239" s="217"/>
      <c r="B239" s="213"/>
      <c r="C239" s="243" t="s">
        <v>167</v>
      </c>
      <c r="D239" s="228"/>
      <c r="E239" s="214"/>
      <c r="F239" s="223" t="s">
        <v>178</v>
      </c>
      <c r="G239" s="223" t="s">
        <v>179</v>
      </c>
      <c r="H239" s="223" t="s">
        <v>179</v>
      </c>
      <c r="I239" s="223"/>
      <c r="J239" s="249" t="s">
        <v>252</v>
      </c>
      <c r="K239" s="250" t="s">
        <v>260</v>
      </c>
      <c r="S239" s="11"/>
      <c r="T239" s="11"/>
      <c r="U239" s="11"/>
      <c r="V239" s="11"/>
      <c r="W239" s="11"/>
      <c r="X239" s="11"/>
      <c r="Y239" s="11"/>
      <c r="Z239" s="11"/>
      <c r="AA239" s="11"/>
      <c r="AC239" s="11"/>
      <c r="AD239" s="11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</row>
    <row r="240" spans="1:45" ht="15" customHeight="1">
      <c r="A240" s="147">
        <f>A97</f>
        <v>0</v>
      </c>
      <c r="B240" s="2">
        <f>MAX(B102,C102)</f>
        <v>0</v>
      </c>
      <c r="C240" s="256" t="str">
        <f>C234</f>
        <v>Positive</v>
      </c>
      <c r="D240" s="246" t="str">
        <f>IF(C240="Positive","BF",IF(#REF!=2,"OF","BF"))</f>
        <v>BF</v>
      </c>
      <c r="E240" s="2">
        <f>IF(C240="Positive",0,ABS(K102))</f>
        <v>0</v>
      </c>
      <c r="F240" s="2">
        <f>B240+E240</f>
        <v>0</v>
      </c>
      <c r="G240" s="2" t="e">
        <f>1*O196*Fyf</f>
        <v>#REF!</v>
      </c>
      <c r="H240" s="2" t="e">
        <f>1*O196*Fyf*M207</f>
        <v>#REF!</v>
      </c>
      <c r="I240" s="2" t="e">
        <f>IF(D240="OF",G240,H240)</f>
        <v>#REF!</v>
      </c>
      <c r="J240" s="251" t="e">
        <f>IF(B240&lt;=H240,"OK","NG")</f>
        <v>#REF!</v>
      </c>
      <c r="K240" s="252" t="str">
        <f t="shared" ref="K240" si="12">IF(F240=0,"Inf",H240/F240)</f>
        <v>Inf</v>
      </c>
      <c r="S240" s="11"/>
      <c r="T240" s="11"/>
      <c r="U240" s="11"/>
      <c r="V240" s="11"/>
      <c r="W240" s="11"/>
      <c r="X240" s="11"/>
      <c r="Y240" s="11"/>
      <c r="Z240" s="11"/>
      <c r="AA240" s="11"/>
      <c r="AC240" s="11"/>
      <c r="AD240" s="11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</row>
    <row r="241" spans="1:30" ht="15" customHeight="1">
      <c r="A241" s="67"/>
      <c r="B241" s="67"/>
      <c r="C241" s="93"/>
      <c r="D241" s="93"/>
      <c r="E241" s="42"/>
      <c r="F241" s="42"/>
      <c r="G241" s="42"/>
      <c r="H241" s="42"/>
      <c r="I241" s="94"/>
      <c r="J241" s="94"/>
      <c r="K241" s="67"/>
      <c r="L241" s="67"/>
      <c r="M241" s="42"/>
      <c r="N241" s="42"/>
      <c r="O241" s="42"/>
      <c r="P241" s="42"/>
      <c r="Q241" s="42"/>
      <c r="R241" s="42"/>
      <c r="S241" s="67"/>
      <c r="T241" s="67"/>
      <c r="U241" s="67"/>
      <c r="V241" s="67"/>
      <c r="W241" s="67"/>
      <c r="X241" s="67"/>
      <c r="Y241" s="42"/>
      <c r="Z241" s="42"/>
    </row>
    <row r="242" spans="1:30" ht="15" customHeight="1">
      <c r="A242" s="5"/>
      <c r="B242" s="40"/>
      <c r="C242" s="42"/>
      <c r="D242" s="6"/>
      <c r="E242" s="40"/>
      <c r="F242" s="40"/>
      <c r="G242" s="39"/>
      <c r="H242" s="38"/>
      <c r="I242" s="40"/>
      <c r="J242" s="42"/>
      <c r="K242" s="42"/>
      <c r="L242" s="42"/>
      <c r="M242" s="42"/>
      <c r="N242" s="6"/>
      <c r="O242" s="65"/>
      <c r="P242" s="7"/>
      <c r="Q242" s="7"/>
      <c r="R242" s="8"/>
      <c r="Y242" s="79"/>
    </row>
    <row r="243" spans="1:30" ht="15" customHeight="1">
      <c r="A243" s="45"/>
      <c r="B243" s="82" t="s">
        <v>152</v>
      </c>
      <c r="C243" s="47"/>
      <c r="D243" s="47"/>
      <c r="E243" s="47"/>
      <c r="F243" s="47"/>
      <c r="G243" s="47"/>
      <c r="H243" s="65"/>
      <c r="I243" s="65"/>
      <c r="J243" s="65"/>
      <c r="K243" s="65"/>
      <c r="L243" s="68"/>
      <c r="M243" s="65"/>
      <c r="N243" s="65"/>
      <c r="O243" s="30" t="s">
        <v>117</v>
      </c>
      <c r="P243" s="65"/>
      <c r="Q243" s="65"/>
      <c r="R243" s="65"/>
      <c r="S243" s="65"/>
      <c r="T243" s="65"/>
      <c r="U243" s="65"/>
      <c r="V243" s="65"/>
      <c r="W243" s="65"/>
      <c r="X243" s="65"/>
      <c r="Y243" s="68"/>
      <c r="Z243" s="65"/>
    </row>
    <row r="244" spans="1:30" ht="15" customHeight="1">
      <c r="A244" s="45"/>
      <c r="B244" s="82"/>
      <c r="C244" s="47"/>
      <c r="D244" s="47"/>
      <c r="E244" s="47"/>
      <c r="F244" s="47"/>
      <c r="G244" s="47"/>
      <c r="H244" s="65"/>
      <c r="I244" s="65"/>
      <c r="J244" s="65"/>
      <c r="K244" s="65"/>
      <c r="L244" s="8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85"/>
      <c r="Z244" s="65"/>
      <c r="AA244" s="30"/>
    </row>
    <row r="245" spans="1:30" ht="15" customHeight="1">
      <c r="A245" s="45"/>
      <c r="B245" s="82"/>
      <c r="C245" s="89" t="s">
        <v>326</v>
      </c>
      <c r="D245" s="47"/>
      <c r="E245" s="47"/>
      <c r="F245" s="47"/>
      <c r="G245" s="47"/>
      <c r="H245" s="65"/>
      <c r="I245" s="65"/>
      <c r="J245" s="65"/>
      <c r="K245" s="65"/>
      <c r="L245" s="83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83"/>
      <c r="Z245" s="65"/>
      <c r="AA245" s="30"/>
    </row>
    <row r="246" spans="1:30" ht="15" customHeight="1">
      <c r="A246" s="45"/>
      <c r="B246" s="82"/>
      <c r="C246" s="96" t="s">
        <v>148</v>
      </c>
      <c r="D246" s="47"/>
      <c r="E246" s="47"/>
      <c r="F246" s="47"/>
      <c r="G246" s="47"/>
      <c r="H246" s="65"/>
      <c r="I246" s="65"/>
      <c r="J246" s="65"/>
      <c r="K246" s="65"/>
      <c r="L246" s="83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83"/>
      <c r="Z246" s="65"/>
      <c r="AA246" s="30"/>
    </row>
    <row r="247" spans="1:30" ht="15" customHeight="1">
      <c r="A247" s="45"/>
      <c r="B247" s="82"/>
      <c r="D247" s="47"/>
      <c r="E247" s="47"/>
      <c r="F247" s="47"/>
      <c r="G247" s="47"/>
      <c r="H247" s="65"/>
      <c r="I247" s="65"/>
      <c r="J247" s="65"/>
      <c r="K247" s="65"/>
      <c r="L247" s="8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85"/>
      <c r="Z247" s="65"/>
      <c r="AA247" s="30"/>
    </row>
    <row r="248" spans="1:30" ht="15" customHeight="1">
      <c r="A248" s="45"/>
      <c r="B248" s="45" t="s">
        <v>185</v>
      </c>
      <c r="C248" s="88" t="s">
        <v>142</v>
      </c>
      <c r="D248" s="47"/>
      <c r="E248" s="47"/>
      <c r="F248" s="47"/>
      <c r="G248" s="47"/>
      <c r="H248" s="65"/>
      <c r="I248" s="65"/>
      <c r="J248" s="65"/>
      <c r="K248" s="65"/>
      <c r="L248" s="83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83"/>
      <c r="Z248" s="65"/>
      <c r="AA248" s="30"/>
    </row>
    <row r="249" spans="1:30" ht="15" customHeight="1">
      <c r="A249" s="45"/>
      <c r="B249" s="82"/>
      <c r="C249" s="58" t="s">
        <v>9</v>
      </c>
      <c r="D249" s="58"/>
      <c r="E249" s="58"/>
      <c r="F249" s="58"/>
      <c r="G249" s="58"/>
      <c r="H249" s="58" t="s">
        <v>143</v>
      </c>
      <c r="I249" s="58"/>
      <c r="J249" s="58"/>
      <c r="K249" s="58"/>
      <c r="L249" s="58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83"/>
      <c r="Z249" s="65"/>
      <c r="AA249" s="30"/>
    </row>
    <row r="250" spans="1:30" ht="15" customHeight="1">
      <c r="A250" s="45"/>
      <c r="B250" s="82"/>
      <c r="C250" s="3" t="s">
        <v>144</v>
      </c>
      <c r="D250" s="283" t="s">
        <v>327</v>
      </c>
      <c r="E250" s="283"/>
      <c r="F250" s="112"/>
      <c r="G250" s="65"/>
      <c r="H250" s="284" t="s">
        <v>146</v>
      </c>
      <c r="I250" s="284"/>
      <c r="J250" s="284"/>
      <c r="K250" s="284"/>
      <c r="L250" s="112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83"/>
      <c r="Z250" s="65"/>
      <c r="AA250" s="30"/>
    </row>
    <row r="251" spans="1:30" ht="15" customHeight="1">
      <c r="A251" s="45"/>
      <c r="B251" s="82"/>
      <c r="C251" s="85" t="s">
        <v>145</v>
      </c>
      <c r="D251" s="270"/>
      <c r="E251" s="270"/>
      <c r="F251" s="36"/>
      <c r="G251" s="65"/>
      <c r="H251" s="271"/>
      <c r="I251" s="271"/>
      <c r="J251" s="271"/>
      <c r="K251" s="271"/>
      <c r="L251" s="36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83"/>
      <c r="Z251" s="65"/>
      <c r="AA251" s="30"/>
    </row>
    <row r="252" spans="1:30" ht="15" customHeight="1">
      <c r="A252" s="45"/>
      <c r="B252" s="82"/>
      <c r="C252" s="87" t="s">
        <v>144</v>
      </c>
      <c r="D252" s="270" t="s">
        <v>328</v>
      </c>
      <c r="E252" s="270"/>
      <c r="F252" s="36"/>
      <c r="G252" s="65"/>
      <c r="H252" s="271" t="s">
        <v>147</v>
      </c>
      <c r="I252" s="271"/>
      <c r="J252" s="271"/>
      <c r="K252" s="271"/>
      <c r="L252" s="36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83"/>
      <c r="Z252" s="65"/>
      <c r="AA252" s="30"/>
    </row>
    <row r="253" spans="1:30" ht="15" customHeight="1">
      <c r="A253" s="45"/>
      <c r="B253" s="82"/>
      <c r="C253" s="87" t="s">
        <v>145</v>
      </c>
      <c r="D253" s="277"/>
      <c r="E253" s="277"/>
      <c r="F253" s="34"/>
      <c r="G253" s="55"/>
      <c r="H253" s="282"/>
      <c r="I253" s="282"/>
      <c r="J253" s="282"/>
      <c r="K253" s="282"/>
      <c r="L253" s="34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83"/>
      <c r="Z253" s="65"/>
      <c r="AA253" s="30"/>
    </row>
    <row r="254" spans="1:30" ht="15" customHeight="1">
      <c r="A254" s="45"/>
      <c r="B254" s="82"/>
      <c r="C254" s="89"/>
      <c r="D254" s="47"/>
      <c r="E254" s="47"/>
      <c r="F254" s="47"/>
      <c r="G254" s="47"/>
      <c r="H254" s="65"/>
      <c r="I254" s="65"/>
      <c r="J254" s="65"/>
      <c r="K254" s="65"/>
      <c r="L254" s="83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83"/>
      <c r="Z254" s="65"/>
      <c r="AA254" s="30"/>
    </row>
    <row r="255" spans="1:30" ht="15" customHeight="1">
      <c r="A255" s="45"/>
      <c r="B255" s="82"/>
      <c r="C255" s="92" t="s">
        <v>133</v>
      </c>
      <c r="D255" s="47"/>
      <c r="E255" s="47"/>
      <c r="F255" s="47"/>
      <c r="G255" s="47"/>
      <c r="H255" s="65"/>
      <c r="I255" s="65"/>
      <c r="J255" s="65"/>
      <c r="K255" s="65"/>
      <c r="L255" s="83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83"/>
      <c r="Z255" s="65"/>
      <c r="AA255" s="30"/>
    </row>
    <row r="256" spans="1:30" ht="15" customHeight="1">
      <c r="A256" s="45"/>
      <c r="B256" s="82"/>
      <c r="C256" s="279" t="s">
        <v>58</v>
      </c>
      <c r="D256" s="279"/>
      <c r="E256" s="34" t="s">
        <v>59</v>
      </c>
      <c r="F256" s="279" t="s">
        <v>329</v>
      </c>
      <c r="G256" s="279"/>
      <c r="H256" s="279"/>
      <c r="I256" s="279"/>
      <c r="J256" s="46"/>
      <c r="K256" s="46"/>
      <c r="L256" s="46"/>
      <c r="M256" s="46"/>
      <c r="O256" s="65"/>
      <c r="P256" s="65"/>
      <c r="Q256" s="65"/>
      <c r="R256" s="65"/>
      <c r="S256" s="65"/>
      <c r="T256" s="65"/>
      <c r="Y256" s="54"/>
      <c r="AD256" s="11"/>
    </row>
    <row r="257" spans="1:32" ht="15" customHeight="1">
      <c r="A257" s="16"/>
      <c r="B257" s="23"/>
      <c r="C257" s="279"/>
      <c r="D257" s="279"/>
      <c r="E257" s="112" t="s">
        <v>60</v>
      </c>
      <c r="F257" s="279"/>
      <c r="G257" s="279"/>
      <c r="H257" s="279"/>
      <c r="I257" s="279"/>
      <c r="J257" s="46"/>
      <c r="K257" s="46"/>
      <c r="L257" s="46"/>
      <c r="M257" s="46"/>
      <c r="O257" s="65"/>
      <c r="P257" s="65"/>
      <c r="Q257" s="65"/>
      <c r="R257" s="65"/>
      <c r="S257" s="65"/>
      <c r="T257" s="65"/>
      <c r="Y257" s="54"/>
      <c r="AD257" s="11"/>
    </row>
    <row r="258" spans="1:32" ht="15" customHeight="1">
      <c r="A258" s="16"/>
      <c r="B258" s="23"/>
      <c r="C258" s="109"/>
      <c r="D258" s="109"/>
      <c r="E258" s="108"/>
      <c r="F258" s="108"/>
      <c r="G258" s="109"/>
      <c r="H258" s="109"/>
      <c r="I258" s="109"/>
      <c r="J258" s="109"/>
      <c r="K258" s="109"/>
      <c r="L258" s="109"/>
      <c r="M258" s="109"/>
      <c r="O258" s="65"/>
      <c r="P258" s="65"/>
      <c r="Q258" s="65"/>
      <c r="R258" s="65"/>
      <c r="S258" s="65"/>
      <c r="T258" s="65"/>
      <c r="Y258" s="54"/>
      <c r="AD258" s="11"/>
    </row>
    <row r="259" spans="1:32" ht="15" customHeight="1">
      <c r="A259" s="65"/>
      <c r="B259" s="45" t="s">
        <v>185</v>
      </c>
      <c r="C259" s="65" t="s">
        <v>366</v>
      </c>
      <c r="D259" s="104"/>
      <c r="E259" s="104"/>
      <c r="F259" s="104"/>
      <c r="G259" s="104"/>
      <c r="H259" s="104"/>
      <c r="I259" s="104"/>
      <c r="J259" s="65"/>
      <c r="K259" s="65"/>
      <c r="L259" s="65"/>
      <c r="M259" s="108"/>
      <c r="N259" s="65"/>
      <c r="P259" s="65"/>
      <c r="Q259" s="65"/>
      <c r="R259" s="65"/>
      <c r="X259" s="65"/>
      <c r="Y259" s="108"/>
      <c r="Z259" s="65"/>
      <c r="AA259" s="65"/>
    </row>
    <row r="260" spans="1:32" ht="15" customHeight="1">
      <c r="A260" s="65"/>
      <c r="B260" s="45"/>
      <c r="C260" s="65"/>
      <c r="D260" s="104"/>
      <c r="E260" s="104"/>
      <c r="F260" s="104"/>
      <c r="G260" s="104"/>
      <c r="H260" s="104"/>
      <c r="I260" s="104"/>
      <c r="J260" s="65"/>
      <c r="K260" s="65"/>
      <c r="L260" s="65"/>
      <c r="M260" s="259"/>
      <c r="N260" s="65"/>
      <c r="P260" s="65"/>
      <c r="Q260" s="65"/>
      <c r="R260" s="65"/>
      <c r="X260" s="65"/>
      <c r="Y260" s="259"/>
      <c r="Z260" s="65"/>
      <c r="AA260" s="65"/>
      <c r="AD260" s="171"/>
      <c r="AF260" s="171"/>
    </row>
    <row r="261" spans="1:32" ht="15" customHeight="1">
      <c r="A261" s="65"/>
      <c r="B261" s="45"/>
      <c r="C261" s="36" t="s">
        <v>392</v>
      </c>
      <c r="D261" s="269"/>
      <c r="E261" s="269"/>
      <c r="F261" s="269"/>
      <c r="G261" s="36" t="s">
        <v>391</v>
      </c>
      <c r="H261" s="104"/>
      <c r="I261" s="104"/>
      <c r="J261" s="65"/>
      <c r="K261" s="65"/>
      <c r="L261" s="65"/>
      <c r="M261" s="259"/>
      <c r="N261" s="65"/>
      <c r="P261" s="65"/>
      <c r="Q261" s="65"/>
      <c r="R261" s="65"/>
      <c r="X261" s="65"/>
      <c r="Y261" s="259"/>
      <c r="Z261" s="65"/>
      <c r="AA261" s="65"/>
      <c r="AD261" s="171"/>
      <c r="AF261" s="171"/>
    </row>
    <row r="262" spans="1:32" ht="15" customHeight="1">
      <c r="A262" s="65"/>
      <c r="B262" s="45"/>
      <c r="C262" s="36"/>
      <c r="D262" s="269"/>
      <c r="E262" s="269"/>
      <c r="F262" s="269"/>
      <c r="G262" s="36"/>
      <c r="H262" s="104"/>
      <c r="I262" s="104"/>
      <c r="J262" s="65"/>
      <c r="K262" s="65"/>
      <c r="L262" s="65"/>
      <c r="M262" s="259"/>
      <c r="N262" s="65"/>
      <c r="P262" s="65"/>
      <c r="Q262" s="65"/>
      <c r="R262" s="65"/>
      <c r="X262" s="65"/>
      <c r="Y262" s="259"/>
      <c r="Z262" s="65"/>
      <c r="AA262" s="65"/>
      <c r="AD262" s="171"/>
      <c r="AF262" s="171"/>
    </row>
    <row r="263" spans="1:32" ht="15" customHeight="1">
      <c r="A263" s="65"/>
      <c r="B263" s="45"/>
      <c r="C263" s="55" t="s">
        <v>368</v>
      </c>
      <c r="D263" s="51"/>
      <c r="E263" s="51"/>
      <c r="F263" s="51"/>
      <c r="G263" s="51"/>
      <c r="H263" s="51"/>
      <c r="I263" s="51"/>
      <c r="J263" s="65"/>
      <c r="K263" s="65"/>
      <c r="L263" s="65"/>
      <c r="M263" s="259"/>
      <c r="N263" s="65"/>
      <c r="O263" s="30" t="s">
        <v>367</v>
      </c>
      <c r="P263" s="65"/>
      <c r="Q263" s="65"/>
      <c r="R263" s="65"/>
      <c r="X263" s="65"/>
      <c r="Y263" s="259"/>
      <c r="Z263" s="65"/>
      <c r="AA263" s="65"/>
      <c r="AD263" s="171"/>
      <c r="AF263" s="171"/>
    </row>
    <row r="264" spans="1:32" ht="15" customHeight="1">
      <c r="A264" s="65"/>
      <c r="B264" s="65"/>
      <c r="C264" s="58" t="s">
        <v>9</v>
      </c>
      <c r="D264" s="58"/>
      <c r="E264" s="58"/>
      <c r="F264" s="58"/>
      <c r="G264" s="58"/>
      <c r="H264" s="58" t="s">
        <v>8</v>
      </c>
      <c r="I264" s="58"/>
      <c r="J264" s="58"/>
      <c r="K264" s="58"/>
      <c r="L264" s="58"/>
      <c r="X264" s="65"/>
      <c r="Y264" s="108"/>
      <c r="Z264" s="65"/>
      <c r="AA264" s="65"/>
      <c r="AD264" s="11"/>
      <c r="AF264" s="11"/>
    </row>
    <row r="265" spans="1:32" ht="15" customHeight="1">
      <c r="A265" s="65"/>
      <c r="B265" s="65"/>
      <c r="C265" s="41" t="s">
        <v>182</v>
      </c>
      <c r="D265" s="41"/>
      <c r="E265" s="41"/>
      <c r="F265" s="41"/>
      <c r="G265" s="41"/>
      <c r="H265" s="285">
        <v>7.2</v>
      </c>
      <c r="I265" s="285"/>
      <c r="J265" s="41"/>
      <c r="K265" s="41"/>
      <c r="L265" s="41"/>
      <c r="X265" s="65"/>
      <c r="Y265" s="108"/>
      <c r="Z265" s="65"/>
      <c r="AA265" s="65"/>
      <c r="AD265" s="11"/>
      <c r="AF265" s="11"/>
    </row>
    <row r="266" spans="1:32" ht="15" customHeight="1">
      <c r="A266" s="65"/>
      <c r="B266" s="65"/>
      <c r="C266" s="41" t="s">
        <v>183</v>
      </c>
      <c r="D266" s="41"/>
      <c r="E266" s="41"/>
      <c r="F266" s="41"/>
      <c r="G266" s="41"/>
      <c r="H266" s="41"/>
      <c r="I266" s="41"/>
      <c r="J266" s="41"/>
      <c r="K266" s="41"/>
      <c r="L266" s="41"/>
      <c r="X266" s="65"/>
      <c r="Y266" s="108"/>
      <c r="Z266" s="65"/>
      <c r="AA266" s="65"/>
      <c r="AD266" s="11"/>
      <c r="AF266" s="11"/>
    </row>
    <row r="267" spans="1:32" ht="15" customHeight="1">
      <c r="B267" s="65"/>
      <c r="D267" s="65" t="s">
        <v>330</v>
      </c>
      <c r="E267" s="65"/>
      <c r="F267" s="65"/>
      <c r="G267" s="65"/>
      <c r="H267" s="65" t="s">
        <v>332</v>
      </c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108"/>
      <c r="Z267" s="65"/>
      <c r="AA267" s="65"/>
      <c r="AD267" s="11"/>
      <c r="AF267" s="11"/>
    </row>
    <row r="268" spans="1:32" ht="15" customHeight="1">
      <c r="B268" s="65"/>
      <c r="C268" s="55"/>
      <c r="D268" s="55" t="s">
        <v>331</v>
      </c>
      <c r="E268" s="55"/>
      <c r="F268" s="55"/>
      <c r="G268" s="55"/>
      <c r="H268" s="55" t="s">
        <v>61</v>
      </c>
      <c r="I268" s="55"/>
      <c r="J268" s="55"/>
      <c r="K268" s="55"/>
      <c r="L268" s="5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108"/>
      <c r="Z268" s="65"/>
      <c r="AA268" s="65"/>
      <c r="AD268" s="11"/>
      <c r="AF268" s="11"/>
    </row>
    <row r="269" spans="1:32" ht="15" customHeight="1">
      <c r="L269" s="54"/>
      <c r="R269" s="65"/>
      <c r="S269" s="65"/>
      <c r="T269" s="65"/>
      <c r="U269" s="65"/>
      <c r="V269" s="65"/>
      <c r="W269" s="65"/>
      <c r="X269" s="65"/>
      <c r="Y269" s="108"/>
      <c r="Z269" s="65"/>
      <c r="AA269" s="65"/>
      <c r="AD269" s="11"/>
      <c r="AF269" s="11"/>
    </row>
    <row r="270" spans="1:32" ht="15" customHeight="1">
      <c r="C270" s="65" t="s">
        <v>90</v>
      </c>
      <c r="D270" s="49" t="s">
        <v>67</v>
      </c>
      <c r="E270" s="65" t="s">
        <v>139</v>
      </c>
      <c r="L270" s="54"/>
      <c r="R270" s="65"/>
      <c r="S270" s="65"/>
      <c r="T270" s="65"/>
      <c r="U270" s="65"/>
      <c r="V270" s="65"/>
      <c r="W270" s="65"/>
      <c r="X270" s="65"/>
      <c r="Y270" s="108"/>
      <c r="Z270" s="65"/>
      <c r="AA270" s="65"/>
    </row>
    <row r="271" spans="1:32" ht="15" customHeight="1">
      <c r="C271" s="65"/>
      <c r="D271" s="49" t="s">
        <v>67</v>
      </c>
      <c r="E271" s="65" t="s">
        <v>364</v>
      </c>
      <c r="L271" s="54"/>
      <c r="R271" s="65"/>
      <c r="S271" s="65"/>
      <c r="T271" s="65"/>
      <c r="U271" s="65"/>
      <c r="V271" s="65"/>
      <c r="W271" s="65"/>
      <c r="X271" s="65"/>
      <c r="Y271" s="258"/>
      <c r="Z271" s="65"/>
      <c r="AA271" s="65"/>
      <c r="AD271" s="171"/>
      <c r="AF271" s="171"/>
    </row>
    <row r="272" spans="1:32" ht="15" customHeight="1">
      <c r="C272" s="65" t="s">
        <v>138</v>
      </c>
      <c r="D272" s="49" t="s">
        <v>67</v>
      </c>
      <c r="E272" s="65" t="s">
        <v>272</v>
      </c>
      <c r="L272" s="54"/>
      <c r="R272" s="65"/>
      <c r="S272" s="65"/>
      <c r="T272" s="65"/>
      <c r="U272" s="65"/>
      <c r="V272" s="65"/>
      <c r="W272" s="65"/>
      <c r="X272" s="65"/>
      <c r="Y272" s="108"/>
      <c r="Z272" s="65"/>
      <c r="AA272" s="65"/>
    </row>
    <row r="273" spans="1:32" ht="15" customHeight="1">
      <c r="C273" s="65" t="s">
        <v>380</v>
      </c>
      <c r="D273" s="49"/>
      <c r="E273" s="65"/>
      <c r="L273" s="54"/>
      <c r="R273" s="65"/>
      <c r="S273" s="65"/>
      <c r="T273" s="65"/>
      <c r="U273" s="65"/>
      <c r="V273" s="65"/>
      <c r="W273" s="65"/>
      <c r="X273" s="65"/>
      <c r="Y273" s="259"/>
      <c r="Z273" s="65"/>
      <c r="AA273" s="65"/>
      <c r="AD273" s="171"/>
      <c r="AF273" s="171"/>
    </row>
    <row r="274" spans="1:32" ht="15" customHeight="1">
      <c r="C274" s="65"/>
      <c r="D274" s="49"/>
      <c r="E274" s="65"/>
      <c r="L274" s="54"/>
      <c r="R274" s="65"/>
      <c r="S274" s="65"/>
      <c r="T274" s="65"/>
      <c r="U274" s="65"/>
      <c r="V274" s="65"/>
      <c r="W274" s="65"/>
      <c r="X274" s="65"/>
      <c r="Y274" s="259"/>
      <c r="Z274" s="65"/>
      <c r="AA274" s="65"/>
      <c r="AD274" s="171"/>
      <c r="AF274" s="171"/>
    </row>
    <row r="275" spans="1:32" ht="15" customHeight="1">
      <c r="C275" s="65" t="s">
        <v>393</v>
      </c>
      <c r="D275" s="49"/>
      <c r="E275" s="65"/>
      <c r="L275" s="54"/>
      <c r="R275" s="65"/>
      <c r="S275" s="65"/>
      <c r="T275" s="65"/>
      <c r="U275" s="65"/>
      <c r="V275" s="65"/>
      <c r="W275" s="65"/>
      <c r="X275" s="65"/>
      <c r="Y275" s="259"/>
      <c r="Z275" s="65"/>
      <c r="AA275" s="65"/>
      <c r="AD275" s="171"/>
      <c r="AF275" s="171"/>
    </row>
    <row r="276" spans="1:32" ht="15" customHeight="1">
      <c r="C276" s="104" t="s">
        <v>369</v>
      </c>
      <c r="D276" s="49"/>
      <c r="E276" s="65"/>
      <c r="L276" s="54"/>
      <c r="R276" s="65"/>
      <c r="S276" s="65"/>
      <c r="T276" s="65"/>
      <c r="U276" s="65"/>
      <c r="V276" s="65"/>
      <c r="W276" s="65"/>
      <c r="X276" s="65"/>
      <c r="Y276" s="259"/>
      <c r="Z276" s="65"/>
      <c r="AA276" s="65"/>
      <c r="AD276" s="171"/>
      <c r="AF276" s="171"/>
    </row>
    <row r="277" spans="1:32" ht="15" customHeight="1">
      <c r="C277" s="104" t="s">
        <v>370</v>
      </c>
      <c r="D277" s="49"/>
      <c r="E277" s="65"/>
      <c r="L277" s="54"/>
      <c r="R277" s="65"/>
      <c r="S277" s="65"/>
      <c r="T277" s="65"/>
      <c r="U277" s="65"/>
      <c r="V277" s="65"/>
      <c r="W277" s="65"/>
      <c r="X277" s="65"/>
      <c r="Y277" s="259"/>
      <c r="Z277" s="65"/>
      <c r="AA277" s="65"/>
      <c r="AD277" s="171"/>
      <c r="AF277" s="171"/>
    </row>
    <row r="278" spans="1:32" ht="15" customHeight="1">
      <c r="A278" s="65"/>
      <c r="B278" s="65"/>
      <c r="C278" s="263" t="s">
        <v>9</v>
      </c>
      <c r="D278" s="263"/>
      <c r="E278" s="263"/>
      <c r="F278" s="263"/>
      <c r="G278" s="263"/>
      <c r="H278" s="263" t="s">
        <v>8</v>
      </c>
      <c r="I278" s="263"/>
      <c r="J278" s="263"/>
      <c r="K278" s="263"/>
      <c r="L278" s="263"/>
      <c r="X278" s="65"/>
      <c r="Y278" s="259"/>
      <c r="Z278" s="65"/>
      <c r="AA278" s="65"/>
      <c r="AD278" s="11"/>
      <c r="AF278" s="11"/>
    </row>
    <row r="279" spans="1:32" ht="15" customHeight="1">
      <c r="A279" s="65"/>
      <c r="B279" s="65"/>
      <c r="C279" s="268" t="s">
        <v>388</v>
      </c>
      <c r="D279" s="65"/>
      <c r="E279" s="41" t="s">
        <v>371</v>
      </c>
      <c r="F279" s="41"/>
      <c r="G279" s="41"/>
      <c r="H279" s="5" t="s">
        <v>387</v>
      </c>
      <c r="I279" s="5"/>
      <c r="J279" s="41"/>
      <c r="K279" s="41"/>
      <c r="L279" s="41"/>
      <c r="X279" s="65"/>
      <c r="Y279" s="259"/>
      <c r="Z279" s="65"/>
      <c r="AA279" s="65"/>
      <c r="AD279" s="11"/>
      <c r="AF279" s="11"/>
    </row>
    <row r="280" spans="1:32" ht="15" customHeight="1">
      <c r="A280" s="65"/>
      <c r="B280" s="65"/>
      <c r="C280" s="37"/>
      <c r="D280" s="37"/>
      <c r="E280" s="127" t="s">
        <v>372</v>
      </c>
      <c r="F280" s="127"/>
      <c r="G280" s="127"/>
      <c r="H280" s="267" t="s">
        <v>373</v>
      </c>
      <c r="I280" s="127"/>
      <c r="J280" s="127"/>
      <c r="K280" s="127"/>
      <c r="L280" s="127"/>
      <c r="X280" s="65"/>
      <c r="Y280" s="259"/>
      <c r="Z280" s="65"/>
      <c r="AA280" s="65"/>
      <c r="AD280" s="11"/>
      <c r="AF280" s="11"/>
    </row>
    <row r="281" spans="1:32" ht="15" customHeight="1">
      <c r="A281" s="65"/>
      <c r="B281" s="65"/>
      <c r="C281" s="232" t="s">
        <v>389</v>
      </c>
      <c r="D281" s="59"/>
      <c r="E281" s="59"/>
      <c r="F281" s="59"/>
      <c r="G281" s="59"/>
      <c r="H281" s="264" t="s">
        <v>390</v>
      </c>
      <c r="I281" s="59"/>
      <c r="J281" s="59"/>
      <c r="K281" s="59"/>
      <c r="L281" s="59"/>
      <c r="X281" s="65"/>
      <c r="Y281" s="259"/>
      <c r="Z281" s="65"/>
      <c r="AA281" s="65"/>
      <c r="AD281" s="11"/>
      <c r="AF281" s="11"/>
    </row>
    <row r="282" spans="1:32" ht="15" customHeight="1">
      <c r="C282" s="104"/>
      <c r="D282" s="49"/>
      <c r="E282" s="65"/>
      <c r="L282" s="54"/>
      <c r="R282" s="65"/>
      <c r="S282" s="65"/>
      <c r="T282" s="65"/>
      <c r="U282" s="65"/>
      <c r="V282" s="65"/>
      <c r="W282" s="65"/>
      <c r="X282" s="65"/>
      <c r="Y282" s="259"/>
      <c r="Z282" s="65"/>
      <c r="AA282" s="65"/>
      <c r="AD282" s="171"/>
      <c r="AF282" s="171"/>
    </row>
    <row r="283" spans="1:32" ht="15" customHeight="1">
      <c r="C283" s="65" t="s">
        <v>374</v>
      </c>
      <c r="D283" s="49" t="s">
        <v>67</v>
      </c>
      <c r="E283" s="65" t="s">
        <v>375</v>
      </c>
      <c r="L283" s="54"/>
      <c r="R283" s="65"/>
      <c r="S283" s="65"/>
      <c r="T283" s="65"/>
      <c r="U283" s="65"/>
      <c r="V283" s="65"/>
      <c r="W283" s="65"/>
      <c r="X283" s="65"/>
      <c r="Y283" s="259"/>
      <c r="Z283" s="65"/>
      <c r="AA283" s="65"/>
      <c r="AD283" s="171"/>
      <c r="AF283" s="171"/>
    </row>
    <row r="284" spans="1:32" ht="15" customHeight="1">
      <c r="C284" s="104"/>
      <c r="D284" s="49"/>
      <c r="E284" s="65" t="s">
        <v>376</v>
      </c>
      <c r="L284" s="54"/>
      <c r="R284" s="65"/>
      <c r="S284" s="65"/>
      <c r="T284" s="65"/>
      <c r="U284" s="65"/>
      <c r="V284" s="65"/>
      <c r="W284" s="65"/>
      <c r="X284" s="65"/>
      <c r="Y284" s="259"/>
      <c r="Z284" s="65"/>
      <c r="AA284" s="65"/>
      <c r="AD284" s="171"/>
      <c r="AF284" s="171"/>
    </row>
    <row r="285" spans="1:32" ht="15" customHeight="1">
      <c r="C285" s="265" t="s">
        <v>377</v>
      </c>
      <c r="D285" s="49" t="s">
        <v>378</v>
      </c>
      <c r="E285" s="65" t="s">
        <v>379</v>
      </c>
      <c r="L285" s="54"/>
      <c r="R285" s="65"/>
      <c r="S285" s="65"/>
      <c r="T285" s="65"/>
      <c r="U285" s="65"/>
      <c r="V285" s="65"/>
      <c r="W285" s="65"/>
      <c r="X285" s="65"/>
      <c r="Y285" s="108"/>
      <c r="Z285" s="65"/>
      <c r="AA285" s="65"/>
    </row>
    <row r="286" spans="1:32" ht="15" customHeight="1">
      <c r="C286" s="54" t="s">
        <v>381</v>
      </c>
      <c r="D286" s="49"/>
      <c r="E286" s="65"/>
      <c r="L286" s="54"/>
      <c r="R286" s="65"/>
      <c r="S286" s="65"/>
      <c r="T286" s="65"/>
      <c r="U286" s="65"/>
      <c r="V286" s="65"/>
      <c r="W286" s="65"/>
      <c r="X286" s="65"/>
      <c r="Y286" s="259"/>
      <c r="Z286" s="65"/>
      <c r="AA286" s="65"/>
      <c r="AD286" s="171"/>
      <c r="AF286" s="171"/>
    </row>
    <row r="287" spans="1:32" ht="15" customHeight="1">
      <c r="C287" s="54" t="s">
        <v>382</v>
      </c>
      <c r="D287" s="49"/>
      <c r="E287" s="65"/>
      <c r="L287" s="54"/>
      <c r="R287" s="65"/>
      <c r="S287" s="65"/>
      <c r="T287" s="65"/>
      <c r="U287" s="65"/>
      <c r="V287" s="65"/>
      <c r="W287" s="65"/>
      <c r="X287" s="65"/>
      <c r="Y287" s="259"/>
      <c r="Z287" s="65"/>
      <c r="AA287" s="65"/>
      <c r="AD287" s="171"/>
      <c r="AF287" s="171"/>
    </row>
    <row r="288" spans="1:32" ht="15" customHeight="1">
      <c r="A288" s="45"/>
      <c r="C288" s="65" t="s">
        <v>155</v>
      </c>
      <c r="D288" s="65"/>
      <c r="E288" s="49"/>
      <c r="F288" s="65"/>
      <c r="G288" s="28"/>
      <c r="H288" s="65"/>
      <c r="I288" s="65"/>
      <c r="J288" s="65"/>
      <c r="K288" s="65"/>
      <c r="L288" s="108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108"/>
      <c r="Z288" s="65"/>
      <c r="AA288" s="65"/>
    </row>
    <row r="289" spans="1:45" ht="15" customHeight="1">
      <c r="A289" s="45"/>
      <c r="C289" s="65"/>
      <c r="D289" s="65"/>
      <c r="E289" s="49"/>
      <c r="F289" s="65"/>
      <c r="G289" s="28"/>
      <c r="H289" s="65"/>
      <c r="I289" s="65"/>
      <c r="J289" s="65"/>
      <c r="K289" s="65"/>
      <c r="L289" s="108"/>
      <c r="M289" s="65"/>
      <c r="N289" s="65"/>
      <c r="O289" s="65"/>
      <c r="P289" s="65"/>
      <c r="Q289" s="7"/>
      <c r="R289" s="65"/>
      <c r="S289" s="65"/>
      <c r="T289" s="65"/>
      <c r="U289" s="65"/>
      <c r="V289" s="65"/>
      <c r="W289" s="65"/>
      <c r="X289" s="65"/>
      <c r="Y289" s="108"/>
      <c r="Z289" s="65"/>
      <c r="AA289" s="65"/>
    </row>
    <row r="290" spans="1:45" ht="15" customHeight="1" thickBot="1">
      <c r="A290" s="143" t="s">
        <v>291</v>
      </c>
      <c r="B290" s="65"/>
      <c r="C290" s="65"/>
      <c r="D290" s="65"/>
      <c r="E290" s="65"/>
      <c r="F290" s="65"/>
      <c r="G290" s="28"/>
      <c r="H290" s="65"/>
      <c r="I290" s="65"/>
      <c r="J290" s="65"/>
      <c r="K290" s="65"/>
      <c r="L290" s="78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78"/>
      <c r="Z290" s="65"/>
      <c r="AA290" s="65"/>
      <c r="AF290" s="11"/>
    </row>
    <row r="291" spans="1:45" ht="15" customHeight="1">
      <c r="A291" s="216" t="s">
        <v>3</v>
      </c>
      <c r="B291" s="215" t="s">
        <v>166</v>
      </c>
      <c r="C291" s="273" t="s">
        <v>267</v>
      </c>
      <c r="D291" s="275"/>
      <c r="E291" s="211" t="s">
        <v>119</v>
      </c>
      <c r="F291" s="211" t="s">
        <v>156</v>
      </c>
      <c r="G291" s="211" t="s">
        <v>118</v>
      </c>
      <c r="H291" s="211" t="s">
        <v>120</v>
      </c>
      <c r="I291" s="266" t="s">
        <v>384</v>
      </c>
      <c r="J291" s="226" t="s">
        <v>8</v>
      </c>
      <c r="K291" s="226" t="s">
        <v>8</v>
      </c>
      <c r="L291" s="226" t="s">
        <v>8</v>
      </c>
      <c r="M291" s="211" t="s">
        <v>121</v>
      </c>
      <c r="N291" s="211" t="s">
        <v>257</v>
      </c>
      <c r="O291" s="212" t="s">
        <v>256</v>
      </c>
      <c r="V291" s="11"/>
      <c r="W291" s="11"/>
      <c r="X291" s="11"/>
      <c r="Y291" s="11"/>
      <c r="Z291" s="11"/>
      <c r="AA291" s="11"/>
      <c r="AC291" s="11"/>
      <c r="AD291" s="11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</row>
    <row r="292" spans="1:45" ht="15" customHeight="1">
      <c r="A292" s="217"/>
      <c r="B292" s="218" t="s">
        <v>222</v>
      </c>
      <c r="C292" s="218" t="s">
        <v>261</v>
      </c>
      <c r="D292" s="218" t="s">
        <v>262</v>
      </c>
      <c r="E292" s="213"/>
      <c r="F292" s="213"/>
      <c r="G292" s="213" t="s">
        <v>383</v>
      </c>
      <c r="H292" s="213"/>
      <c r="I292" s="228"/>
      <c r="J292" s="228" t="s">
        <v>394</v>
      </c>
      <c r="K292" s="228" t="s">
        <v>385</v>
      </c>
      <c r="L292" s="228" t="s">
        <v>386</v>
      </c>
      <c r="M292" s="213"/>
      <c r="N292" s="218"/>
      <c r="O292" s="221"/>
      <c r="V292" s="11"/>
      <c r="W292" s="11"/>
      <c r="X292" s="11"/>
      <c r="Y292" s="11"/>
      <c r="Z292" s="11"/>
      <c r="AA292" s="11"/>
      <c r="AC292" s="11"/>
      <c r="AD292" s="11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</row>
    <row r="293" spans="1:45" ht="15" customHeight="1">
      <c r="A293" s="147">
        <f>A97</f>
        <v>0</v>
      </c>
      <c r="B293" s="257" t="e">
        <f t="shared" ref="B293" si="13">IF(C293&lt;=0,"Positive","Negative")</f>
        <v>#REF!</v>
      </c>
      <c r="C293" s="207" t="e">
        <f>#REF!</f>
        <v>#REF!</v>
      </c>
      <c r="D293" s="207" t="e">
        <f>#REF!</f>
        <v>#REF!</v>
      </c>
      <c r="E293" s="187" t="e">
        <f>IF(B293="Positive",#REF!-#REF!,#REF!-#REF!)/COS(ATAN(#REF!))</f>
        <v>#REF!</v>
      </c>
      <c r="F293" s="246" t="e">
        <f>IF(2*E293/COS(ATAN(#REF!))/#REF!&lt;=5.7*SQRT(Es/Fyf),"C","S")</f>
        <v>#REF!</v>
      </c>
      <c r="G293" s="148" t="e">
        <f>IF(#REF!=1,0.2*#REF!,IF(#REF!=2,0.25*#REF!,0))</f>
        <v>#REF!</v>
      </c>
      <c r="H293" s="187" t="e">
        <f>#REF!</f>
        <v>#REF!</v>
      </c>
      <c r="I293" s="2" t="e">
        <f>IF(B293="Positive",D293/C293,C293/D293)</f>
        <v>#REF!</v>
      </c>
      <c r="J293" s="2" t="e">
        <f>9/(E293/H293)^2</f>
        <v>#REF!</v>
      </c>
      <c r="K293" s="2" t="e">
        <f t="shared" ref="K293" si="14">IF(AND(C293&lt;=0,D293&lt;=0),7.2,IF(G293=0,9/(E293/H293)^2,IF(G293/E293&gt;=0.4,MAX(5.17/(G293/H293)^2,9/(E293/H293)^2),11.64/((E293-G293)/H293)^2)))</f>
        <v>#REF!</v>
      </c>
      <c r="L293" s="2" t="e">
        <f t="shared" ref="L293" si="15">IF(I293&gt;=-1,247.8*((G293/E293)^1.8)*(1-I293)^2.7,247.8*(1-I293)^0.32)</f>
        <v>#REF!</v>
      </c>
      <c r="M293" s="2" t="e">
        <f>MIN(0.9*Es*IF(#REF!=1,K293,IF(#REF!=2,L293,J293))/(#REF!/#REF!)^2,O196*Fyf,Fyw/0.7)</f>
        <v>#REF!</v>
      </c>
      <c r="N293" s="253" t="e">
        <f t="shared" ref="N293" si="16">IF(F293="S",IF(ABS(MIN(C293,D293))&lt;=M293,"OK","NG"),"-")</f>
        <v>#REF!</v>
      </c>
      <c r="O293" s="219" t="e">
        <f t="shared" ref="O293" si="17">IF(F293="S",M293/ABS(MIN(C293,D293)),"-")</f>
        <v>#REF!</v>
      </c>
      <c r="V293" s="11"/>
      <c r="W293" s="11"/>
      <c r="Y293" s="54"/>
      <c r="AB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</row>
    <row r="294" spans="1:45" ht="15" customHeight="1">
      <c r="A294" s="65"/>
      <c r="B294" s="65"/>
      <c r="C294" s="65"/>
      <c r="D294" s="65"/>
      <c r="E294" s="65"/>
      <c r="F294" s="65"/>
      <c r="Q294" s="65"/>
      <c r="R294" s="65"/>
      <c r="S294" s="65"/>
      <c r="T294" s="65"/>
      <c r="U294" s="65"/>
      <c r="V294" s="65"/>
      <c r="W294" s="65"/>
      <c r="X294" s="65"/>
      <c r="Y294" s="78"/>
      <c r="Z294" s="65"/>
      <c r="AA294" s="65"/>
    </row>
    <row r="295" spans="1:45" ht="15" customHeight="1">
      <c r="A295" s="67"/>
      <c r="B295" s="67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91"/>
      <c r="T295" s="91"/>
      <c r="U295" s="82"/>
      <c r="V295" s="65"/>
      <c r="W295" s="65"/>
      <c r="X295" s="65"/>
      <c r="Y295" s="83"/>
      <c r="Z295" s="65"/>
      <c r="AA295" s="65"/>
    </row>
    <row r="296" spans="1:45" ht="15" customHeight="1">
      <c r="B296" s="65"/>
      <c r="C296" s="65"/>
      <c r="D296" s="65"/>
      <c r="E296" s="65"/>
      <c r="F296" s="65"/>
      <c r="G296" s="28"/>
      <c r="H296" s="65"/>
      <c r="I296" s="65"/>
      <c r="J296" s="65"/>
      <c r="K296" s="65"/>
      <c r="L296" s="68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8"/>
      <c r="Z296" s="65"/>
      <c r="AA296" s="65"/>
    </row>
    <row r="297" spans="1:45" ht="15" customHeight="1">
      <c r="A297" s="82" t="s">
        <v>263</v>
      </c>
      <c r="B297" s="24"/>
      <c r="C297" s="65"/>
      <c r="D297" s="65"/>
      <c r="E297" s="65"/>
      <c r="F297" s="65"/>
      <c r="G297" s="28"/>
      <c r="H297" s="65"/>
      <c r="I297" s="65"/>
      <c r="J297" s="65"/>
      <c r="K297" s="65"/>
      <c r="L297" s="68"/>
      <c r="M297" s="65"/>
      <c r="N297" s="65"/>
      <c r="O297" s="30" t="s">
        <v>266</v>
      </c>
      <c r="P297" s="65"/>
      <c r="Q297" s="65"/>
      <c r="R297" s="65"/>
      <c r="S297" s="65"/>
      <c r="T297" s="65"/>
      <c r="U297" s="65"/>
      <c r="V297" s="65"/>
      <c r="W297" s="65"/>
      <c r="X297" s="65"/>
      <c r="Y297" s="68"/>
      <c r="Z297" s="65"/>
    </row>
    <row r="298" spans="1:45" ht="15" customHeight="1">
      <c r="A298" s="82"/>
      <c r="B298" s="24"/>
      <c r="C298" s="65"/>
      <c r="D298" s="65"/>
      <c r="E298" s="65"/>
      <c r="F298" s="65"/>
      <c r="G298" s="28"/>
      <c r="H298" s="65"/>
      <c r="I298" s="65"/>
      <c r="J298" s="65"/>
      <c r="K298" s="65"/>
      <c r="L298" s="83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83"/>
      <c r="Z298" s="65"/>
      <c r="AA298" s="65"/>
    </row>
    <row r="299" spans="1:45" ht="15" customHeight="1">
      <c r="A299" s="65"/>
      <c r="B299" s="65"/>
      <c r="C299" s="57" t="s">
        <v>333</v>
      </c>
      <c r="D299" s="65"/>
      <c r="E299" s="65"/>
      <c r="F299" s="65"/>
      <c r="G299" s="28"/>
      <c r="H299" s="65"/>
      <c r="I299" s="65"/>
      <c r="J299" s="65"/>
      <c r="K299" s="65"/>
      <c r="L299" s="68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8"/>
      <c r="Z299" s="65"/>
      <c r="AA299" s="65"/>
    </row>
    <row r="300" spans="1:45" ht="15" customHeight="1">
      <c r="A300" s="45"/>
      <c r="B300" s="65" t="s">
        <v>133</v>
      </c>
      <c r="C300" s="65"/>
      <c r="D300" s="65"/>
      <c r="E300" s="65"/>
      <c r="F300" s="65"/>
      <c r="G300" s="28"/>
      <c r="H300" s="65"/>
      <c r="I300" s="65"/>
      <c r="J300" s="65"/>
      <c r="K300" s="65"/>
      <c r="L300" s="68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8"/>
      <c r="Z300" s="65"/>
      <c r="AA300" s="65"/>
    </row>
    <row r="301" spans="1:45" ht="15" customHeight="1">
      <c r="A301" s="45"/>
      <c r="C301" s="54" t="s">
        <v>62</v>
      </c>
      <c r="D301" s="65"/>
      <c r="E301" s="65"/>
      <c r="F301" s="65"/>
      <c r="G301" s="28"/>
      <c r="H301" s="65"/>
      <c r="I301" s="65"/>
      <c r="J301" s="65"/>
      <c r="K301" s="65"/>
      <c r="L301" s="68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8"/>
      <c r="Z301" s="65"/>
      <c r="AA301" s="65"/>
    </row>
    <row r="302" spans="1:45" ht="15" customHeight="1">
      <c r="A302" s="45"/>
      <c r="C302" s="65" t="s">
        <v>135</v>
      </c>
      <c r="D302" s="65"/>
      <c r="E302" s="65"/>
      <c r="F302" s="65"/>
      <c r="G302" s="28"/>
      <c r="H302" s="65"/>
      <c r="I302" s="65"/>
      <c r="J302" s="65"/>
      <c r="K302" s="65"/>
      <c r="L302" s="68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8"/>
      <c r="Z302" s="65"/>
      <c r="AA302" s="65"/>
    </row>
    <row r="303" spans="1:45" ht="15" customHeight="1">
      <c r="A303" s="45"/>
      <c r="C303" s="65" t="s">
        <v>32</v>
      </c>
      <c r="D303" s="65"/>
      <c r="E303" s="65"/>
      <c r="F303" s="65"/>
      <c r="G303" s="28"/>
      <c r="H303" s="65"/>
      <c r="I303" s="65"/>
      <c r="J303" s="65"/>
      <c r="K303" s="65"/>
      <c r="L303" s="68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8"/>
      <c r="Z303" s="65"/>
      <c r="AA303" s="65"/>
    </row>
    <row r="304" spans="1:45" ht="15" customHeight="1">
      <c r="A304" s="45"/>
      <c r="B304" s="47"/>
      <c r="C304" s="65"/>
      <c r="D304" s="65"/>
      <c r="E304" s="65"/>
      <c r="F304" s="65"/>
      <c r="G304" s="28"/>
      <c r="H304" s="65"/>
      <c r="I304" s="65"/>
      <c r="J304" s="65"/>
      <c r="K304" s="65"/>
      <c r="L304" s="68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8"/>
      <c r="Z304" s="65"/>
      <c r="AA304" s="65"/>
    </row>
    <row r="305" spans="1:45" ht="15" customHeight="1">
      <c r="A305" s="45"/>
      <c r="C305" s="65" t="s">
        <v>63</v>
      </c>
      <c r="D305" s="65"/>
      <c r="E305" s="65"/>
      <c r="F305" s="65"/>
      <c r="G305" s="28"/>
      <c r="H305" s="65"/>
      <c r="I305" s="65"/>
      <c r="J305" s="65"/>
      <c r="K305" s="65"/>
      <c r="L305" s="68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8"/>
      <c r="Z305" s="65"/>
      <c r="AA305" s="65"/>
    </row>
    <row r="306" spans="1:45" ht="15" customHeight="1">
      <c r="A306" s="45"/>
      <c r="C306" s="65" t="s">
        <v>64</v>
      </c>
      <c r="D306" s="65"/>
      <c r="E306" s="65"/>
      <c r="F306" s="65"/>
      <c r="G306" s="28"/>
      <c r="H306" s="65"/>
      <c r="I306" s="65"/>
      <c r="J306" s="65"/>
      <c r="K306" s="65"/>
      <c r="L306" s="68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8"/>
      <c r="Z306" s="65"/>
      <c r="AA306" s="65"/>
    </row>
    <row r="307" spans="1:45" ht="15" customHeight="1">
      <c r="A307" s="45"/>
      <c r="B307" s="65"/>
      <c r="C307" s="65"/>
      <c r="D307" s="65"/>
      <c r="E307" s="65"/>
      <c r="F307" s="65"/>
      <c r="G307" s="28"/>
      <c r="H307" s="65"/>
      <c r="I307" s="65"/>
      <c r="J307" s="65"/>
      <c r="K307" s="65"/>
      <c r="L307" s="68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8"/>
      <c r="Z307" s="65"/>
      <c r="AA307" s="65"/>
    </row>
    <row r="308" spans="1:45" ht="15" customHeight="1">
      <c r="C308" s="54" t="s">
        <v>65</v>
      </c>
      <c r="D308" s="47"/>
      <c r="E308" s="57"/>
      <c r="F308" s="47"/>
      <c r="G308" s="47"/>
      <c r="H308" s="47"/>
      <c r="I308" s="65"/>
      <c r="J308" s="65"/>
      <c r="K308" s="65"/>
    </row>
    <row r="309" spans="1:45" ht="15" customHeight="1">
      <c r="C309" s="58" t="s">
        <v>9</v>
      </c>
      <c r="D309" s="52"/>
      <c r="E309" s="58"/>
      <c r="F309" s="58"/>
      <c r="G309" s="58"/>
      <c r="H309" s="52"/>
      <c r="I309" s="58" t="s">
        <v>7</v>
      </c>
      <c r="J309" s="52"/>
      <c r="K309" s="52"/>
    </row>
    <row r="310" spans="1:45" ht="15" customHeight="1">
      <c r="C310" s="65" t="s">
        <v>334</v>
      </c>
      <c r="D310" s="65"/>
      <c r="E310" s="65"/>
      <c r="F310" s="65"/>
      <c r="G310" s="65"/>
      <c r="H310" s="65"/>
      <c r="I310" s="53">
        <v>1</v>
      </c>
      <c r="J310" s="65"/>
      <c r="K310" s="65"/>
    </row>
    <row r="311" spans="1:45" ht="15" customHeight="1">
      <c r="C311" s="65" t="s">
        <v>335</v>
      </c>
      <c r="D311" s="65"/>
      <c r="E311" s="57"/>
      <c r="F311" s="65"/>
      <c r="G311" s="65"/>
      <c r="H311" s="65"/>
      <c r="I311" s="65" t="s">
        <v>336</v>
      </c>
      <c r="J311" s="65"/>
      <c r="K311" s="65"/>
    </row>
    <row r="312" spans="1:45" ht="15" customHeight="1">
      <c r="C312" s="55" t="s">
        <v>337</v>
      </c>
      <c r="D312" s="55"/>
      <c r="E312" s="59"/>
      <c r="F312" s="55"/>
      <c r="G312" s="55"/>
      <c r="H312" s="55"/>
      <c r="I312" s="55" t="s">
        <v>338</v>
      </c>
      <c r="J312" s="55"/>
      <c r="K312" s="55"/>
    </row>
    <row r="313" spans="1:45" ht="15" customHeight="1">
      <c r="C313" s="65" t="s">
        <v>66</v>
      </c>
      <c r="D313" s="65"/>
      <c r="E313" s="65"/>
      <c r="F313" s="65"/>
      <c r="G313" s="65"/>
      <c r="H313" s="28"/>
      <c r="I313" s="65"/>
      <c r="J313" s="65"/>
      <c r="K313" s="65"/>
      <c r="N313" s="69"/>
    </row>
    <row r="314" spans="1:45" ht="15" customHeight="1">
      <c r="C314" s="65" t="s">
        <v>134</v>
      </c>
      <c r="D314" s="65"/>
      <c r="E314" s="65"/>
      <c r="F314" s="65"/>
      <c r="G314" s="65"/>
      <c r="H314" s="28"/>
      <c r="I314" s="65"/>
      <c r="J314" s="65"/>
      <c r="K314" s="65"/>
      <c r="N314" s="84"/>
      <c r="Y314" s="84"/>
    </row>
    <row r="315" spans="1:45" ht="15" customHeight="1" thickBot="1">
      <c r="A315" s="146" t="s">
        <v>292</v>
      </c>
    </row>
    <row r="316" spans="1:45" ht="15" customHeight="1">
      <c r="A316" s="216" t="s">
        <v>127</v>
      </c>
      <c r="B316" s="211" t="s">
        <v>136</v>
      </c>
      <c r="C316" s="211" t="s">
        <v>280</v>
      </c>
      <c r="D316" s="211" t="s">
        <v>128</v>
      </c>
      <c r="E316" s="211" t="s">
        <v>129</v>
      </c>
      <c r="F316" s="211" t="s">
        <v>130</v>
      </c>
      <c r="G316" s="211" t="s">
        <v>264</v>
      </c>
      <c r="H316" s="211" t="s">
        <v>265</v>
      </c>
      <c r="I316" s="211" t="s">
        <v>131</v>
      </c>
      <c r="J316" s="211" t="s">
        <v>132</v>
      </c>
      <c r="K316" s="211" t="s">
        <v>175</v>
      </c>
      <c r="L316" s="211" t="s">
        <v>137</v>
      </c>
      <c r="M316" s="212" t="s">
        <v>158</v>
      </c>
      <c r="O316" s="69"/>
      <c r="P316" s="11"/>
      <c r="Q316" s="145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C316" s="11"/>
      <c r="AD316" s="11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</row>
    <row r="317" spans="1:45" ht="15" customHeight="1">
      <c r="A317" s="217"/>
      <c r="B317" s="213"/>
      <c r="C317" s="213"/>
      <c r="D317" s="213"/>
      <c r="E317" s="213"/>
      <c r="F317" s="213"/>
      <c r="G317" s="213"/>
      <c r="H317" s="213"/>
      <c r="I317" s="213"/>
      <c r="J317" s="213"/>
      <c r="K317" s="213"/>
      <c r="L317" s="213"/>
      <c r="M317" s="221"/>
      <c r="O317" s="69"/>
      <c r="P317" s="11"/>
      <c r="Q317" s="145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C317" s="11"/>
      <c r="AD317" s="11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</row>
    <row r="318" spans="1:45" ht="15" customHeight="1">
      <c r="A318" s="222">
        <f>A97</f>
        <v>0</v>
      </c>
      <c r="B318" s="187" t="e">
        <f>+(#REF!+#REF!+#REF!)*1.25/2</f>
        <v>#REF!</v>
      </c>
      <c r="C318" s="2">
        <f>COS(ATAN(G97))</f>
        <v>1</v>
      </c>
      <c r="D318" s="187" t="e">
        <f>+B318/C318</f>
        <v>#REF!</v>
      </c>
      <c r="E318" s="187" t="e">
        <f>#REF!</f>
        <v>#REF!</v>
      </c>
      <c r="F318" s="187" t="e">
        <f t="shared" ref="F318" si="18">5+5/(E318/G318)^2</f>
        <v>#REF!</v>
      </c>
      <c r="G318" s="187" t="e">
        <f>#REF!</f>
        <v>#REF!</v>
      </c>
      <c r="H318" s="187" t="e">
        <f>#REF!</f>
        <v>#REF!</v>
      </c>
      <c r="I318" s="187" t="e">
        <f t="shared" ref="I318" si="19">IF(G318/H318&lt;=1.12*SQRT(Es*F318/Fyw),1,IF(G318/H318&lt;=1.4*SQRT(Es*F318/Fyw),1.12/(G318/H318)*SQRT(Es*F318/Fyw),1.57*SQRT(Es*F318/Fyw)^2/(G318/H318)^2))</f>
        <v>#REF!</v>
      </c>
      <c r="J318" s="187" t="e">
        <f>0.58*Fyw*1000*#REF!*#REF!/10^6</f>
        <v>#REF!</v>
      </c>
      <c r="K318" s="187" t="e">
        <f t="shared" ref="K318" si="20">I318*J318</f>
        <v>#REF!</v>
      </c>
      <c r="L318" s="253" t="e">
        <f t="shared" ref="L318" si="21">IF(1*K318&gt;=ABS(D318),"OK","NG")</f>
        <v>#REF!</v>
      </c>
      <c r="M318" s="219" t="e">
        <f t="shared" ref="M318" si="22">K318/ABS(D318)</f>
        <v>#REF!</v>
      </c>
      <c r="O318" s="90"/>
      <c r="P318" s="11"/>
      <c r="Q318" s="11"/>
      <c r="R318" s="11"/>
      <c r="S318" s="11"/>
      <c r="T318" s="11"/>
      <c r="U318" s="11"/>
      <c r="V318" s="11"/>
      <c r="Y318" s="54"/>
      <c r="AB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</row>
  </sheetData>
  <mergeCells count="43">
    <mergeCell ref="E34:G35"/>
    <mergeCell ref="H34:H35"/>
    <mergeCell ref="E85:G85"/>
    <mergeCell ref="H155:H156"/>
    <mergeCell ref="N187:N188"/>
    <mergeCell ref="H265:I265"/>
    <mergeCell ref="C291:D291"/>
    <mergeCell ref="I36:K37"/>
    <mergeCell ref="I205:K205"/>
    <mergeCell ref="D217:G217"/>
    <mergeCell ref="B224:D225"/>
    <mergeCell ref="I232:J232"/>
    <mergeCell ref="B226:D226"/>
    <mergeCell ref="C85:C86"/>
    <mergeCell ref="D85:D86"/>
    <mergeCell ref="D116:E116"/>
    <mergeCell ref="C211:G211"/>
    <mergeCell ref="G194:J194"/>
    <mergeCell ref="B205:H205"/>
    <mergeCell ref="E36:F37"/>
    <mergeCell ref="B95:H95"/>
    <mergeCell ref="M232:N232"/>
    <mergeCell ref="C256:D257"/>
    <mergeCell ref="J238:K238"/>
    <mergeCell ref="C161:E162"/>
    <mergeCell ref="C140:E141"/>
    <mergeCell ref="F256:I257"/>
    <mergeCell ref="B194:F194"/>
    <mergeCell ref="K194:L194"/>
    <mergeCell ref="D199:G199"/>
    <mergeCell ref="H199:L199"/>
    <mergeCell ref="C151:E152"/>
    <mergeCell ref="D250:E251"/>
    <mergeCell ref="D252:E253"/>
    <mergeCell ref="H250:K251"/>
    <mergeCell ref="H252:K253"/>
    <mergeCell ref="I95:K95"/>
    <mergeCell ref="B100:C100"/>
    <mergeCell ref="D115:E115"/>
    <mergeCell ref="C115:C116"/>
    <mergeCell ref="D83:D84"/>
    <mergeCell ref="C83:C84"/>
    <mergeCell ref="F115:F116"/>
  </mergeCells>
  <phoneticPr fontId="29" type="noConversion"/>
  <conditionalFormatting sqref="S295:T295 M234">
    <cfRule type="cellIs" dxfId="9" priority="27" operator="equal">
      <formula>"NG"</formula>
    </cfRule>
  </conditionalFormatting>
  <conditionalFormatting sqref="L318">
    <cfRule type="cellIs" dxfId="8" priority="24" operator="equal">
      <formula>"NG"</formula>
    </cfRule>
  </conditionalFormatting>
  <conditionalFormatting sqref="N293">
    <cfRule type="cellIs" dxfId="7" priority="22" operator="equal">
      <formula>"NG"</formula>
    </cfRule>
  </conditionalFormatting>
  <conditionalFormatting sqref="I234">
    <cfRule type="cellIs" dxfId="6" priority="21" operator="equal">
      <formula>"NG"</formula>
    </cfRule>
  </conditionalFormatting>
  <conditionalFormatting sqref="N234">
    <cfRule type="cellIs" dxfId="5" priority="17" operator="equal">
      <formula>"NG"</formula>
    </cfRule>
  </conditionalFormatting>
  <conditionalFormatting sqref="O293">
    <cfRule type="cellIs" dxfId="4" priority="15" operator="equal">
      <formula>"NG"</formula>
    </cfRule>
  </conditionalFormatting>
  <conditionalFormatting sqref="M318">
    <cfRule type="cellIs" dxfId="3" priority="14" operator="equal">
      <formula>"NG"</formula>
    </cfRule>
  </conditionalFormatting>
  <conditionalFormatting sqref="J240">
    <cfRule type="cellIs" dxfId="2" priority="13" operator="equal">
      <formula>"NG"</formula>
    </cfRule>
  </conditionalFormatting>
  <conditionalFormatting sqref="K240">
    <cfRule type="cellIs" dxfId="1" priority="12" operator="equal">
      <formula>"NG"</formula>
    </cfRule>
  </conditionalFormatting>
  <conditionalFormatting sqref="J234">
    <cfRule type="cellIs" dxfId="0" priority="11" operator="equal">
      <formula>"NG"</formula>
    </cfRule>
  </conditionalFormatting>
  <pageMargins left="0.70866141732283472" right="0.70866141732283472" top="0.74803149606299213" bottom="0.74803149606299213" header="0.31496062992125984" footer="0.31496062992125984"/>
  <pageSetup paperSize="9" scale="92" orientation="portrait" r:id="rId1"/>
  <rowBreaks count="13" manualBreakCount="13">
    <brk id="27" max="14" man="1"/>
    <brk id="74" max="14" man="1"/>
    <brk id="98" max="14" man="1"/>
    <brk id="192" max="14" man="1"/>
    <brk id="197" max="14" man="1"/>
    <brk id="203" max="14" man="1"/>
    <brk id="209" max="14" man="1"/>
    <brk id="215" max="14" man="1"/>
    <brk id="221" max="14" man="1"/>
    <brk id="236" max="14" man="1"/>
    <brk id="242" max="14" man="1"/>
    <brk id="289" max="14" man="1"/>
    <brk id="296" max="1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Cons</vt:lpstr>
      <vt:lpstr>Fyr</vt:lpstr>
      <vt:lpstr>Cons!Print_Area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LXH</cp:lastModifiedBy>
  <cp:lastPrinted>2020-04-18T02:41:59Z</cp:lastPrinted>
  <dcterms:created xsi:type="dcterms:W3CDTF">2018-11-08T09:37:05Z</dcterms:created>
  <dcterms:modified xsi:type="dcterms:W3CDTF">2020-04-18T03:19:53Z</dcterms:modified>
</cp:coreProperties>
</file>