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H\Google Drive\PUS Program\Home4\Excel\"/>
    </mc:Choice>
  </mc:AlternateContent>
  <xr:revisionPtr revIDLastSave="0" documentId="13_ncr:1_{AA16A100-E1A4-4671-8EFE-AE2FB2D4185F}" xr6:coauthVersionLast="45" xr6:coauthVersionMax="45" xr10:uidLastSave="{00000000-0000-0000-0000-000000000000}"/>
  <bookViews>
    <workbookView xWindow="2040" yWindow="990" windowWidth="20370" windowHeight="19380" xr2:uid="{A7E1FCFF-BEB6-4CE8-BDCB-9484A7C319E7}"/>
  </bookViews>
  <sheets>
    <sheet name="INPUT" sheetId="2" r:id="rId1"/>
    <sheet name="Cons" sheetId="1" r:id="rId2"/>
    <sheet name="ULS" sheetId="4" r:id="rId3"/>
    <sheet name="SLS" sheetId="5" r:id="rId4"/>
    <sheet name="FLS" sheetId="6" r:id="rId5"/>
  </sheets>
  <definedNames>
    <definedName name="_xlnm.Print_Area" localSheetId="1">Cons!$A$1:$N$313</definedName>
    <definedName name="_xlnm.Print_Area" localSheetId="4">FLS!$A$1:$N$84</definedName>
    <definedName name="_xlnm.Print_Area" localSheetId="3">SLS!$A$1:$N$108</definedName>
    <definedName name="_xlnm.Print_Area" localSheetId="2">ULS!$A$1:$N$534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2" i="1" l="1"/>
  <c r="F286" i="1"/>
  <c r="F227" i="1"/>
  <c r="J197" i="1"/>
  <c r="K197" i="1"/>
  <c r="I197" i="1"/>
  <c r="E99" i="1"/>
  <c r="B94" i="1"/>
  <c r="B232" i="1" l="1"/>
  <c r="C232" i="1" s="1"/>
  <c r="B227" i="1"/>
  <c r="L480" i="4"/>
  <c r="K480" i="4"/>
  <c r="J480" i="4"/>
  <c r="I480" i="4"/>
  <c r="D480" i="4"/>
  <c r="C480" i="4"/>
  <c r="B480" i="4"/>
  <c r="H480" i="4" s="1"/>
  <c r="G232" i="1" l="1"/>
  <c r="J232" i="1" s="1"/>
  <c r="D227" i="1"/>
  <c r="H227" i="1"/>
  <c r="E480" i="4"/>
  <c r="F480" i="4"/>
  <c r="G480" i="4"/>
  <c r="I232" i="1" l="1"/>
  <c r="K227" i="1"/>
  <c r="J227" i="1"/>
  <c r="I83" i="6" l="1"/>
  <c r="H83" i="6"/>
  <c r="D83" i="6" l="1"/>
  <c r="E83" i="6"/>
  <c r="F83" i="6"/>
  <c r="G83" i="6"/>
  <c r="C83" i="6"/>
  <c r="J83" i="6" s="1"/>
  <c r="B83" i="6"/>
  <c r="H54" i="6"/>
  <c r="K54" i="6" s="1"/>
  <c r="E54" i="6"/>
  <c r="F54" i="6"/>
  <c r="G54" i="6"/>
  <c r="D54" i="6"/>
  <c r="B54" i="6"/>
  <c r="A54" i="6"/>
  <c r="A83" i="6" s="1"/>
  <c r="H30" i="6"/>
  <c r="L28" i="6" s="1"/>
  <c r="M42" i="6" s="1"/>
  <c r="Y44" i="6"/>
  <c r="L40" i="6"/>
  <c r="K40" i="6"/>
  <c r="I40" i="6"/>
  <c r="G40" i="6"/>
  <c r="F40" i="6"/>
  <c r="M54" i="6" l="1"/>
  <c r="K83" i="6"/>
  <c r="L83" i="6" s="1"/>
  <c r="M38" i="6"/>
  <c r="I54" i="6" s="1"/>
  <c r="M40" i="6"/>
  <c r="J107" i="5" l="1"/>
  <c r="I107" i="5"/>
  <c r="H107" i="5"/>
  <c r="G107" i="5"/>
  <c r="F107" i="5"/>
  <c r="D102" i="5"/>
  <c r="I92" i="5"/>
  <c r="G92" i="5"/>
  <c r="D92" i="5"/>
  <c r="G31" i="5"/>
  <c r="C92" i="5" s="1"/>
  <c r="H31" i="5"/>
  <c r="I31" i="5" s="1"/>
  <c r="F31" i="5"/>
  <c r="B92" i="5" s="1"/>
  <c r="D31" i="5"/>
  <c r="B31" i="5"/>
  <c r="E92" i="5" s="1"/>
  <c r="A31" i="5"/>
  <c r="A92" i="5" s="1"/>
  <c r="C107" i="5" s="1"/>
  <c r="E94" i="1"/>
  <c r="F92" i="5" l="1"/>
  <c r="D107" i="5"/>
  <c r="K107" i="5" s="1"/>
  <c r="L107" i="5" s="1"/>
  <c r="H92" i="5"/>
  <c r="L92" i="5"/>
  <c r="K31" i="5"/>
  <c r="J31" i="5"/>
  <c r="J92" i="5" l="1"/>
  <c r="K92" i="5" s="1"/>
  <c r="M92" i="5" s="1"/>
  <c r="H223" i="4" l="1"/>
  <c r="I223" i="4"/>
  <c r="J223" i="4"/>
  <c r="G223" i="4"/>
  <c r="C223" i="4"/>
  <c r="D223" i="4"/>
  <c r="E223" i="4"/>
  <c r="B223" i="4"/>
  <c r="F192" i="1" l="1"/>
  <c r="E192" i="1"/>
  <c r="E77" i="1"/>
  <c r="H533" i="4"/>
  <c r="G533" i="4"/>
  <c r="C533" i="4"/>
  <c r="D533" i="4"/>
  <c r="E533" i="4"/>
  <c r="F533" i="4"/>
  <c r="B533" i="4"/>
  <c r="B528" i="4"/>
  <c r="C485" i="4"/>
  <c r="B485" i="4"/>
  <c r="K467" i="4"/>
  <c r="G528" i="4" s="1"/>
  <c r="I467" i="4"/>
  <c r="E467" i="4" s="1"/>
  <c r="H467" i="4"/>
  <c r="J94" i="1"/>
  <c r="G467" i="4"/>
  <c r="F467" i="4"/>
  <c r="D467" i="4"/>
  <c r="D528" i="4" s="1"/>
  <c r="C467" i="4"/>
  <c r="C462" i="4"/>
  <c r="H528" i="4" l="1"/>
  <c r="I528" i="4" s="1"/>
  <c r="J533" i="4"/>
  <c r="I533" i="4"/>
  <c r="K528" i="4" l="1"/>
  <c r="K533" i="4"/>
  <c r="J452" i="4" l="1"/>
  <c r="H452" i="4"/>
  <c r="I452" i="4" s="1"/>
  <c r="C452" i="4"/>
  <c r="B452" i="4"/>
  <c r="C447" i="4"/>
  <c r="D447" i="4"/>
  <c r="E447" i="4"/>
  <c r="F447" i="4"/>
  <c r="G447" i="4"/>
  <c r="H447" i="4"/>
  <c r="B447" i="4"/>
  <c r="K442" i="4"/>
  <c r="C528" i="4" s="1"/>
  <c r="E528" i="4" s="1"/>
  <c r="J442" i="4"/>
  <c r="I442" i="4"/>
  <c r="H442" i="4"/>
  <c r="F442" i="4"/>
  <c r="E452" i="4" s="1"/>
  <c r="G442" i="4"/>
  <c r="E442" i="4"/>
  <c r="C442" i="4"/>
  <c r="D442" i="4"/>
  <c r="D452" i="4" s="1"/>
  <c r="B442" i="4"/>
  <c r="H271" i="4"/>
  <c r="I271" i="4"/>
  <c r="G271" i="4"/>
  <c r="F271" i="4"/>
  <c r="E271" i="4"/>
  <c r="D271" i="4"/>
  <c r="C271" i="4"/>
  <c r="B271" i="4"/>
  <c r="I266" i="4"/>
  <c r="I265" i="4"/>
  <c r="E266" i="4"/>
  <c r="G266" i="4" s="1"/>
  <c r="E265" i="4"/>
  <c r="G265" i="4" s="1"/>
  <c r="M249" i="4"/>
  <c r="J249" i="4"/>
  <c r="I249" i="4"/>
  <c r="H249" i="4"/>
  <c r="G249" i="4"/>
  <c r="F249" i="4"/>
  <c r="E249" i="4"/>
  <c r="H462" i="4" s="1"/>
  <c r="D249" i="4"/>
  <c r="C249" i="4"/>
  <c r="B249" i="4"/>
  <c r="C218" i="4"/>
  <c r="D218" i="4"/>
  <c r="H218" i="4" s="1"/>
  <c r="E218" i="4"/>
  <c r="F218" i="4"/>
  <c r="B218" i="4"/>
  <c r="A199" i="4"/>
  <c r="A218" i="4" s="1"/>
  <c r="A223" i="4" s="1"/>
  <c r="A249" i="4" s="1"/>
  <c r="A271" i="4" s="1"/>
  <c r="A442" i="4" s="1"/>
  <c r="A447" i="4" s="1"/>
  <c r="A452" i="4" s="1"/>
  <c r="A457" i="4" s="1"/>
  <c r="A462" i="4" s="1"/>
  <c r="A467" i="4" s="1"/>
  <c r="N199" i="4"/>
  <c r="J462" i="4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A485" i="4" l="1"/>
  <c r="A528" i="4" s="1"/>
  <c r="A533" i="4" s="1"/>
  <c r="A480" i="4"/>
  <c r="M271" i="4"/>
  <c r="J271" i="4"/>
  <c r="J528" i="4"/>
  <c r="L528" i="4" s="1"/>
  <c r="M528" i="4" s="1"/>
  <c r="N528" i="4" s="1"/>
  <c r="L533" i="4" s="1"/>
  <c r="M533" i="4" s="1"/>
  <c r="J467" i="4"/>
  <c r="G452" i="4"/>
  <c r="B457" i="4"/>
  <c r="D457" i="4" s="1"/>
  <c r="L442" i="4"/>
  <c r="I447" i="4" s="1"/>
  <c r="M442" i="4"/>
  <c r="J447" i="4" s="1"/>
  <c r="F452" i="4"/>
  <c r="L271" i="4"/>
  <c r="K271" i="4"/>
  <c r="K249" i="4"/>
  <c r="L249" i="4" s="1"/>
  <c r="G218" i="4"/>
  <c r="I218" i="4"/>
  <c r="B462" i="4" l="1"/>
  <c r="H457" i="4"/>
  <c r="F457" i="4"/>
  <c r="C457" i="4"/>
  <c r="E457" i="4"/>
  <c r="K447" i="4"/>
  <c r="K452" i="4"/>
  <c r="L452" i="4" s="1"/>
  <c r="K223" i="4"/>
  <c r="F223" i="4"/>
  <c r="G99" i="1"/>
  <c r="G94" i="1"/>
  <c r="D94" i="1" l="1"/>
  <c r="C94" i="1"/>
  <c r="I94" i="1"/>
  <c r="G457" i="4"/>
  <c r="I457" i="4"/>
  <c r="J457" i="4"/>
  <c r="G462" i="4"/>
  <c r="E485" i="4" s="1"/>
  <c r="B467" i="4"/>
  <c r="I462" i="4"/>
  <c r="D462" i="4"/>
  <c r="L447" i="4"/>
  <c r="L223" i="4"/>
  <c r="M223" i="4" s="1"/>
  <c r="N223" i="4" s="1"/>
  <c r="E312" i="1"/>
  <c r="H286" i="1"/>
  <c r="E286" i="1"/>
  <c r="F202" i="1"/>
  <c r="E202" i="1"/>
  <c r="D202" i="1"/>
  <c r="C202" i="1"/>
  <c r="G197" i="1"/>
  <c r="F197" i="1"/>
  <c r="E197" i="1"/>
  <c r="L187" i="1"/>
  <c r="I187" i="1"/>
  <c r="H187" i="1"/>
  <c r="G187" i="1"/>
  <c r="E187" i="1"/>
  <c r="D187" i="1"/>
  <c r="C187" i="1"/>
  <c r="B187" i="1"/>
  <c r="L99" i="1"/>
  <c r="F94" i="1" l="1"/>
  <c r="L457" i="4"/>
  <c r="K457" i="4"/>
  <c r="J485" i="4"/>
  <c r="L467" i="4"/>
  <c r="N457" i="4"/>
  <c r="K462" i="4"/>
  <c r="L462" i="4" s="1"/>
  <c r="K485" i="4" s="1"/>
  <c r="F99" i="1"/>
  <c r="C99" i="1"/>
  <c r="B99" i="1"/>
  <c r="M94" i="1"/>
  <c r="N94" i="1" s="1"/>
  <c r="A94" i="1"/>
  <c r="H485" i="4" l="1"/>
  <c r="I485" i="4"/>
  <c r="K187" i="1"/>
  <c r="I99" i="1"/>
  <c r="J192" i="1"/>
  <c r="J99" i="1"/>
  <c r="I192" i="1" s="1"/>
  <c r="M457" i="4"/>
  <c r="E462" i="4" s="1"/>
  <c r="F462" i="4" s="1"/>
  <c r="D485" i="4" s="1"/>
  <c r="M485" i="4"/>
  <c r="L485" i="4"/>
  <c r="H312" i="1"/>
  <c r="D286" i="1"/>
  <c r="C286" i="1"/>
  <c r="H192" i="1"/>
  <c r="K192" i="1" s="1"/>
  <c r="D192" i="1"/>
  <c r="I286" i="1"/>
  <c r="D197" i="1"/>
  <c r="C197" i="1"/>
  <c r="B197" i="1"/>
  <c r="J187" i="1"/>
  <c r="F485" i="4" l="1"/>
  <c r="G485" i="4"/>
  <c r="F312" i="1"/>
  <c r="L94" i="1"/>
  <c r="G312" i="1"/>
  <c r="C312" i="1"/>
  <c r="D312" i="1" s="1"/>
  <c r="H197" i="1"/>
  <c r="F187" i="1"/>
  <c r="M187" i="1" s="1"/>
  <c r="N187" i="1" s="1"/>
  <c r="D99" i="1"/>
  <c r="A99" i="1"/>
  <c r="A187" i="1" s="1"/>
  <c r="A192" i="1" s="1"/>
  <c r="A197" i="1" s="1"/>
  <c r="A202" i="1" s="1"/>
  <c r="A207" i="1" s="1"/>
  <c r="H94" i="1"/>
  <c r="G192" i="1" l="1"/>
  <c r="A212" i="1"/>
  <c r="A232" i="1" s="1"/>
  <c r="A286" i="1" s="1"/>
  <c r="A312" i="1" s="1"/>
  <c r="A227" i="1"/>
  <c r="I312" i="1"/>
  <c r="L192" i="1"/>
  <c r="K94" i="1"/>
  <c r="H99" i="1" s="1"/>
  <c r="K99" i="1" s="1"/>
  <c r="C227" i="1" s="1"/>
  <c r="L227" i="1" s="1"/>
  <c r="J312" i="1"/>
  <c r="B192" i="1"/>
  <c r="G227" i="1" l="1"/>
  <c r="B202" i="1"/>
  <c r="C192" i="1"/>
  <c r="C212" i="1" s="1"/>
  <c r="K312" i="1"/>
  <c r="L197" i="1"/>
  <c r="M197" i="1" s="1"/>
  <c r="B207" i="1" l="1"/>
  <c r="C207" i="1"/>
  <c r="M192" i="1"/>
  <c r="E212" i="1" s="1"/>
  <c r="M99" i="1"/>
  <c r="N99" i="1"/>
  <c r="G202" i="1"/>
  <c r="K202" i="1"/>
  <c r="H202" i="1" s="1"/>
  <c r="M312" i="1"/>
  <c r="L312" i="1"/>
  <c r="I207" i="1"/>
  <c r="J202" i="1"/>
  <c r="I202" i="1"/>
  <c r="B212" i="1" l="1"/>
  <c r="B286" i="1" s="1"/>
  <c r="M202" i="1"/>
  <c r="L202" i="1"/>
  <c r="D207" i="1"/>
  <c r="J286" i="1" l="1"/>
  <c r="K286" i="1" s="1"/>
  <c r="H212" i="1"/>
  <c r="D212" i="1"/>
  <c r="I212" i="1"/>
  <c r="J212" i="1" s="1"/>
  <c r="K212" i="1" s="1"/>
  <c r="H207" i="1"/>
  <c r="E207" i="1"/>
  <c r="F207" i="1"/>
  <c r="G286" i="1" l="1"/>
  <c r="E227" i="1"/>
  <c r="L286" i="1"/>
  <c r="M286" i="1" s="1"/>
  <c r="L212" i="1"/>
  <c r="G207" i="1"/>
  <c r="J207" i="1" s="1"/>
  <c r="M227" i="1" l="1"/>
  <c r="N227" i="1" s="1"/>
  <c r="H232" i="1"/>
  <c r="F212" i="1"/>
  <c r="G212" i="1"/>
  <c r="N286" i="1"/>
  <c r="I227" i="1" l="1"/>
  <c r="D232" i="1"/>
  <c r="E232" i="1" l="1"/>
  <c r="F2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92" authorId="0" shapeId="0" xr:uid="{3F981EB1-8579-416F-900A-443D6A4D4B0E}">
      <text>
        <r>
          <rPr>
            <b/>
            <sz val="9"/>
            <color indexed="81"/>
            <rFont val="Tahoma"/>
            <family val="2"/>
          </rPr>
          <t>Leave blank for the straight bridge</t>
        </r>
      </text>
    </comment>
    <comment ref="C190" authorId="0" shapeId="0" xr:uid="{C2B4FA22-D471-4D13-A515-34A03B857676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M190" authorId="0" shapeId="0" xr:uid="{D6832258-64E8-4755-8E1F-1B17E4317513}">
      <text>
        <r>
          <rPr>
            <b/>
            <sz val="9"/>
            <color indexed="81"/>
            <rFont val="Tahoma"/>
            <family val="2"/>
          </rPr>
          <t>OF = Open flange</t>
        </r>
      </text>
    </comment>
    <comment ref="C205" authorId="0" shapeId="0" xr:uid="{28D64FF9-9E06-4FD9-A807-8BD7CE96F2FE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J205" authorId="0" shapeId="0" xr:uid="{EC8F7956-90DA-4294-9FE1-73257A8044F6}">
      <text>
        <r>
          <rPr>
            <b/>
            <sz val="9"/>
            <color indexed="81"/>
            <rFont val="Tahoma"/>
            <family val="2"/>
          </rPr>
          <t>BF = box flange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9" authorId="0" shapeId="0" xr:uid="{A85F3DA2-49F7-4CD1-B007-485BDCCC8E5C}">
      <text>
        <r>
          <rPr>
            <b/>
            <sz val="9"/>
            <color indexed="81"/>
            <rFont val="Tahoma"/>
            <family val="2"/>
          </rPr>
          <t>C = compact
NC = noncompact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<sst xmlns="http://schemas.openxmlformats.org/spreadsheetml/2006/main" count="1825" uniqueCount="1126">
  <si>
    <t>Sectional Checking</t>
  </si>
  <si>
    <t>7.1. Constructibility</t>
  </si>
  <si>
    <t>Lateral bending stress</t>
  </si>
  <si>
    <r>
      <t>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</si>
  <si>
    <t>강.설 4.3-108</t>
  </si>
  <si>
    <t>Compression flange</t>
  </si>
  <si>
    <t>Open-flange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</si>
  <si>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>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</si>
  <si>
    <t>강.설 4.3-132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</si>
  <si>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</si>
  <si>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t>강.설 4.3-133</t>
  </si>
  <si>
    <t>(for slender web)</t>
    <phoneticPr fontId="1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</si>
  <si>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</si>
  <si>
    <t>강.설 4.3-134</t>
  </si>
  <si>
    <t>Box-flange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</si>
  <si>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</si>
  <si>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t>강.설 4.3-247</t>
  </si>
  <si>
    <t>강.설 4.3-248</t>
  </si>
  <si>
    <t>Tension flange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</si>
  <si>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</si>
  <si>
    <t>강.설 4.3-135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</si>
  <si>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맑은 고딕"/>
        <family val="3"/>
        <charset val="129"/>
      </rPr>
      <t>Δ</t>
    </r>
  </si>
  <si>
    <t>강.설 4.3-249</t>
  </si>
  <si>
    <t>Web</t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</si>
  <si>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</si>
  <si>
    <t>강.설 4.3-137</t>
  </si>
  <si>
    <t>7.1.1. Flange Lateral bending stress</t>
  </si>
  <si>
    <t>강.설 4.3.3.1.1.6</t>
  </si>
  <si>
    <r>
      <t>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</si>
  <si>
    <r>
      <t>Calcualation of f</t>
    </r>
    <r>
      <rPr>
        <b/>
        <vertAlign val="subscript"/>
        <sz val="9"/>
        <rFont val="맑은 고딕"/>
        <family val="3"/>
        <charset val="129"/>
      </rPr>
      <t>ℓ</t>
    </r>
  </si>
  <si>
    <t>Case</t>
  </si>
  <si>
    <r>
      <t>f</t>
    </r>
    <r>
      <rPr>
        <b/>
        <vertAlign val="subscript"/>
        <sz val="9"/>
        <rFont val="맑은 고딕"/>
        <family val="3"/>
        <charset val="129"/>
      </rPr>
      <t>ℓ</t>
    </r>
  </si>
  <si>
    <r>
      <t>f</t>
    </r>
    <r>
      <rPr>
        <vertAlign val="subscript"/>
        <sz val="9"/>
        <rFont val="맑은 고딕"/>
        <family val="3"/>
        <charset val="129"/>
      </rPr>
      <t>ℓ1</t>
    </r>
  </si>
  <si>
    <t>Compression flange</t>
    <phoneticPr fontId="11" type="noConversion"/>
  </si>
  <si>
    <t>Otherwise</t>
  </si>
  <si>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• f</t>
    </r>
    <r>
      <rPr>
        <vertAlign val="subscript"/>
        <sz val="9"/>
        <rFont val="맑은 고딕"/>
        <family val="3"/>
        <charset val="129"/>
      </rPr>
      <t>ℓ1</t>
    </r>
    <r>
      <rPr>
        <sz val="9"/>
        <rFont val="맑은 고딕"/>
        <family val="3"/>
        <charset val="129"/>
      </rPr>
      <t xml:space="preserve">  ≥  f</t>
    </r>
    <r>
      <rPr>
        <vertAlign val="subscript"/>
        <sz val="9"/>
        <rFont val="맑은 고딕"/>
        <family val="3"/>
        <charset val="129"/>
      </rPr>
      <t>ℓ1</t>
    </r>
  </si>
  <si>
    <r>
      <t>1-f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cr</t>
    </r>
  </si>
  <si>
    <t>Tension flange</t>
    <phoneticPr fontId="11" type="noConversion"/>
  </si>
  <si>
    <t>여기서,</t>
    <phoneticPr fontId="11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</si>
  <si>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</si>
  <si>
    <t>=</t>
    <phoneticPr fontId="11" type="noConversion"/>
  </si>
  <si>
    <t>비지지걸이</t>
    <phoneticPr fontId="11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</si>
  <si>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</si>
  <si>
    <r>
      <t>1.0•r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•</t>
    </r>
    <r>
      <rPr>
        <sz val="9"/>
        <rFont val="Symbol"/>
        <family val="1"/>
        <charset val="2"/>
      </rPr>
      <t>Ö</t>
    </r>
    <r>
      <rPr>
        <sz val="9"/>
        <rFont val="맑은 고딕"/>
        <family val="3"/>
        <charset val="129"/>
      </rPr>
      <t>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</si>
  <si>
    <t>소성거동을 보장하는 비지지길이의 한계</t>
    <phoneticPr fontId="11" type="noConversion"/>
  </si>
  <si>
    <t>강.설 4.3.3.1.8.2(3)</t>
  </si>
  <si>
    <r>
      <t>C</t>
    </r>
    <r>
      <rPr>
        <vertAlign val="subscript"/>
        <sz val="9"/>
        <rFont val="맑은 고딕"/>
        <family val="3"/>
        <charset val="129"/>
      </rPr>
      <t>b</t>
    </r>
  </si>
  <si>
    <t>모멘트 보정계수, taken as 1.0</t>
    <phoneticPr fontId="11" type="noConversion"/>
  </si>
  <si>
    <r>
      <t>if f</t>
    </r>
    <r>
      <rPr>
        <vertAlign val="subscript"/>
        <sz val="9"/>
        <rFont val="맑은 고딕"/>
        <family val="3"/>
        <charset val="129"/>
      </rPr>
      <t>mid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&gt; 1</t>
    </r>
  </si>
  <si>
    <r>
      <t>If 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= 0</t>
    </r>
  </si>
  <si>
    <r>
      <t>1.75-1.05f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+ 0.3(f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2.3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</si>
  <si>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</t>
    </r>
  </si>
  <si>
    <t>for constructibility (A.C.6.10.1.10.2)</t>
    <phoneticPr fontId="11" type="noConversion"/>
  </si>
  <si>
    <t>강.설 4.3.3.1.1.10(2)</t>
  </si>
  <si>
    <t>flange lateral bending stress throughout the unbraced length</t>
    <phoneticPr fontId="11" type="noConversion"/>
  </si>
  <si>
    <t>=</t>
  </si>
  <si>
    <r>
      <t>(1.25M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+ 1.25M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>) / S</t>
    </r>
    <r>
      <rPr>
        <vertAlign val="subscript"/>
        <sz val="9"/>
        <rFont val="맑은 고딕"/>
        <family val="3"/>
        <charset val="129"/>
      </rPr>
      <t>ℓ</t>
    </r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</si>
  <si>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/>
    </r>
  </si>
  <si>
    <t>lateral bending moment due to horizontal component of web shear in web</t>
  </si>
  <si>
    <r>
      <t>M</t>
    </r>
    <r>
      <rPr>
        <vertAlign val="subscript"/>
        <sz val="9"/>
        <rFont val="맑은 고딕"/>
        <family val="3"/>
        <charset val="129"/>
      </rPr>
      <t>lo</t>
    </r>
  </si>
  <si>
    <t>lateral bending moment due to deck overhang wet concrete load</t>
  </si>
  <si>
    <r>
      <t>M</t>
    </r>
    <r>
      <rPr>
        <vertAlign val="subscript"/>
        <sz val="9"/>
        <rFont val="맑은 고딕"/>
        <family val="3"/>
        <charset val="129"/>
      </rPr>
      <t>lf</t>
    </r>
  </si>
  <si>
    <t>lateral bending moment due to deck overhang forms load</t>
  </si>
  <si>
    <r>
      <t>M</t>
    </r>
    <r>
      <rPr>
        <vertAlign val="subscript"/>
        <sz val="9"/>
        <rFont val="맑은 고딕"/>
        <family val="3"/>
        <charset val="129"/>
      </rPr>
      <t>lc</t>
    </r>
  </si>
  <si>
    <t>lateral bending moment due to curvature</t>
  </si>
  <si>
    <t xml:space="preserve">■ </t>
  </si>
  <si>
    <t>Moment due to horizontal component of web shear</t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</si>
  <si>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</si>
  <si>
    <r>
      <t>w = V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</t>
    </r>
    <r>
      <rPr>
        <sz val="9"/>
        <rFont val="Calibri"/>
        <family val="3"/>
        <charset val="161"/>
      </rPr>
      <t>Δ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>∙tan</t>
    </r>
    <r>
      <rPr>
        <sz val="9"/>
        <rFont val="Calibri"/>
        <family val="3"/>
        <charset val="161"/>
      </rPr>
      <t>θ</t>
    </r>
  </si>
  <si>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>v = [</t>
    </r>
    <r>
      <rPr>
        <sz val="9"/>
        <rFont val="Calibri"/>
        <family val="3"/>
      </rPr>
      <t>A1</t>
    </r>
    <r>
      <rPr>
        <sz val="9"/>
        <rFont val="맑은 고딕"/>
        <family val="3"/>
        <charset val="129"/>
      </rPr>
      <t>•75kN/m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 xml:space="preserve"> + (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c</t>
    </r>
    <r>
      <rPr>
        <sz val="9"/>
        <rFont val="맑은 고딕"/>
        <family val="3"/>
        <charset val="129"/>
      </rPr>
      <t xml:space="preserve"> + 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s</t>
    </r>
    <r>
      <rPr>
        <sz val="9"/>
        <rFont val="맑은 고딕"/>
        <family val="3"/>
        <charset val="129"/>
      </rPr>
      <t>)•25kN/m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]/2</t>
    </r>
  </si>
  <si>
    <r>
      <t>A1, A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, A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sectional area of steel girder, bottom concrete and deck slab</t>
    </r>
  </si>
  <si>
    <t>Moment due to overhang wet concrete loading</t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</si>
  <si>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</si>
  <si>
    <r>
      <t>w = F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0.5∙F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>/tanα</t>
    </r>
  </si>
  <si>
    <r>
      <t>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•b•25kN/m</t>
    </r>
    <r>
      <rPr>
        <vertAlign val="superscript"/>
        <sz val="9"/>
        <rFont val="맑은 고딕"/>
        <family val="3"/>
        <charset val="129"/>
      </rPr>
      <t>3</t>
    </r>
  </si>
  <si>
    <t>b, ts = cantilever and thickness of deck slab</t>
    <phoneticPr fontId="11" type="noConversion"/>
  </si>
  <si>
    <t>Moment due to overhang form loads</t>
  </si>
  <si>
    <r>
      <t>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</si>
  <si>
    <r>
      <t>w = 0.5∙F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>/tanα</t>
    </r>
  </si>
  <si>
    <r>
      <t>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 xml:space="preserve"> = </t>
    </r>
  </si>
  <si>
    <t>kN/m (assumed)</t>
    <phoneticPr fontId="11" type="noConversion"/>
  </si>
  <si>
    <t>Moment due to curvature</t>
  </si>
  <si>
    <r>
      <t>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 xml:space="preserve"> = ML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/(NRD)</t>
    </r>
  </si>
  <si>
    <t>N - a constant taken as 12, R - girder radius, D - web depth</t>
    <phoneticPr fontId="11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</si>
  <si>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</si>
  <si>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π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E</t>
    </r>
  </si>
  <si>
    <r>
      <t>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</si>
  <si>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r>
      <t>r</t>
    </r>
    <r>
      <rPr>
        <vertAlign val="subscript"/>
        <sz val="9"/>
        <rFont val="맑은 고딕"/>
        <family val="3"/>
        <charset val="129"/>
      </rPr>
      <t>t</t>
    </r>
  </si>
  <si>
    <r>
      <t>b</t>
    </r>
    <r>
      <rPr>
        <vertAlign val="subscript"/>
        <sz val="9"/>
        <rFont val="맑은 고딕"/>
        <family val="3"/>
        <charset val="129"/>
      </rPr>
      <t>fc</t>
    </r>
  </si>
  <si>
    <r>
      <t>√(12(1 +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/3/b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))</t>
    </r>
  </si>
  <si>
    <r>
      <t>f</t>
    </r>
    <r>
      <rPr>
        <vertAlign val="subscript"/>
        <sz val="9"/>
        <rFont val="맑은 고딕"/>
        <family val="3"/>
        <charset val="129"/>
      </rPr>
      <t>bu</t>
    </r>
  </si>
  <si>
    <t>largest values of compressive stress in the flange</t>
    <phoneticPr fontId="11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</si>
  <si>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</si>
  <si>
    <t>deep of web in compression in elastic range</t>
    <phoneticPr fontId="11" type="noConversion"/>
  </si>
  <si>
    <r>
      <t>S</t>
    </r>
    <r>
      <rPr>
        <vertAlign val="subscript"/>
        <sz val="9"/>
        <rFont val="맑은 고딕"/>
        <family val="3"/>
        <charset val="129"/>
      </rPr>
      <t>l</t>
    </r>
  </si>
  <si>
    <r>
      <t>t</t>
    </r>
    <r>
      <rPr>
        <vertAlign val="subscript"/>
        <sz val="9"/>
        <rFont val="맑은 고딕"/>
        <family val="3"/>
        <charset val="129"/>
      </rPr>
      <t>top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top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/6</t>
    </r>
  </si>
  <si>
    <t>section modulus of top flange about a vertical axis through the web</t>
    <phoneticPr fontId="11" type="noConversion"/>
  </si>
  <si>
    <t>Table 7.1.1. Calculation of flange lateral bending moments</t>
    <phoneticPr fontId="11" type="noConversion"/>
  </si>
  <si>
    <t>Node</t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</si>
  <si>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산정</t>
    </r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</si>
  <si>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산정</t>
    </r>
  </si>
  <si>
    <t>R</t>
    <phoneticPr fontId="11" type="noConversion"/>
  </si>
  <si>
    <t>A1</t>
    <phoneticPr fontId="11" type="noConversion"/>
  </si>
  <si>
    <t>Ac</t>
    <phoneticPr fontId="11" type="noConversion"/>
  </si>
  <si>
    <t>As</t>
    <phoneticPr fontId="11" type="noConversion"/>
  </si>
  <si>
    <t>ΔV</t>
    <phoneticPr fontId="11" type="noConversion"/>
  </si>
  <si>
    <t>tanθ</t>
    <phoneticPr fontId="11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</si>
  <si>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</si>
  <si>
    <t>tanα</t>
    <phoneticPr fontId="11" type="noConversion"/>
  </si>
  <si>
    <r>
      <t>F</t>
    </r>
    <r>
      <rPr>
        <vertAlign val="subscript"/>
        <sz val="9"/>
        <rFont val="맑은 고딕"/>
        <family val="3"/>
        <charset val="129"/>
      </rPr>
      <t>con</t>
    </r>
  </si>
  <si>
    <t>Table 7.1.2. Checking flange lateral bending stress</t>
    <phoneticPr fontId="11" type="noConversion"/>
  </si>
  <si>
    <t>정/부</t>
    <phoneticPr fontId="11" type="noConversion"/>
  </si>
  <si>
    <r>
      <t>f</t>
    </r>
    <r>
      <rPr>
        <vertAlign val="subscript"/>
        <sz val="9"/>
        <rFont val="맑은 고딕"/>
        <family val="3"/>
        <charset val="129"/>
      </rPr>
      <t>l1</t>
    </r>
  </si>
  <si>
    <r>
      <t>f</t>
    </r>
    <r>
      <rPr>
        <vertAlign val="subscript"/>
        <sz val="9"/>
        <rFont val="맑은 고딕"/>
        <family val="3"/>
        <charset val="129"/>
      </rPr>
      <t>l</t>
    </r>
  </si>
  <si>
    <r>
      <t>0.6F</t>
    </r>
    <r>
      <rPr>
        <vertAlign val="subscript"/>
        <sz val="9"/>
        <rFont val="맑은 고딕"/>
        <family val="3"/>
        <charset val="129"/>
      </rPr>
      <t>y</t>
    </r>
  </si>
  <si>
    <t>검토</t>
    <phoneticPr fontId="11" type="noConversion"/>
  </si>
  <si>
    <t>Ratio</t>
    <phoneticPr fontId="11" type="noConversion"/>
  </si>
  <si>
    <t>상연</t>
    <phoneticPr fontId="11" type="noConversion"/>
  </si>
  <si>
    <t>하연</t>
    <phoneticPr fontId="11" type="noConversion"/>
  </si>
  <si>
    <t>모멘트</t>
    <phoneticPr fontId="11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</si>
  <si>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≤ 1.2L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√(C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)</t>
    </r>
    <phoneticPr fontId="28" type="noConversion"/>
  </si>
  <si>
    <t>+</t>
    <phoneticPr fontId="32" type="noConversion"/>
  </si>
  <si>
    <r>
      <t>R</t>
    </r>
    <r>
      <rPr>
        <b/>
        <vertAlign val="subscript"/>
        <sz val="9"/>
        <rFont val="맑은 고딕"/>
        <family val="3"/>
        <charset val="129"/>
      </rPr>
      <t>h</t>
    </r>
  </si>
  <si>
    <r>
      <t>[12+β(3ρ  -ρ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)]/(12 + 2β)</t>
    </r>
    <phoneticPr fontId="32" type="noConversion"/>
  </si>
  <si>
    <t>1) 플랜지 응력</t>
    <phoneticPr fontId="32" type="noConversion"/>
  </si>
  <si>
    <t>강.설 4.3.3.1.1.10(1)</t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</si>
  <si>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nc</t>
    </r>
  </si>
  <si>
    <t>Open flange (OF)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</si>
  <si>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Min (F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, 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>)</t>
    </r>
  </si>
  <si>
    <t>Box flange (BF)</t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</si>
  <si>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nc_LB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</si>
  <si>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</si>
  <si>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= 1.0 for checking constructibility</t>
    </r>
  </si>
  <si>
    <r>
      <t>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 xml:space="preserve"> = max [min (0.7F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,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)] , 0.5F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] </t>
    </r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</si>
  <si>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= 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/2t</t>
    </r>
    <r>
      <rPr>
        <vertAlign val="subscript"/>
        <sz val="9"/>
        <rFont val="맑은 고딕"/>
        <family val="3"/>
        <charset val="129"/>
      </rPr>
      <t>fc</t>
    </r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</si>
  <si>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 xml:space="preserve"> = 0.38√(E/F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</si>
  <si>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rf</t>
    </r>
    <r>
      <rPr>
        <sz val="9"/>
        <rFont val="맑은 고딕"/>
        <family val="3"/>
        <charset val="129"/>
      </rPr>
      <t xml:space="preserve"> = 0.56√(E/F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)</t>
    </r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</si>
  <si>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nc_LTB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</si>
  <si>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≤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32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</si>
  <si>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= unbraced length</t>
    </r>
  </si>
  <si>
    <r>
      <t>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1.0r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2" type="noConversion"/>
  </si>
  <si>
    <r>
      <t>L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πr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√(E/F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)</t>
    </r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</si>
  <si>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cb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</si>
  <si>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Δ</t>
    </r>
    <phoneticPr fontId="32" type="noConversion"/>
  </si>
  <si>
    <r>
      <t>0.9ER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k/λ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2</t>
    </r>
    <phoneticPr fontId="32" type="noConversion"/>
  </si>
  <si>
    <t>T</t>
    <phoneticPr fontId="32" type="noConversion"/>
  </si>
  <si>
    <t>=</t>
    <phoneticPr fontId="32" type="noConversion"/>
  </si>
  <si>
    <t>계수하중에 의한 내부토크</t>
    <phoneticPr fontId="32" type="noConversion"/>
  </si>
  <si>
    <t>박스거더 단면의 폐합단면적</t>
    <phoneticPr fontId="32" type="noConversion"/>
  </si>
  <si>
    <t>w</t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</si>
  <si>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cv</t>
    </r>
  </si>
  <si>
    <r>
      <t>0.58F</t>
    </r>
    <r>
      <rPr>
        <vertAlign val="subscript"/>
        <sz val="9"/>
        <rFont val="맑은 고딕"/>
        <family val="3"/>
        <charset val="129"/>
      </rPr>
      <t>yc</t>
    </r>
  </si>
  <si>
    <r>
      <t>0.65√(F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)/λ</t>
    </r>
    <r>
      <rPr>
        <vertAlign val="subscript"/>
        <sz val="9"/>
        <rFont val="맑은 고딕"/>
        <family val="3"/>
        <charset val="129"/>
      </rPr>
      <t>f</t>
    </r>
    <phoneticPr fontId="32" type="noConversion"/>
  </si>
  <si>
    <r>
      <t>0.9Ek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2</t>
    </r>
    <phoneticPr fontId="32" type="noConversion"/>
  </si>
  <si>
    <t>k</t>
  </si>
  <si>
    <r>
      <t>k</t>
    </r>
    <r>
      <rPr>
        <b/>
        <vertAlign val="subscript"/>
        <sz val="9"/>
        <rFont val="맑은 고딕"/>
        <family val="3"/>
        <charset val="129"/>
      </rPr>
      <t>s</t>
    </r>
  </si>
  <si>
    <t>종리브 없음</t>
  </si>
  <si>
    <t>n = 1</t>
  </si>
  <si>
    <r>
      <t>1.0 ≤ [8I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맑은 고딕"/>
        <family val="3"/>
        <charset val="129"/>
      </rPr>
      <t>≤ 4.0</t>
    </r>
    <phoneticPr fontId="32" type="noConversion"/>
  </si>
  <si>
    <t>종리브 있음</t>
  </si>
  <si>
    <t>n = 2</t>
  </si>
  <si>
    <r>
      <t>1.0 ≤ [0.894I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맑은 고딕"/>
        <family val="3"/>
        <charset val="129"/>
      </rPr>
      <t>≤ 4.0</t>
    </r>
    <phoneticPr fontId="32" type="noConversion"/>
  </si>
  <si>
    <t>강.설 4.3.3.1.8.2</t>
    <phoneticPr fontId="32" type="noConversion"/>
  </si>
  <si>
    <t>강.설 4.3.3.2.8.2</t>
    <phoneticPr fontId="32" type="noConversion"/>
  </si>
  <si>
    <t>강.설 4.3.3.1.8.2(2)</t>
    <phoneticPr fontId="32" type="noConversion"/>
  </si>
  <si>
    <t>강.설 4.3.3.1.8.2(3)</t>
    <phoneticPr fontId="32" type="noConversion"/>
  </si>
  <si>
    <t>강.설 4.3.3.2.8.2(2)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</si>
  <si>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F</t>
    </r>
    <r>
      <rPr>
        <vertAlign val="subscript"/>
        <sz val="9"/>
        <rFont val="맑은 고딕"/>
        <family val="3"/>
        <charset val="129"/>
      </rPr>
      <t>cb</t>
    </r>
    <r>
      <rPr>
        <sz val="9"/>
        <rFont val="맑은 고딕"/>
        <family val="3"/>
        <charset val="129"/>
      </rPr>
      <t>√[(1 - (f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/ </t>
    </r>
    <r>
      <rPr>
        <sz val="9"/>
        <rFont val="Calibri"/>
        <family val="3"/>
        <charset val="161"/>
      </rPr>
      <t>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cv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</t>
    </r>
    <phoneticPr fontId="28" type="noConversion"/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</si>
  <si>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[1 - (1-F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-L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)/(L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-L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)]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 xml:space="preserve">yc </t>
    </r>
    <r>
      <rPr>
        <sz val="9"/>
        <rFont val="맑은 고딕"/>
        <family val="3"/>
        <charset val="129"/>
      </rPr>
      <t>≤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8" type="noConversion"/>
  </si>
  <si>
    <r>
      <t>[1 - (1 - 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(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 xml:space="preserve">f </t>
    </r>
    <r>
      <rPr>
        <sz val="9"/>
        <rFont val="맑은 고딕"/>
        <family val="3"/>
        <charset val="129"/>
      </rPr>
      <t xml:space="preserve">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>)/(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 xml:space="preserve">rf </t>
    </r>
    <r>
      <rPr>
        <sz val="9"/>
        <rFont val="맑은 고딕"/>
        <family val="3"/>
        <charset val="129"/>
      </rPr>
      <t xml:space="preserve">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>)]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</si>
  <si>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= </t>
    </r>
    <phoneticPr fontId="28" type="noConversion"/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</si>
  <si>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Calibri"/>
        <family val="3"/>
        <charset val="161"/>
      </rPr>
      <t>π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E</t>
    </r>
    <phoneticPr fontId="28" type="noConversion"/>
  </si>
  <si>
    <r>
      <t>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/ 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phoneticPr fontId="28" type="noConversion"/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</si>
  <si>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[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 xml:space="preserve"> - (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 xml:space="preserve"> - (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 xml:space="preserve"> - 0.3)/R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) (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 xml:space="preserve">f </t>
    </r>
    <r>
      <rPr>
        <sz val="9"/>
        <rFont val="맑은 고딕"/>
        <family val="3"/>
        <charset val="129"/>
      </rPr>
      <t xml:space="preserve">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)/(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 xml:space="preserve">r </t>
    </r>
    <r>
      <rPr>
        <sz val="9"/>
        <rFont val="맑은 고딕"/>
        <family val="3"/>
        <charset val="129"/>
      </rPr>
      <t xml:space="preserve">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)]</t>
    </r>
    <phoneticPr fontId="28" type="noConversion"/>
  </si>
  <si>
    <t>if 종리브 없음</t>
    <phoneticPr fontId="28" type="noConversion"/>
  </si>
  <si>
    <t>if 종리브 있음</t>
    <phoneticPr fontId="28" type="noConversion"/>
  </si>
  <si>
    <r>
      <t>λ</t>
    </r>
    <r>
      <rPr>
        <vertAlign val="subscript"/>
        <sz val="9"/>
        <rFont val="Calibri Light"/>
        <family val="3"/>
        <charset val="129"/>
        <scheme val="major"/>
      </rPr>
      <t>p</t>
    </r>
    <r>
      <rPr>
        <sz val="9"/>
        <rFont val="Calibri Light"/>
        <family val="3"/>
        <charset val="129"/>
        <scheme val="major"/>
      </rPr>
      <t xml:space="preserve"> = 0.57 √(Ek / Δ / 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>)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</si>
  <si>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= T / (2A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t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8" type="noConversion"/>
  </si>
  <si>
    <t xml:space="preserve">압축플랜지의 종방향보강재 폭 또는 웨브로부터 가장 가까운 </t>
    <phoneticPr fontId="32" type="noConversion"/>
  </si>
  <si>
    <t>종방향보강재까지의 거리 중 큰 값</t>
    <phoneticPr fontId="28" type="noConversion"/>
  </si>
  <si>
    <r>
      <t>5.34 + 2.84(I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/w/t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1/3</t>
    </r>
    <phoneticPr fontId="28" type="noConversion"/>
  </si>
  <si>
    <r>
      <t>(n + 1)</t>
    </r>
    <r>
      <rPr>
        <vertAlign val="superscript"/>
        <sz val="9"/>
        <rFont val="맑은 고딕"/>
        <family val="3"/>
        <charset val="129"/>
      </rPr>
      <t>2</t>
    </r>
    <phoneticPr fontId="28" type="noConversion"/>
  </si>
  <si>
    <t>≤ 5.34</t>
    <phoneticPr fontId="28" type="noConversion"/>
  </si>
  <si>
    <t xml:space="preserve">n </t>
    <phoneticPr fontId="32" type="noConversion"/>
  </si>
  <si>
    <t>등간격인 종방향보강재의 수</t>
    <phoneticPr fontId="32" type="noConversion"/>
  </si>
  <si>
    <t>=</t>
    <phoneticPr fontId="28" type="noConversion"/>
  </si>
  <si>
    <t>종리브 단면2차모멘트</t>
    <phoneticPr fontId="32" type="noConversion"/>
  </si>
  <si>
    <r>
      <t>Table 7.1.3. Calculation of R</t>
    </r>
    <r>
      <rPr>
        <i/>
        <vertAlign val="subscript"/>
        <sz val="9"/>
        <rFont val="맑은 고딕"/>
        <family val="3"/>
        <charset val="129"/>
      </rPr>
      <t>h</t>
    </r>
    <phoneticPr fontId="32" type="noConversion"/>
  </si>
  <si>
    <t>Node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</si>
  <si>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산정</t>
    </r>
    <phoneticPr fontId="32" type="noConversion"/>
  </si>
  <si>
    <r>
      <t>A</t>
    </r>
    <r>
      <rPr>
        <vertAlign val="subscript"/>
        <sz val="9"/>
        <rFont val="맑은 고딕"/>
        <family val="3"/>
        <charset val="129"/>
      </rPr>
      <t xml:space="preserve">fn </t>
    </r>
    <r>
      <rPr>
        <sz val="9"/>
        <rFont val="맑은 고딕"/>
        <family val="3"/>
        <charset val="129"/>
      </rPr>
      <t>산정</t>
    </r>
    <phoneticPr fontId="32" type="noConversion"/>
  </si>
  <si>
    <t>ρ 산정</t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</si>
  <si>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w</t>
    </r>
    <phoneticPr fontId="32" type="noConversion"/>
  </si>
  <si>
    <t>β</t>
    <phoneticPr fontId="32" type="noConversion"/>
  </si>
  <si>
    <r>
      <t>R</t>
    </r>
    <r>
      <rPr>
        <vertAlign val="subscript"/>
        <sz val="9"/>
        <rFont val="맑은 고딕"/>
        <family val="3"/>
        <charset val="129"/>
      </rPr>
      <t>h</t>
    </r>
    <phoneticPr fontId="32" type="noConversion"/>
  </si>
  <si>
    <t>YU</t>
    <phoneticPr fontId="32" type="noConversion"/>
  </si>
  <si>
    <t>YL</t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</si>
  <si>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top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</si>
  <si>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bot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</si>
  <si>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phoneticPr fontId="32" type="noConversion"/>
  </si>
  <si>
    <r>
      <t>n</t>
    </r>
    <r>
      <rPr>
        <vertAlign val="subscript"/>
        <sz val="9"/>
        <rFont val="맑은 고딕"/>
        <family val="3"/>
        <charset val="129"/>
      </rPr>
      <t>top</t>
    </r>
    <phoneticPr fontId="32" type="noConversion"/>
  </si>
  <si>
    <r>
      <t>b</t>
    </r>
    <r>
      <rPr>
        <vertAlign val="subscript"/>
        <sz val="9"/>
        <rFont val="맑은 고딕"/>
        <family val="3"/>
        <charset val="129"/>
      </rPr>
      <t>top</t>
    </r>
    <phoneticPr fontId="32" type="noConversion"/>
  </si>
  <si>
    <r>
      <t>b</t>
    </r>
    <r>
      <rPr>
        <vertAlign val="subscript"/>
        <sz val="9"/>
        <rFont val="맑은 고딕"/>
        <family val="3"/>
        <charset val="129"/>
      </rPr>
      <t>bot</t>
    </r>
    <phoneticPr fontId="32" type="noConversion"/>
  </si>
  <si>
    <r>
      <t>A</t>
    </r>
    <r>
      <rPr>
        <vertAlign val="subscript"/>
        <sz val="9"/>
        <rFont val="맑은 고딕"/>
        <family val="3"/>
        <charset val="129"/>
      </rPr>
      <t>fn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</si>
  <si>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</t>
    </r>
    <phoneticPr fontId="32" type="noConversion"/>
  </si>
  <si>
    <t>ρ</t>
    <phoneticPr fontId="32" type="noConversion"/>
  </si>
  <si>
    <r>
      <t>Table 7.1.4.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(for Open - Compression Flange)</t>
    </r>
    <phoneticPr fontId="32" type="noConversion"/>
  </si>
  <si>
    <t>정/부</t>
    <phoneticPr fontId="32" type="noConversion"/>
  </si>
  <si>
    <t>BF/OF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</si>
  <si>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산정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</si>
  <si>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 xml:space="preserve"> 산정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</si>
  <si>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</si>
  <si>
    <t>모멘트</t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</si>
  <si>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</si>
  <si>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pf</t>
    </r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</si>
  <si>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rf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</si>
  <si>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phoneticPr fontId="32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</si>
  <si>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phoneticPr fontId="32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</si>
  <si>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phoneticPr fontId="32" type="noConversion"/>
  </si>
  <si>
    <r>
      <t>L</t>
    </r>
    <r>
      <rPr>
        <vertAlign val="subscript"/>
        <sz val="9"/>
        <rFont val="맑은 고딕"/>
        <family val="3"/>
        <charset val="129"/>
      </rPr>
      <t>r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</si>
  <si>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</si>
  <si>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phoneticPr fontId="32" type="noConversion"/>
  </si>
  <si>
    <t>(OF)</t>
    <phoneticPr fontId="32" type="noConversion"/>
  </si>
  <si>
    <t>Table 7.1.5. Calculation of Δ</t>
    <phoneticPr fontId="32" type="noConversion"/>
  </si>
  <si>
    <r>
      <t>A</t>
    </r>
    <r>
      <rPr>
        <vertAlign val="subscript"/>
        <sz val="9"/>
        <rFont val="맑은 고딕"/>
        <family val="3"/>
        <charset val="129"/>
      </rPr>
      <t xml:space="preserve">0 </t>
    </r>
    <r>
      <rPr>
        <sz val="9"/>
        <rFont val="맑은 고딕"/>
        <family val="3"/>
        <charset val="129"/>
      </rPr>
      <t>산정</t>
    </r>
    <phoneticPr fontId="32" type="noConversion"/>
  </si>
  <si>
    <t>Torsional moment</t>
    <phoneticPr fontId="32" type="noConversion"/>
  </si>
  <si>
    <r>
      <t xml:space="preserve"> f</t>
    </r>
    <r>
      <rPr>
        <vertAlign val="subscript"/>
        <sz val="9"/>
        <rFont val="맑은 고딕"/>
        <family val="3"/>
        <charset val="129"/>
      </rPr>
      <t xml:space="preserve">v </t>
    </r>
    <phoneticPr fontId="32" type="noConversion"/>
  </si>
  <si>
    <t>Δ</t>
    <phoneticPr fontId="32" type="noConversion"/>
  </si>
  <si>
    <r>
      <t>c</t>
    </r>
    <r>
      <rPr>
        <vertAlign val="subscript"/>
        <sz val="9"/>
        <rFont val="맑은 고딕"/>
        <family val="3"/>
        <charset val="129"/>
      </rPr>
      <t>bot</t>
    </r>
    <phoneticPr fontId="32" type="noConversion"/>
  </si>
  <si>
    <t>D</t>
    <phoneticPr fontId="32" type="noConversion"/>
  </si>
  <si>
    <r>
      <t>A</t>
    </r>
    <r>
      <rPr>
        <vertAlign val="subscript"/>
        <sz val="9"/>
        <rFont val="맑은 고딕"/>
        <family val="3"/>
        <charset val="129"/>
      </rPr>
      <t>0</t>
    </r>
    <phoneticPr fontId="32" type="noConversion"/>
  </si>
  <si>
    <t>DC1</t>
    <phoneticPr fontId="32" type="noConversion"/>
  </si>
  <si>
    <t>DC2</t>
  </si>
  <si>
    <t>DC3</t>
  </si>
  <si>
    <t>Table 7.1.6. Calculation of k, ks (for Box - Compression Flange)</t>
    <phoneticPr fontId="32" type="noConversion"/>
  </si>
  <si>
    <r>
      <t>I</t>
    </r>
    <r>
      <rPr>
        <vertAlign val="subscript"/>
        <sz val="9"/>
        <rFont val="Calibri Light"/>
        <family val="3"/>
        <charset val="129"/>
        <scheme val="major"/>
      </rPr>
      <t xml:space="preserve">s </t>
    </r>
    <r>
      <rPr>
        <sz val="9"/>
        <rFont val="Calibri Light"/>
        <family val="3"/>
        <charset val="129"/>
        <scheme val="major"/>
      </rPr>
      <t>산정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</si>
  <si>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fc</t>
    </r>
    <phoneticPr fontId="32" type="noConversion"/>
  </si>
  <si>
    <r>
      <t>b</t>
    </r>
    <r>
      <rPr>
        <vertAlign val="subscript"/>
        <sz val="9"/>
        <rFont val="맑은 고딕"/>
        <family val="3"/>
        <charset val="129"/>
      </rPr>
      <t>fc</t>
    </r>
    <phoneticPr fontId="32" type="noConversion"/>
  </si>
  <si>
    <r>
      <t>n</t>
    </r>
    <r>
      <rPr>
        <vertAlign val="subscript"/>
        <sz val="9"/>
        <rFont val="맑은 고딕"/>
        <family val="3"/>
        <charset val="129"/>
      </rPr>
      <t>rib</t>
    </r>
    <phoneticPr fontId="32" type="noConversion"/>
  </si>
  <si>
    <r>
      <t>k</t>
    </r>
    <r>
      <rPr>
        <vertAlign val="subscript"/>
        <sz val="9"/>
        <rFont val="맑은 고딕"/>
        <family val="3"/>
        <charset val="129"/>
      </rPr>
      <t>s</t>
    </r>
    <phoneticPr fontId="32" type="noConversion"/>
  </si>
  <si>
    <r>
      <t>H</t>
    </r>
    <r>
      <rPr>
        <vertAlign val="subscript"/>
        <sz val="9"/>
        <rFont val="맑은 고딕"/>
        <family val="3"/>
        <charset val="129"/>
      </rPr>
      <t>sb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</si>
  <si>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sb</t>
    </r>
    <phoneticPr fontId="32" type="noConversion"/>
  </si>
  <si>
    <r>
      <t>H</t>
    </r>
    <r>
      <rPr>
        <vertAlign val="subscript"/>
        <sz val="9"/>
        <rFont val="맑은 고딕"/>
        <family val="3"/>
        <charset val="129"/>
      </rPr>
      <t>st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</si>
  <si>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st</t>
    </r>
    <phoneticPr fontId="32" type="noConversion"/>
  </si>
  <si>
    <t>Is</t>
    <phoneticPr fontId="32" type="noConversion"/>
  </si>
  <si>
    <r>
      <t>Table 7.1.7.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for Box - Compression Flange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</si>
  <si>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  <r>
      <rPr>
        <sz val="9"/>
        <rFont val="맑은 고딕"/>
        <family val="3"/>
        <charset val="129"/>
      </rPr>
      <t xml:space="preserve"> 산정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</si>
  <si>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cv</t>
    </r>
  </si>
  <si>
    <r>
      <t>f</t>
    </r>
    <r>
      <rPr>
        <vertAlign val="subscript"/>
        <sz val="9"/>
        <rFont val="맑은 고딕"/>
        <family val="3"/>
        <charset val="129"/>
      </rPr>
      <t>v</t>
    </r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</si>
  <si>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r</t>
    </r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</si>
  <si>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</si>
  <si>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  <phoneticPr fontId="32" type="noConversion"/>
  </si>
  <si>
    <t>(BF)</t>
    <phoneticPr fontId="32" type="noConversion"/>
  </si>
  <si>
    <t>3) Checking for compression and tension flanges</t>
    <phoneticPr fontId="32" type="noConversion"/>
  </si>
  <si>
    <t>압축플랜지</t>
    <phoneticPr fontId="32" type="noConversion"/>
  </si>
  <si>
    <t>인장플랜지</t>
    <phoneticPr fontId="32" type="noConversion"/>
  </si>
  <si>
    <t>Open flange</t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</si>
  <si>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>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</si>
  <si>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</si>
  <si>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32" type="noConversion"/>
  </si>
  <si>
    <t>Box flange</t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</si>
  <si>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</si>
  <si>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Calibri"/>
        <family val="3"/>
        <charset val="161"/>
      </rPr>
      <t>Δ</t>
    </r>
    <phoneticPr fontId="32" type="noConversion"/>
  </si>
  <si>
    <r>
      <t>for slender web with f</t>
    </r>
    <r>
      <rPr>
        <i/>
        <vertAlign val="subscript"/>
        <sz val="9"/>
        <rFont val="맑은 고딕"/>
        <family val="3"/>
        <charset val="129"/>
      </rPr>
      <t>l</t>
    </r>
    <r>
      <rPr>
        <i/>
        <sz val="9"/>
        <rFont val="맑은 고딕"/>
        <family val="3"/>
        <charset val="129"/>
      </rPr>
      <t xml:space="preserve"> = 0, the equation (1) f</t>
    </r>
    <r>
      <rPr>
        <i/>
        <vertAlign val="subscript"/>
        <sz val="9"/>
        <rFont val="맑은 고딕"/>
        <family val="3"/>
        <charset val="129"/>
      </rPr>
      <t>bu</t>
    </r>
    <r>
      <rPr>
        <i/>
        <sz val="9"/>
        <rFont val="맑은 고딕"/>
        <family val="3"/>
        <charset val="129"/>
      </rPr>
      <t xml:space="preserve"> + f</t>
    </r>
    <r>
      <rPr>
        <i/>
        <vertAlign val="subscript"/>
        <sz val="9"/>
        <rFont val="맑은 고딕"/>
        <family val="3"/>
        <charset val="129"/>
      </rPr>
      <t>l</t>
    </r>
    <r>
      <rPr>
        <i/>
        <sz val="9"/>
        <rFont val="맑은 고딕"/>
        <family val="3"/>
        <charset val="129"/>
      </rPr>
      <t xml:space="preserve"> ≤ Φ</t>
    </r>
    <r>
      <rPr>
        <i/>
        <vertAlign val="subscript"/>
        <sz val="9"/>
        <rFont val="맑은 고딕"/>
        <family val="3"/>
        <charset val="129"/>
      </rPr>
      <t>f</t>
    </r>
    <r>
      <rPr>
        <i/>
        <sz val="9"/>
        <rFont val="맑은 고딕"/>
        <family val="3"/>
        <charset val="129"/>
      </rPr>
      <t>R</t>
    </r>
    <r>
      <rPr>
        <i/>
        <vertAlign val="subscript"/>
        <sz val="9"/>
        <rFont val="맑은 고딕"/>
        <family val="3"/>
        <charset val="129"/>
      </rPr>
      <t>h</t>
    </r>
    <r>
      <rPr>
        <i/>
        <sz val="9"/>
        <rFont val="맑은 고딕"/>
        <family val="3"/>
        <charset val="129"/>
      </rPr>
      <t>F</t>
    </r>
    <r>
      <rPr>
        <i/>
        <vertAlign val="subscript"/>
        <sz val="9"/>
        <rFont val="맑은 고딕"/>
        <family val="3"/>
        <charset val="129"/>
      </rPr>
      <t>yc</t>
    </r>
    <r>
      <rPr>
        <i/>
        <sz val="9"/>
        <rFont val="맑은 고딕"/>
        <family val="3"/>
        <charset val="129"/>
      </rPr>
      <t xml:space="preserve"> will not be checked</t>
    </r>
    <phoneticPr fontId="32" type="noConversion"/>
  </si>
  <si>
    <t>(Web classification is checked in the next section, S = slender web, C = compact or noncompact web)</t>
    <phoneticPr fontId="32" type="noConversion"/>
  </si>
  <si>
    <t>분류</t>
    <phoneticPr fontId="32" type="noConversion"/>
  </si>
  <si>
    <t>검토</t>
    <phoneticPr fontId="32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</si>
  <si>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nc</t>
    </r>
    <phoneticPr fontId="32" type="noConversion"/>
  </si>
  <si>
    <t>Ratio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</si>
  <si>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</si>
  <si>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nt</t>
    </r>
    <phoneticPr fontId="32" type="noConversion"/>
  </si>
  <si>
    <t>4) Checking web Bend-Buckling Resistance for slender web</t>
    <phoneticPr fontId="32" type="noConversion"/>
  </si>
  <si>
    <t>(For section with compact or noncompact web, this equation shall not be checked)</t>
    <phoneticPr fontId="32" type="noConversion"/>
  </si>
  <si>
    <t>Section classification</t>
    <phoneticPr fontId="32" type="noConversion"/>
  </si>
  <si>
    <t>Section</t>
    <phoneticPr fontId="32" type="noConversion"/>
  </si>
  <si>
    <r>
      <t>2D</t>
    </r>
    <r>
      <rPr>
        <vertAlign val="subscript"/>
        <sz val="9"/>
        <rFont val="맑은 고딕"/>
        <family val="3"/>
        <charset val="129"/>
      </rPr>
      <t>c</t>
    </r>
    <phoneticPr fontId="32" type="noConversion"/>
  </si>
  <si>
    <r>
      <t>≤ 5.7√(E/F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2" type="noConversion"/>
  </si>
  <si>
    <t>Compact or non-compact Web</t>
    <phoneticPr fontId="32" type="noConversion"/>
  </si>
  <si>
    <r>
      <t>&gt; 5.7√(E/F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2" type="noConversion"/>
  </si>
  <si>
    <t>Slender Web</t>
    <phoneticPr fontId="32" type="noConversion"/>
  </si>
  <si>
    <t>여기서,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</si>
  <si>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crw</t>
    </r>
    <r>
      <rPr>
        <sz val="9"/>
        <rFont val="맑은 고딕"/>
        <family val="3"/>
        <charset val="129"/>
      </rPr>
      <t xml:space="preserve"> = </t>
    </r>
  </si>
  <si>
    <t>0.9Ek</t>
  </si>
  <si>
    <r>
      <t>≤ smaller (R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and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/0.7)</t>
    </r>
    <phoneticPr fontId="32" type="noConversion"/>
  </si>
  <si>
    <r>
      <t>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</si>
  <si>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t>Calculation of k - bend-buckling coefficient</t>
    <phoneticPr fontId="32" type="noConversion"/>
  </si>
  <si>
    <t xml:space="preserve">→ For the unstiffened web </t>
    <phoneticPr fontId="32" type="noConversion"/>
  </si>
  <si>
    <r>
      <t>k =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phoneticPr fontId="32" type="noConversion"/>
  </si>
  <si>
    <t>→ For one longitudinal stiffener</t>
    <phoneticPr fontId="32" type="noConversion"/>
  </si>
  <si>
    <t xml:space="preserve"> - 양쭉단이 압축 경우</t>
    <phoneticPr fontId="32" type="noConversion"/>
  </si>
  <si>
    <t xml:space="preserve"> - Otherwise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</si>
  <si>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≥ 0.4</t>
    </r>
    <phoneticPr fontId="32" type="noConversion"/>
  </si>
  <si>
    <r>
      <t>5.17/(d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≥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</si>
  <si>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&lt;</t>
    </r>
    <r>
      <rPr>
        <sz val="9"/>
        <rFont val="맑은 고딕"/>
        <family val="3"/>
        <charset val="129"/>
      </rPr>
      <t xml:space="preserve"> 0.4</t>
    </r>
    <phoneticPr fontId="32" type="noConversion"/>
  </si>
  <si>
    <r>
      <t>11.64/[(D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-d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)/D]</t>
    </r>
    <r>
      <rPr>
        <vertAlign val="superscript"/>
        <sz val="9"/>
        <rFont val="맑은 고딕"/>
        <family val="3"/>
        <charset val="129"/>
      </rPr>
      <t>2</t>
    </r>
  </si>
  <si>
    <r>
      <t>D</t>
    </r>
    <r>
      <rPr>
        <vertAlign val="subscript"/>
        <sz val="9"/>
        <rFont val="맑은 고딕"/>
        <family val="3"/>
        <charset val="129"/>
      </rPr>
      <t>c</t>
    </r>
    <phoneticPr fontId="32" type="noConversion"/>
  </si>
  <si>
    <t>탄성범위 내에서 웨브의 압축 측 높이</t>
    <phoneticPr fontId="32" type="noConversion"/>
  </si>
  <si>
    <r>
      <t>YU1 - t</t>
    </r>
    <r>
      <rPr>
        <vertAlign val="subscript"/>
        <sz val="9"/>
        <rFont val="맑은 고딕"/>
        <family val="3"/>
        <charset val="129"/>
      </rPr>
      <t>top</t>
    </r>
    <r>
      <rPr>
        <sz val="9"/>
        <rFont val="맑은 고딕"/>
        <family val="3"/>
        <charset val="129"/>
      </rPr>
      <t xml:space="preserve"> for Positive moment; YL2s - t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for Negative moment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</si>
  <si>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32" type="noConversion"/>
  </si>
  <si>
    <t>수평보강재 중심선과 압축플랜지 안쪽면사이의 거리</t>
    <phoneticPr fontId="32" type="noConversion"/>
  </si>
  <si>
    <r>
      <t>In this case, the values 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is taken as 0.2D</t>
    </r>
    <phoneticPr fontId="32" type="noConversion"/>
  </si>
  <si>
    <t>→ For two longitudinal stiffener, k is calculated by equations proposed in below papers</t>
    <phoneticPr fontId="32" type="noConversion"/>
  </si>
  <si>
    <t xml:space="preserve">Kim, Byung Jun, et al. "Web bend-buckling strength of plate girders with two longitudinal web stiffeners." </t>
    <phoneticPr fontId="32" type="noConversion"/>
  </si>
  <si>
    <t>Structural Engineering and Mechanics 69.4 (2019): 383-397.</t>
    <phoneticPr fontId="32" type="noConversion"/>
  </si>
  <si>
    <r>
      <rPr>
        <sz val="9"/>
        <rFont val="Calibri"/>
        <family val="3"/>
        <charset val="161"/>
      </rPr>
      <t>Ψ</t>
    </r>
    <r>
      <rPr>
        <sz val="9"/>
        <rFont val="맑은 고딕"/>
        <family val="3"/>
        <charset val="129"/>
      </rPr>
      <t xml:space="preserve"> ≥ -1.0</t>
    </r>
    <phoneticPr fontId="32" type="noConversion"/>
  </si>
  <si>
    <r>
      <t xml:space="preserve"> -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&lt; 0.4</t>
    </r>
    <phoneticPr fontId="32" type="noConversion"/>
  </si>
  <si>
    <r>
      <t>247.8 (d</t>
    </r>
    <r>
      <rPr>
        <vertAlign val="subscript"/>
        <sz val="9"/>
        <rFont val="맑은 고딕"/>
        <family val="3"/>
        <charset val="129"/>
      </rPr>
      <t xml:space="preserve">sc </t>
    </r>
    <r>
      <rPr>
        <sz val="9"/>
        <rFont val="맑은 고딕"/>
        <family val="3"/>
        <charset val="129"/>
      </rPr>
      <t>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1.8</t>
    </r>
    <r>
      <rPr>
        <sz val="9"/>
        <rFont val="맑은 고딕"/>
        <family val="3"/>
        <charset val="129"/>
      </rPr>
      <t xml:space="preserve"> (1 - 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2.7</t>
    </r>
    <phoneticPr fontId="32" type="noConversion"/>
  </si>
  <si>
    <r>
      <t xml:space="preserve"> -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≥ 0.4</t>
    </r>
    <phoneticPr fontId="32" type="noConversion"/>
  </si>
  <si>
    <r>
      <t>4.82 (D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/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2.5</t>
    </r>
    <r>
      <rPr>
        <sz val="9"/>
        <rFont val="맑은 고딕"/>
        <family val="3"/>
        <charset val="129"/>
      </rPr>
      <t xml:space="preserve"> (1 - </t>
    </r>
    <r>
      <rPr>
        <sz val="9"/>
        <rFont val="Calibri"/>
        <family val="3"/>
        <charset val="161"/>
      </rPr>
      <t>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2.7</t>
    </r>
    <phoneticPr fontId="32" type="noConversion"/>
  </si>
  <si>
    <r>
      <rPr>
        <sz val="9"/>
        <rFont val="Calibri"/>
        <family val="3"/>
        <charset val="161"/>
      </rPr>
      <t>Ψ</t>
    </r>
    <r>
      <rPr>
        <sz val="9"/>
        <rFont val="맑은 고딕"/>
        <family val="3"/>
        <charset val="129"/>
      </rPr>
      <t xml:space="preserve"> &lt; -1.0</t>
    </r>
    <phoneticPr fontId="32" type="noConversion"/>
  </si>
  <si>
    <r>
      <t xml:space="preserve">247.8 (1 - </t>
    </r>
    <r>
      <rPr>
        <sz val="9"/>
        <rFont val="Calibri"/>
        <family val="3"/>
        <charset val="161"/>
      </rPr>
      <t>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0.32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</si>
  <si>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sc</t>
    </r>
    <phoneticPr fontId="32" type="noConversion"/>
  </si>
  <si>
    <t>distance between the center of the two longitudinal stiffeners and the inner surface of</t>
    <phoneticPr fontId="32" type="noConversion"/>
  </si>
  <si>
    <t>the compression flange</t>
    <phoneticPr fontId="32" type="noConversion"/>
  </si>
  <si>
    <t>Ψ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</si>
  <si>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: stress ratio in the web panel</t>
    </r>
    <phoneticPr fontId="32" type="noConversion"/>
  </si>
  <si>
    <t>Classification of web: S - slender web; C - compact or noncompact web</t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</si>
  <si>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  <phoneticPr fontId="28" type="noConversion"/>
  </si>
  <si>
    <t>강.설 4.3.3.1.1.9</t>
    <phoneticPr fontId="32" type="noConversion"/>
  </si>
  <si>
    <t>A. 6.10.1.9 &amp; 강.설 4.3.3.1.1.9</t>
    <phoneticPr fontId="32" type="noConversion"/>
  </si>
  <si>
    <t>In this case, the distances between the first and second stiffener to the inner surface of the compression</t>
    <phoneticPr fontId="32" type="noConversion"/>
  </si>
  <si>
    <r>
      <t xml:space="preserve"> flange are taken as 0.14D and 0.36D, thus, d</t>
    </r>
    <r>
      <rPr>
        <vertAlign val="subscript"/>
        <sz val="9"/>
        <rFont val="Calibri Light"/>
        <family val="3"/>
        <charset val="129"/>
        <scheme val="major"/>
      </rPr>
      <t>sc</t>
    </r>
    <r>
      <rPr>
        <sz val="9"/>
        <rFont val="Calibri Light"/>
        <family val="3"/>
        <charset val="129"/>
        <scheme val="major"/>
      </rPr>
      <t xml:space="preserve"> would be 0.25D 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</si>
  <si>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</si>
  <si>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crw</t>
    </r>
    <phoneticPr fontId="32" type="noConversion"/>
  </si>
  <si>
    <t>상면</t>
    <phoneticPr fontId="32" type="noConversion"/>
  </si>
  <si>
    <t>하면</t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</si>
  <si>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ui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>/cos</t>
    </r>
    <r>
      <rPr>
        <sz val="9"/>
        <rFont val="Symbol"/>
        <family val="1"/>
        <charset val="2"/>
      </rPr>
      <t>q</t>
    </r>
  </si>
  <si>
    <r>
      <t>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 xml:space="preserve"> = V/2 =  경사진 웨브 1개에 작용하는 계수하중에 의한 전단력</t>
    </r>
    <phoneticPr fontId="32" type="noConversion"/>
  </si>
  <si>
    <r>
      <rPr>
        <sz val="9"/>
        <rFont val="Symbol"/>
        <family val="1"/>
        <charset val="2"/>
      </rPr>
      <t>q</t>
    </r>
    <r>
      <rPr>
        <sz val="9"/>
        <rFont val="맑은 고딕"/>
        <family val="3"/>
        <charset val="129"/>
      </rPr>
      <t xml:space="preserve"> = 연직축에 대한 웨브의 경사각</t>
    </r>
  </si>
  <si>
    <r>
      <t>V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= CV</t>
    </r>
    <r>
      <rPr>
        <vertAlign val="subscript"/>
        <sz val="9"/>
        <rFont val="맑은 고딕"/>
        <family val="3"/>
        <charset val="129"/>
      </rPr>
      <t>p</t>
    </r>
  </si>
  <si>
    <r>
      <t>V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</si>
  <si>
    <t>Calculation of C</t>
  </si>
  <si>
    <t>C</t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</si>
  <si>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32" type="noConversion"/>
  </si>
  <si>
    <r>
      <t>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 &lt; 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) </t>
    </r>
    <phoneticPr fontId="32" type="noConversion"/>
  </si>
  <si>
    <r>
      <t>1.12/(D/t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32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</si>
  <si>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&gt;</t>
    </r>
    <r>
      <rPr>
        <sz val="9"/>
        <rFont val="맑은 고딕"/>
        <family val="3"/>
        <charset val="129"/>
      </rPr>
      <t xml:space="preserve">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32" type="noConversion"/>
  </si>
  <si>
    <r>
      <t>1.57(Ek/F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phoneticPr fontId="32" type="noConversion"/>
  </si>
  <si>
    <r>
      <t>k = 5+5/(d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</si>
  <si>
    <r>
      <t>d</t>
    </r>
    <r>
      <rPr>
        <vertAlign val="subscript"/>
        <sz val="9"/>
        <rFont val="맑은 고딕"/>
        <family val="3"/>
        <charset val="129"/>
      </rPr>
      <t>o</t>
    </r>
    <r>
      <rPr>
        <sz val="9"/>
        <rFont val="맑은 고딕"/>
        <family val="3"/>
        <charset val="129"/>
      </rPr>
      <t xml:space="preserve"> = 수직보강재 간격</t>
    </r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</si>
  <si>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u</t>
    </r>
    <phoneticPr fontId="32" type="noConversion"/>
  </si>
  <si>
    <t>cosθ</t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</si>
  <si>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ui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</si>
  <si>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0</t>
    </r>
    <phoneticPr fontId="32" type="noConversion"/>
  </si>
  <si>
    <t>k</t>
    <phoneticPr fontId="32" type="noConversion"/>
  </si>
  <si>
    <t>C</t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</si>
  <si>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p</t>
    </r>
    <phoneticPr fontId="32" type="noConversion"/>
  </si>
  <si>
    <r>
      <t>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>V</t>
    </r>
    <r>
      <rPr>
        <vertAlign val="subscript"/>
        <sz val="9"/>
        <rFont val="맑은 고딕"/>
        <family val="3"/>
        <charset val="129"/>
      </rPr>
      <t>n</t>
    </r>
    <phoneticPr fontId="32" type="noConversion"/>
  </si>
  <si>
    <t>7.1.2. Flange Lateral bending stress</t>
    <phoneticPr fontId="28" type="noConversion"/>
  </si>
  <si>
    <t>7.1.3. Web checking</t>
    <phoneticPr fontId="28" type="noConversion"/>
  </si>
  <si>
    <t>4.3.3.2.3.3</t>
    <phoneticPr fontId="32" type="noConversion"/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</si>
  <si>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</si>
  <si>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yc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</si>
  <si>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yw</t>
    </r>
    <phoneticPr fontId="32" type="noConversion"/>
  </si>
  <si>
    <t>1.25•(DC1 + DC2)</t>
    <phoneticPr fontId="32" type="noConversion"/>
  </si>
  <si>
    <t>1.25•DC3</t>
    <phoneticPr fontId="32" type="noConversion"/>
  </si>
  <si>
    <t>Calculation of k, ks  - Plate-buckling coefficient</t>
    <phoneticPr fontId="32" type="noConversion"/>
  </si>
  <si>
    <t>Lb</t>
    <phoneticPr fontId="28" type="noConversion"/>
  </si>
  <si>
    <t>ts</t>
    <phoneticPr fontId="28" type="noConversion"/>
  </si>
  <si>
    <t>D</t>
    <phoneticPr fontId="28" type="noConversion"/>
  </si>
  <si>
    <t>Top flange</t>
    <phoneticPr fontId="28" type="noConversion"/>
  </si>
  <si>
    <t>ntop</t>
    <phoneticPr fontId="28" type="noConversion"/>
  </si>
  <si>
    <t>btop</t>
    <phoneticPr fontId="28" type="noConversion"/>
  </si>
  <si>
    <t>ttop</t>
    <phoneticPr fontId="28" type="noConversion"/>
  </si>
  <si>
    <t>Bottom flange</t>
    <phoneticPr fontId="28" type="noConversion"/>
  </si>
  <si>
    <t>bbot</t>
    <phoneticPr fontId="28" type="noConversion"/>
  </si>
  <si>
    <t>tbot</t>
    <phoneticPr fontId="28" type="noConversion"/>
  </si>
  <si>
    <t>cbot</t>
    <phoneticPr fontId="28" type="noConversion"/>
  </si>
  <si>
    <t>Web</t>
    <phoneticPr fontId="28" type="noConversion"/>
  </si>
  <si>
    <t>tw</t>
    <phoneticPr fontId="28" type="noConversion"/>
  </si>
  <si>
    <t>Deck slab</t>
    <phoneticPr fontId="28" type="noConversion"/>
  </si>
  <si>
    <t>w</t>
    <phoneticPr fontId="28" type="noConversion"/>
  </si>
  <si>
    <t>R</t>
    <phoneticPr fontId="28" type="noConversion"/>
  </si>
  <si>
    <t>Steel strength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</si>
  <si>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ℓ1</t>
    </r>
    <phoneticPr fontId="28" type="noConversion"/>
  </si>
  <si>
    <t>Fytop</t>
    <phoneticPr fontId="28" type="noConversion"/>
  </si>
  <si>
    <t>Fybot</t>
    <phoneticPr fontId="28" type="noConversion"/>
  </si>
  <si>
    <r>
      <t>f</t>
    </r>
    <r>
      <rPr>
        <vertAlign val="subscript"/>
        <sz val="9"/>
        <rFont val="Calibri Light"/>
        <family val="3"/>
        <charset val="129"/>
        <scheme val="major"/>
      </rPr>
      <t>bu</t>
    </r>
    <r>
      <rPr>
        <sz val="9"/>
        <rFont val="Calibri Light"/>
        <family val="3"/>
        <charset val="129"/>
        <scheme val="major"/>
      </rPr>
      <t xml:space="preserve">  = </t>
    </r>
    <phoneticPr fontId="32" type="noConversion"/>
  </si>
  <si>
    <r>
      <t>S</t>
    </r>
    <r>
      <rPr>
        <vertAlign val="subscript"/>
        <sz val="9"/>
        <rFont val="Calibri Light"/>
        <family val="3"/>
        <charset val="129"/>
        <scheme val="major"/>
      </rPr>
      <t>steel</t>
    </r>
    <phoneticPr fontId="32" type="noConversion"/>
  </si>
  <si>
    <r>
      <t>S</t>
    </r>
    <r>
      <rPr>
        <vertAlign val="subscript"/>
        <sz val="9"/>
        <rFont val="Calibri Light"/>
        <family val="3"/>
        <charset val="129"/>
        <scheme val="major"/>
      </rPr>
      <t>bot_con</t>
    </r>
    <phoneticPr fontId="32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</si>
  <si>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, 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= 1.0: 휨, 전단에 대한 강도저항계수</t>
    </r>
    <phoneticPr fontId="32" type="noConversion"/>
  </si>
  <si>
    <r>
      <t>R</t>
    </r>
    <r>
      <rPr>
        <vertAlign val="subscript"/>
        <sz val="9"/>
        <rFont val="Calibri Light"/>
        <family val="3"/>
        <charset val="129"/>
        <scheme val="major"/>
      </rPr>
      <t>h</t>
    </r>
    <r>
      <rPr>
        <sz val="9"/>
        <rFont val="Calibri Light"/>
        <family val="3"/>
        <charset val="129"/>
        <scheme val="major"/>
      </rPr>
      <t xml:space="preserve"> = 하이브리드 계수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</si>
  <si>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 ≥ F</t>
    </r>
    <r>
      <rPr>
        <vertAlign val="subscript"/>
        <sz val="9"/>
        <rFont val="맑은 고딕"/>
        <family val="3"/>
        <charset val="129"/>
      </rPr>
      <t>yf</t>
    </r>
    <phoneticPr fontId="32" type="noConversion"/>
  </si>
  <si>
    <r>
      <rPr>
        <sz val="9"/>
        <rFont val="Calibri"/>
        <family val="3"/>
        <charset val="161"/>
      </rPr>
      <t>ρ</t>
    </r>
    <r>
      <rPr>
        <sz val="9"/>
        <rFont val="맑은 고딕"/>
        <family val="3"/>
        <charset val="129"/>
      </rPr>
      <t xml:space="preserve"> = min(F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; 1.0)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</si>
  <si>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max(F</t>
    </r>
    <r>
      <rPr>
        <vertAlign val="subscript"/>
        <sz val="9"/>
        <rFont val="맑은 고딕"/>
        <family val="3"/>
        <charset val="129"/>
      </rPr>
      <t>yf</t>
    </r>
    <r>
      <rPr>
        <sz val="9"/>
        <rFont val="맑은 고딕"/>
        <family val="3"/>
        <charset val="129"/>
      </rPr>
      <t>,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)</t>
    </r>
    <phoneticPr fontId="32" type="noConversion"/>
  </si>
  <si>
    <r>
      <rPr>
        <sz val="9"/>
        <rFont val="Calibri"/>
        <family val="3"/>
        <charset val="161"/>
      </rPr>
      <t>β</t>
    </r>
    <r>
      <rPr>
        <sz val="9"/>
        <rFont val="맑은 고딕"/>
        <family val="3"/>
        <charset val="129"/>
      </rPr>
      <t xml:space="preserve"> = 2D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/A</t>
    </r>
    <r>
      <rPr>
        <vertAlign val="subscript"/>
        <sz val="9"/>
        <rFont val="맑은 고딕"/>
        <family val="3"/>
        <charset val="129"/>
      </rPr>
      <t>fn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</si>
  <si>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단면의 탄성중립축으로 부터 양플린지 안쪽 면까지의 거리 중 큰값</t>
    </r>
    <phoneticPr fontId="28" type="noConversion"/>
  </si>
  <si>
    <r>
      <t>A</t>
    </r>
    <r>
      <rPr>
        <vertAlign val="subscript"/>
        <sz val="9"/>
        <rFont val="맑은 고딕"/>
        <family val="3"/>
        <charset val="129"/>
      </rPr>
      <t>fn</t>
    </r>
    <r>
      <rPr>
        <sz val="9"/>
        <rFont val="맑은 고딕"/>
        <family val="3"/>
        <charset val="129"/>
      </rPr>
      <t xml:space="preserve"> = 플랜지 단면적과 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방향에 위치한 플랜지 덮개판 면적의 합</t>
    </r>
    <phoneticPr fontId="32" type="noConversion"/>
  </si>
  <si>
    <r>
      <t>2) F</t>
    </r>
    <r>
      <rPr>
        <b/>
        <vertAlign val="subscript"/>
        <sz val="9"/>
        <rFont val="맑은 고딕"/>
        <family val="3"/>
        <charset val="129"/>
      </rPr>
      <t>nc</t>
    </r>
    <r>
      <rPr>
        <b/>
        <sz val="9"/>
        <rFont val="맑은 고딕"/>
        <family val="3"/>
        <charset val="129"/>
      </rPr>
      <t xml:space="preserve"> 산정 (Nominal flexural resistance of compression flange)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</si>
  <si>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(국부좌굴강도) 산정</t>
    </r>
    <phoneticPr fontId="32" type="noConversion"/>
  </si>
  <si>
    <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≤ λ</t>
    </r>
    <r>
      <rPr>
        <vertAlign val="subscript"/>
        <sz val="9"/>
        <rFont val="Calibri Light"/>
        <family val="3"/>
        <charset val="129"/>
        <scheme val="major"/>
      </rPr>
      <t>pf</t>
    </r>
    <phoneticPr fontId="28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</si>
  <si>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≤ L</t>
    </r>
    <r>
      <rPr>
        <vertAlign val="subscript"/>
        <sz val="9"/>
        <rFont val="맑은 고딕"/>
        <family val="3"/>
        <charset val="129"/>
      </rPr>
      <t>p</t>
    </r>
    <phoneticPr fontId="28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</si>
  <si>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≤ L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</si>
  <si>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&gt; L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</si>
  <si>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 xml:space="preserve"> (횡비틀림좌굴강도) 산정</t>
    </r>
    <phoneticPr fontId="32" type="noConversion"/>
  </si>
  <si>
    <r>
      <t>Calculation of F</t>
    </r>
    <r>
      <rPr>
        <vertAlign val="subscript"/>
        <sz val="9"/>
        <rFont val="맑은 고딕"/>
        <family val="3"/>
        <charset val="129"/>
      </rPr>
      <t>cb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</si>
  <si>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p</t>
    </r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</si>
  <si>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r</t>
    </r>
    <phoneticPr fontId="32" type="noConversion"/>
  </si>
  <si>
    <r>
      <t>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&lt; λ</t>
    </r>
    <r>
      <rPr>
        <vertAlign val="subscript"/>
        <sz val="9"/>
        <rFont val="맑은 고딕"/>
        <family val="3"/>
        <charset val="129"/>
      </rPr>
      <t>f</t>
    </r>
    <phoneticPr fontId="32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</si>
  <si>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= b</t>
    </r>
    <r>
      <rPr>
        <vertAlign val="subscript"/>
        <sz val="9"/>
        <rFont val="Calibri Light"/>
        <family val="3"/>
        <charset val="129"/>
        <scheme val="major"/>
      </rPr>
      <t>fc</t>
    </r>
    <r>
      <rPr>
        <sz val="9"/>
        <rFont val="Calibri Light"/>
        <family val="3"/>
        <charset val="129"/>
        <scheme val="major"/>
      </rPr>
      <t xml:space="preserve"> / t</t>
    </r>
    <r>
      <rPr>
        <vertAlign val="subscript"/>
        <sz val="9"/>
        <rFont val="Calibri Light"/>
        <family val="3"/>
        <charset val="129"/>
        <scheme val="major"/>
      </rPr>
      <t>fc</t>
    </r>
    <phoneticPr fontId="28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</si>
  <si>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= w / t</t>
    </r>
    <r>
      <rPr>
        <vertAlign val="subscript"/>
        <sz val="9"/>
        <rFont val="Calibri Light"/>
        <family val="3"/>
        <charset val="129"/>
        <scheme val="major"/>
      </rPr>
      <t>fc</t>
    </r>
    <phoneticPr fontId="28" type="noConversion"/>
  </si>
  <si>
    <r>
      <t>λ</t>
    </r>
    <r>
      <rPr>
        <vertAlign val="subscript"/>
        <sz val="9"/>
        <color theme="1"/>
        <rFont val="Calibri Light"/>
        <family val="3"/>
        <charset val="129"/>
        <scheme val="major"/>
      </rPr>
      <t>r</t>
    </r>
    <r>
      <rPr>
        <sz val="9"/>
        <color theme="1"/>
        <rFont val="Calibri Light"/>
        <family val="3"/>
        <charset val="129"/>
        <scheme val="major"/>
      </rPr>
      <t xml:space="preserve"> = 0.95 √(Ek / (Δ - 0.3) / F</t>
    </r>
    <r>
      <rPr>
        <vertAlign val="subscript"/>
        <sz val="9"/>
        <color theme="1"/>
        <rFont val="Calibri Light"/>
        <family val="3"/>
        <charset val="129"/>
        <scheme val="major"/>
      </rPr>
      <t>yc</t>
    </r>
    <r>
      <rPr>
        <sz val="9"/>
        <color theme="1"/>
        <rFont val="Calibri Light"/>
        <family val="3"/>
        <charset val="129"/>
        <scheme val="major"/>
      </rPr>
      <t>)</t>
    </r>
    <phoneticPr fontId="28" type="noConversion"/>
  </si>
  <si>
    <r>
      <t>Δ = √(1 - (f</t>
    </r>
    <r>
      <rPr>
        <vertAlign val="subscript"/>
        <sz val="9"/>
        <rFont val="Calibri Light"/>
        <family val="3"/>
        <charset val="129"/>
        <scheme val="major"/>
      </rPr>
      <t>v</t>
    </r>
    <r>
      <rPr>
        <sz val="9"/>
        <rFont val="Calibri Light"/>
        <family val="3"/>
        <charset val="129"/>
        <scheme val="major"/>
      </rPr>
      <t xml:space="preserve"> / 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>)</t>
    </r>
    <r>
      <rPr>
        <vertAlign val="superscript"/>
        <sz val="9"/>
        <rFont val="Calibri Light"/>
        <family val="3"/>
        <charset val="129"/>
        <scheme val="major"/>
      </rPr>
      <t>2</t>
    </r>
    <r>
      <rPr>
        <sz val="9"/>
        <rFont val="Calibri Light"/>
        <family val="3"/>
        <charset val="129"/>
        <scheme val="major"/>
      </rPr>
      <t>)</t>
    </r>
    <phoneticPr fontId="28" type="noConversion"/>
  </si>
  <si>
    <r>
      <t>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</si>
  <si>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Calculation of F</t>
    </r>
    <r>
      <rPr>
        <vertAlign val="subscript"/>
        <sz val="9"/>
        <rFont val="맑은 고딕"/>
        <family val="3"/>
        <charset val="129"/>
      </rPr>
      <t>cv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</si>
  <si>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2" type="noConversion"/>
  </si>
  <si>
    <r>
      <t>1.12√(Ek</t>
    </r>
    <r>
      <rPr>
        <vertAlign val="subscript"/>
        <sz val="9"/>
        <rFont val="Calibri Light"/>
        <family val="3"/>
        <charset val="129"/>
        <scheme val="major"/>
      </rPr>
      <t>s</t>
    </r>
    <r>
      <rPr>
        <sz val="9"/>
        <rFont val="Calibri Light"/>
        <family val="3"/>
        <charset val="129"/>
        <scheme val="major"/>
      </rPr>
      <t>/F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 xml:space="preserve">) &lt;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≤ 1.40√(Ek</t>
    </r>
    <r>
      <rPr>
        <vertAlign val="subscript"/>
        <sz val="9"/>
        <rFont val="Calibri Light"/>
        <family val="3"/>
        <charset val="129"/>
        <scheme val="major"/>
      </rPr>
      <t>s</t>
    </r>
    <r>
      <rPr>
        <sz val="9"/>
        <rFont val="Calibri Light"/>
        <family val="3"/>
        <charset val="129"/>
        <scheme val="major"/>
      </rPr>
      <t>/F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 xml:space="preserve">) </t>
    </r>
    <phoneticPr fontId="32" type="noConversion"/>
  </si>
  <si>
    <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&gt; 1.40√(Ek</t>
    </r>
    <r>
      <rPr>
        <vertAlign val="subscript"/>
        <sz val="9"/>
        <rFont val="Calibri Light"/>
        <family val="3"/>
        <charset val="129"/>
        <scheme val="major"/>
      </rPr>
      <t>s</t>
    </r>
    <r>
      <rPr>
        <sz val="9"/>
        <rFont val="Calibri Light"/>
        <family val="3"/>
        <charset val="129"/>
        <scheme val="major"/>
      </rPr>
      <t>/F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>)</t>
    </r>
    <phoneticPr fontId="32" type="noConversion"/>
  </si>
  <si>
    <r>
      <t>I</t>
    </r>
    <r>
      <rPr>
        <vertAlign val="subscript"/>
        <sz val="9"/>
        <rFont val="맑은 고딕"/>
        <family val="3"/>
        <charset val="129"/>
      </rPr>
      <t>s</t>
    </r>
    <phoneticPr fontId="32" type="noConversion"/>
  </si>
  <si>
    <t>YU</t>
    <phoneticPr fontId="28" type="noConversion"/>
  </si>
  <si>
    <t>YL</t>
    <phoneticPr fontId="28" type="noConversion"/>
  </si>
  <si>
    <t>Rib</t>
    <phoneticPr fontId="28" type="noConversion"/>
  </si>
  <si>
    <t>nsb</t>
    <phoneticPr fontId="28" type="noConversion"/>
  </si>
  <si>
    <t>tsb</t>
    <phoneticPr fontId="28" type="noConversion"/>
  </si>
  <si>
    <t>Hsb</t>
    <phoneticPr fontId="28" type="noConversion"/>
  </si>
  <si>
    <t>nst</t>
    <phoneticPr fontId="28" type="noConversion"/>
  </si>
  <si>
    <t>tst</t>
    <phoneticPr fontId="28" type="noConversion"/>
  </si>
  <si>
    <t>Hst</t>
    <phoneticPr fontId="28" type="noConversion"/>
  </si>
  <si>
    <t>ds</t>
    <phoneticPr fontId="28" type="noConversion"/>
  </si>
  <si>
    <t>ns</t>
    <phoneticPr fontId="28" type="noConversion"/>
  </si>
  <si>
    <t>d0</t>
    <phoneticPr fontId="28" type="noConversion"/>
  </si>
  <si>
    <t>Tran Stif</t>
    <phoneticPr fontId="28" type="noConversion"/>
  </si>
  <si>
    <t>1001i</t>
  </si>
  <si>
    <t>7.2. 강도한계상태</t>
    <phoneticPr fontId="28" type="noConversion"/>
  </si>
  <si>
    <t>연성요</t>
  </si>
  <si>
    <r>
      <t>D</t>
    </r>
    <r>
      <rPr>
        <b/>
        <vertAlign val="subscript"/>
        <sz val="9"/>
        <rFont val="맑은 고딕"/>
        <family val="3"/>
        <charset val="129"/>
      </rPr>
      <t>p</t>
    </r>
    <r>
      <rPr>
        <b/>
        <sz val="9"/>
        <rFont val="맑은 고딕"/>
        <family val="3"/>
        <charset val="129"/>
      </rPr>
      <t xml:space="preserve"> ≤ 0.42D</t>
    </r>
    <r>
      <rPr>
        <b/>
        <vertAlign val="subscript"/>
        <sz val="9"/>
        <rFont val="맑은 고딕"/>
        <family val="3"/>
        <charset val="129"/>
      </rPr>
      <t>t</t>
    </r>
    <phoneticPr fontId="32" type="noConversion"/>
  </si>
  <si>
    <t>강.설 4.3-158</t>
    <phoneticPr fontId="28" type="noConversion"/>
  </si>
  <si>
    <t>콘크리트</t>
  </si>
  <si>
    <r>
      <t>f</t>
    </r>
    <r>
      <rPr>
        <b/>
        <vertAlign val="subscript"/>
        <sz val="9"/>
        <rFont val="맑은 고딕"/>
        <family val="3"/>
        <charset val="129"/>
      </rPr>
      <t>deck</t>
    </r>
    <r>
      <rPr>
        <b/>
        <sz val="9"/>
        <rFont val="맑은 고딕"/>
        <family val="3"/>
        <charset val="129"/>
      </rPr>
      <t xml:space="preserve"> ≤ 0.6f'</t>
    </r>
    <r>
      <rPr>
        <b/>
        <vertAlign val="subscript"/>
        <sz val="9"/>
        <rFont val="맑은 고딕"/>
        <family val="3"/>
        <charset val="129"/>
      </rPr>
      <t>c</t>
    </r>
    <phoneticPr fontId="32" type="noConversion"/>
  </si>
  <si>
    <t>강.설 4.3.3.2.7.2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</si>
  <si>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bot con'c</t>
    </r>
    <r>
      <rPr>
        <b/>
        <sz val="9"/>
        <rFont val="맑은 고딕"/>
        <family val="3"/>
        <charset val="129"/>
      </rPr>
      <t xml:space="preserve"> ≤ 0.6f'</t>
    </r>
    <r>
      <rPr>
        <b/>
        <vertAlign val="subscript"/>
        <sz val="9"/>
        <rFont val="맑은 고딕"/>
        <family val="3"/>
        <charset val="129"/>
      </rPr>
      <t>c</t>
    </r>
  </si>
  <si>
    <t>Flexure (Non-compact section)</t>
  </si>
  <si>
    <t>강.설 4.3-254</t>
    <phoneticPr fontId="28" type="noConversion"/>
  </si>
  <si>
    <t>압축플랜지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</si>
  <si>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32" type="noConversion"/>
  </si>
  <si>
    <t>강.설 4.3-255</t>
    <phoneticPr fontId="28" type="noConversion"/>
  </si>
  <si>
    <t>인장플랜지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</si>
  <si>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nt</t>
    </r>
    <phoneticPr fontId="32" type="noConversion"/>
  </si>
  <si>
    <t>Flexure (Compact section)</t>
  </si>
  <si>
    <r>
      <t>M</t>
    </r>
    <r>
      <rPr>
        <b/>
        <vertAlign val="subscript"/>
        <sz val="9"/>
        <rFont val="맑은 고딕"/>
        <family val="3"/>
        <charset val="129"/>
      </rPr>
      <t>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Calibri Light"/>
        <family val="3"/>
        <charset val="129"/>
        <scheme val="major"/>
      </rPr>
      <t>f</t>
    </r>
    <r>
      <rPr>
        <b/>
        <sz val="9"/>
        <rFont val="맑은 고딕"/>
        <family val="3"/>
        <charset val="129"/>
      </rPr>
      <t>M</t>
    </r>
    <r>
      <rPr>
        <b/>
        <vertAlign val="subscript"/>
        <sz val="9"/>
        <rFont val="맑은 고딕"/>
        <family val="3"/>
        <charset val="129"/>
      </rPr>
      <t>n</t>
    </r>
    <phoneticPr fontId="32" type="noConversion"/>
  </si>
  <si>
    <t>강.설 4.3-253</t>
    <phoneticPr fontId="28" type="noConversion"/>
  </si>
  <si>
    <t>웨브</t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</si>
  <si>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  <phoneticPr fontId="32" type="noConversion"/>
  </si>
  <si>
    <t>강.설 4.3-179</t>
    <phoneticPr fontId="28" type="noConversion"/>
  </si>
  <si>
    <t>강.설 B.1</t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</si>
  <si>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</si>
  <si>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yt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t</t>
    </r>
    <phoneticPr fontId="32" type="noConversion"/>
  </si>
  <si>
    <t>Tension flange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</si>
  <si>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</si>
  <si>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c</t>
    </r>
    <phoneticPr fontId="32" type="noConversion"/>
  </si>
  <si>
    <t>Compression flange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</si>
  <si>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</si>
  <si>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2F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(D/cosθ)t</t>
    </r>
    <r>
      <rPr>
        <vertAlign val="subscript"/>
        <sz val="9"/>
        <rFont val="맑은 고딕"/>
        <family val="3"/>
        <charset val="129"/>
      </rPr>
      <t>w</t>
    </r>
    <phoneticPr fontId="32" type="noConversion"/>
  </si>
  <si>
    <t>Web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</si>
  <si>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</si>
  <si>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0.85f'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bot</t>
    </r>
    <phoneticPr fontId="32" type="noConversion"/>
  </si>
  <si>
    <t>Bottom concrete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</si>
  <si>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</si>
  <si>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0.85f'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s</t>
    </r>
    <phoneticPr fontId="32" type="noConversion"/>
  </si>
  <si>
    <t>Deck concrete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</si>
  <si>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</si>
  <si>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yrt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</si>
  <si>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t>Top rebar in deck slab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</si>
  <si>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</si>
  <si>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yrb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rb</t>
    </r>
    <phoneticPr fontId="32" type="noConversion"/>
  </si>
  <si>
    <t>Bottom rebar in deck slab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</si>
  <si>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</si>
  <si>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yst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st</t>
    </r>
    <phoneticPr fontId="32" type="noConversion"/>
  </si>
  <si>
    <t>Top Rib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</si>
  <si>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</si>
  <si>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ysb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sb</t>
    </r>
    <phoneticPr fontId="32" type="noConversion"/>
  </si>
  <si>
    <t>Bottom Rib</t>
    <phoneticPr fontId="32" type="noConversion"/>
  </si>
  <si>
    <r>
      <t>∑P</t>
    </r>
    <r>
      <rPr>
        <vertAlign val="subscript"/>
        <sz val="9"/>
        <rFont val="맑은 고딕"/>
        <family val="3"/>
        <charset val="129"/>
      </rPr>
      <t>r</t>
    </r>
    <phoneticPr fontId="32" type="noConversion"/>
  </si>
  <si>
    <t>Total area of rebar in bottom concrete</t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</si>
  <si>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s,</t>
    </r>
    <r>
      <rPr>
        <sz val="9"/>
        <rFont val="맑은 고딕"/>
        <family val="3"/>
        <charset val="129"/>
      </rPr>
      <t xml:space="preserve"> t</t>
    </r>
    <r>
      <rPr>
        <vertAlign val="subscript"/>
        <sz val="9"/>
        <rFont val="맑은 고딕"/>
        <family val="3"/>
        <charset val="129"/>
      </rPr>
      <t>h</t>
    </r>
    <phoneticPr fontId="32" type="noConversion"/>
  </si>
  <si>
    <t>deck slab and haunch 두께</t>
    <phoneticPr fontId="32" type="noConversion"/>
  </si>
  <si>
    <t>web depth</t>
    <phoneticPr fontId="32" type="noConversion"/>
  </si>
  <si>
    <r>
      <t>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, H</t>
    </r>
    <r>
      <rPr>
        <vertAlign val="subscript"/>
        <sz val="9"/>
        <rFont val="맑은 고딕"/>
        <family val="3"/>
        <charset val="129"/>
      </rPr>
      <t>sb</t>
    </r>
    <phoneticPr fontId="32" type="noConversion"/>
  </si>
  <si>
    <t>Top rib and bottom rib depth</t>
    <phoneticPr fontId="32" type="noConversion"/>
  </si>
  <si>
    <r>
      <t>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C</t>
    </r>
    <r>
      <rPr>
        <vertAlign val="subscript"/>
        <sz val="9"/>
        <rFont val="맑은 고딕"/>
        <family val="3"/>
        <charset val="129"/>
      </rPr>
      <t>rb</t>
    </r>
    <phoneticPr fontId="32" type="noConversion"/>
  </si>
  <si>
    <r>
      <t>H</t>
    </r>
    <r>
      <rPr>
        <vertAlign val="subscript"/>
        <sz val="9"/>
        <rFont val="맑은 고딕"/>
        <family val="3"/>
        <charset val="129"/>
      </rPr>
      <t>c</t>
    </r>
    <phoneticPr fontId="32" type="noConversion"/>
  </si>
  <si>
    <t>내부 con'c depth</t>
    <phoneticPr fontId="32" type="noConversion"/>
  </si>
  <si>
    <t>dr</t>
    <phoneticPr fontId="32" type="noConversion"/>
  </si>
  <si>
    <t>Hc/2</t>
    <phoneticPr fontId="32" type="noConversion"/>
  </si>
  <si>
    <t>Distance from bottom concrete rebar to PNA</t>
    <phoneticPr fontId="32" type="noConversion"/>
  </si>
  <si>
    <t>1) 일반 Cases (for I girder)</t>
    <phoneticPr fontId="32" type="noConversion"/>
  </si>
  <si>
    <t>정모멘트</t>
    <phoneticPr fontId="32" type="noConversion"/>
  </si>
  <si>
    <t>Location</t>
    <phoneticPr fontId="32" type="noConversion"/>
  </si>
  <si>
    <r>
      <t>조건 / Y</t>
    </r>
    <r>
      <rPr>
        <b/>
        <vertAlign val="subscript"/>
        <sz val="9"/>
        <rFont val="맑은 고딕"/>
        <family val="3"/>
        <charset val="129"/>
      </rPr>
      <t xml:space="preserve">PNA </t>
    </r>
    <r>
      <rPr>
        <b/>
        <sz val="9"/>
        <rFont val="맑은 고딕"/>
        <family val="3"/>
        <charset val="129"/>
      </rPr>
      <t>/ M</t>
    </r>
    <r>
      <rPr>
        <b/>
        <vertAlign val="subscript"/>
        <sz val="9"/>
        <rFont val="맑은 고딕"/>
        <family val="3"/>
        <charset val="129"/>
      </rPr>
      <t>P</t>
    </r>
    <phoneticPr fontId="32" type="noConversion"/>
  </si>
  <si>
    <t>(1)</t>
    <phoneticPr fontId="32" type="noConversion"/>
  </si>
  <si>
    <t>In Web</t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</si>
  <si>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</si>
  <si>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t>조건</t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</si>
  <si>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 xml:space="preserve">sb </t>
    </r>
    <r>
      <rPr>
        <sz val="9"/>
        <rFont val="맑은 고딕"/>
        <family val="3"/>
        <charset val="129"/>
      </rPr>
      <t>+ (D-2H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/D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</si>
  <si>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= D - Y +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</si>
  <si>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D - Y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/2</t>
    </r>
    <phoneticPr fontId="32" type="noConversion"/>
  </si>
  <si>
    <r>
      <t>Y</t>
    </r>
    <r>
      <rPr>
        <vertAlign val="subscript"/>
        <sz val="9"/>
        <rFont val="맑은 고딕"/>
        <family val="3"/>
        <charset val="129"/>
      </rPr>
      <t>PNA</t>
    </r>
    <r>
      <rPr>
        <sz val="9"/>
        <rFont val="맑은 고딕"/>
        <family val="3"/>
        <charset val="129"/>
      </rPr>
      <t xml:space="preserve"> =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</si>
  <si>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Y -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</si>
  <si>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= Y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/2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</si>
  <si>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</si>
  <si>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</si>
  <si>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Y + th 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phoneticPr fontId="32" type="noConversion"/>
  </si>
  <si>
    <r>
      <t>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</si>
  <si>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</si>
  <si>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D - Y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</si>
  <si>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t>(2)</t>
    <phoneticPr fontId="32" type="noConversion"/>
  </si>
  <si>
    <t>In Top Flange</t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</si>
  <si>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D +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</si>
  <si>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</si>
  <si>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D/2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</si>
  <si>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</si>
  <si>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 [(P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+ 1]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</si>
  <si>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</si>
  <si>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/2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Y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</si>
  <si>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</si>
  <si>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Y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</si>
  <si>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Y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</si>
  <si>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</si>
  <si>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t>(3)</t>
    <phoneticPr fontId="32" type="noConversion"/>
  </si>
  <si>
    <r>
      <t>Below P</t>
    </r>
    <r>
      <rPr>
        <vertAlign val="subscript"/>
        <sz val="9"/>
        <rFont val="맑은 고딕"/>
        <family val="3"/>
        <charset val="129"/>
      </rPr>
      <t>rb</t>
    </r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</si>
  <si>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-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</si>
  <si>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+P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</si>
  <si>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 +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</si>
  <si>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D/2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</si>
  <si>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</si>
  <si>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</si>
  <si>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/2</t>
    </r>
    <phoneticPr fontId="32" type="noConversion"/>
  </si>
  <si>
    <r>
      <t>(Y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)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</si>
  <si>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Y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</si>
  <si>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Y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</si>
  <si>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</si>
  <si>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t>(4)</t>
    <phoneticPr fontId="32" type="noConversion"/>
  </si>
  <si>
    <r>
      <t>At P</t>
    </r>
    <r>
      <rPr>
        <vertAlign val="subscript"/>
        <sz val="9"/>
        <rFont val="맑은 고딕"/>
        <family val="3"/>
        <charset val="129"/>
      </rPr>
      <t>rb</t>
    </r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</si>
  <si>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</si>
  <si>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c</t>
    </r>
    <r>
      <rPr>
        <vertAlign val="subscript"/>
        <sz val="9"/>
        <rFont val="맑은 고딕"/>
        <family val="3"/>
        <charset val="129"/>
      </rPr>
      <t>rb</t>
    </r>
    <phoneticPr fontId="32" type="noConversion"/>
  </si>
  <si>
    <r>
      <t>(Y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)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</si>
  <si>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th - Y + 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</si>
  <si>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t>(5)</t>
    <phoneticPr fontId="32" type="noConversion"/>
  </si>
  <si>
    <r>
      <t>Above P</t>
    </r>
    <r>
      <rPr>
        <vertAlign val="subscript"/>
        <sz val="9"/>
        <rFont val="맑은 고딕"/>
        <family val="3"/>
        <charset val="129"/>
      </rPr>
      <t>rb</t>
    </r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</si>
  <si>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 xml:space="preserve">r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</si>
  <si>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</si>
  <si>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</si>
  <si>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Y</t>
    </r>
    <phoneticPr fontId="32" type="noConversion"/>
  </si>
  <si>
    <t>(6)</t>
    <phoneticPr fontId="32" type="noConversion"/>
  </si>
  <si>
    <r>
      <t>At P</t>
    </r>
    <r>
      <rPr>
        <vertAlign val="subscript"/>
        <sz val="9"/>
        <rFont val="맑은 고딕"/>
        <family val="3"/>
        <charset val="129"/>
      </rPr>
      <t>rt</t>
    </r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</si>
  <si>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 xml:space="preserve">rb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phoneticPr fontId="32" type="noConversion"/>
  </si>
  <si>
    <r>
      <t>c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</si>
  <si>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</si>
  <si>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/2</t>
    </r>
    <phoneticPr fontId="32" type="noConversion"/>
  </si>
  <si>
    <r>
      <t>(Y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)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</si>
  <si>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Y</t>
    </r>
    <phoneticPr fontId="32" type="noConversion"/>
  </si>
  <si>
    <t>(7)</t>
    <phoneticPr fontId="32" type="noConversion"/>
  </si>
  <si>
    <r>
      <t>Above P</t>
    </r>
    <r>
      <rPr>
        <vertAlign val="subscript"/>
        <sz val="9"/>
        <rFont val="맑은 고딕"/>
        <family val="3"/>
        <charset val="129"/>
      </rPr>
      <t>rt</t>
    </r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</si>
  <si>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 xml:space="preserve">r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 xml:space="preserve">rb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&lt;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</si>
  <si>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</si>
  <si>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- Y</t>
    </r>
    <phoneticPr fontId="32" type="noConversion"/>
  </si>
  <si>
    <t>부모멘트</t>
    <phoneticPr fontId="32" type="noConversion"/>
  </si>
  <si>
    <t>조건 / YPNA / MP</t>
    <phoneticPr fontId="32" type="noConversion"/>
  </si>
  <si>
    <t>(8)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</si>
  <si>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D - Y +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</si>
  <si>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+(D-H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/D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</t>
    </r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</si>
  <si>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</t>
    </r>
    <phoneticPr fontId="32" type="noConversion"/>
  </si>
  <si>
    <r>
      <t>D/2 [(P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+ 1]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</si>
  <si>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</si>
  <si>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</si>
  <si>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= D - Y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</si>
  <si>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t>(9)</t>
    <phoneticPr fontId="32" type="noConversion"/>
  </si>
  <si>
    <t>In Top Flange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</si>
  <si>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D +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</si>
  <si>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 xml:space="preserve">³ 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</si>
  <si>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D/2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</si>
  <si>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/2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Y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</si>
  <si>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 [(P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+ 1]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</si>
  <si>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/2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</si>
  <si>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</si>
  <si>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</si>
  <si>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Y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</si>
  <si>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Y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</si>
  <si>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= 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2" type="noConversion"/>
  </si>
  <si>
    <t>2) Additional Cases (for Box girder)</t>
    <phoneticPr fontId="32" type="noConversion"/>
  </si>
  <si>
    <t>(a)</t>
    <phoneticPr fontId="32" type="noConversion"/>
  </si>
  <si>
    <t>In Top Rib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</si>
  <si>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 xml:space="preserve">sb </t>
    </r>
    <r>
      <rPr>
        <sz val="9"/>
        <rFont val="맑은 고딕"/>
        <family val="3"/>
        <charset val="129"/>
      </rPr>
      <t>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</si>
  <si>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phoneticPr fontId="28" type="noConversion"/>
  </si>
  <si>
    <r>
      <t>2P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D + 2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/ H</t>
    </r>
    <r>
      <rPr>
        <vertAlign val="subscript"/>
        <sz val="9"/>
        <rFont val="맑은 고딕"/>
        <family val="3"/>
        <charset val="129"/>
      </rPr>
      <t>st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</si>
  <si>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/ 2 /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</si>
  <si>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</si>
  <si>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</si>
  <si>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t>(b)</t>
    <phoneticPr fontId="32" type="noConversion"/>
  </si>
  <si>
    <t>In Bot Rib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</si>
  <si>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/D)P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(D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/D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</t>
    </r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</si>
  <si>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DP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(2D/H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- 1)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phoneticPr fontId="28" type="noConversion"/>
  </si>
  <si>
    <r>
      <t>2P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/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 2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D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</si>
  <si>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/ 2 /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[(D-Y)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-D+Y)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phoneticPr fontId="28" type="noConversion"/>
  </si>
  <si>
    <r>
      <t>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</si>
  <si>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t>(c)</t>
    <phoneticPr fontId="32" type="noConversion"/>
  </si>
  <si>
    <t>In Bot Con'c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</si>
  <si>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/D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</t>
    </r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</si>
  <si>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DP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</si>
  <si>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 2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D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</si>
  <si>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(D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phoneticPr fontId="28" type="noConversion"/>
  </si>
  <si>
    <r>
      <t>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</si>
  <si>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t>(d)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</si>
  <si>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 xml:space="preserve">³ 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</si>
  <si>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phoneticPr fontId="28" type="noConversion"/>
  </si>
  <si>
    <r>
      <t>2P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 2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D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</si>
  <si>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/ 2 / D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- (H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]/ 2 /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phoneticPr fontId="28" type="noConversion"/>
  </si>
  <si>
    <r>
      <t>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</si>
  <si>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Table 7.2.1. Calculation Y</t>
    </r>
    <r>
      <rPr>
        <i/>
        <vertAlign val="subscript"/>
        <sz val="9"/>
        <rFont val="맑은 고딕"/>
        <family val="3"/>
        <charset val="129"/>
      </rPr>
      <t>PNA</t>
    </r>
    <r>
      <rPr>
        <i/>
        <sz val="9"/>
        <rFont val="맑은 고딕"/>
        <family val="3"/>
        <charset val="129"/>
      </rPr>
      <t xml:space="preserve"> and Mp for plastic moment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</si>
  <si>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</si>
  <si>
    <r>
      <t>P</t>
    </r>
    <r>
      <rPr>
        <vertAlign val="subscript"/>
        <sz val="9"/>
        <rFont val="맑은 고딕"/>
        <family val="3"/>
        <charset val="129"/>
      </rPr>
      <t>w</t>
    </r>
  </si>
  <si>
    <r>
      <t>P</t>
    </r>
    <r>
      <rPr>
        <vertAlign val="subscript"/>
        <sz val="9"/>
        <rFont val="맑은 고딕"/>
        <family val="3"/>
        <charset val="129"/>
      </rPr>
      <t>c</t>
    </r>
  </si>
  <si>
    <r>
      <t>P</t>
    </r>
    <r>
      <rPr>
        <vertAlign val="subscript"/>
        <sz val="9"/>
        <rFont val="맑은 고딕"/>
        <family val="3"/>
        <charset val="129"/>
      </rPr>
      <t>s</t>
    </r>
  </si>
  <si>
    <r>
      <t>P</t>
    </r>
    <r>
      <rPr>
        <vertAlign val="subscript"/>
        <sz val="9"/>
        <rFont val="맑은 고딕"/>
        <family val="3"/>
        <charset val="129"/>
      </rPr>
      <t>sb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</si>
  <si>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st</t>
    </r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</si>
  <si>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rb</t>
    </r>
  </si>
  <si>
    <r>
      <t>P</t>
    </r>
    <r>
      <rPr>
        <vertAlign val="subscript"/>
        <sz val="9"/>
        <rFont val="맑은 고딕"/>
        <family val="3"/>
        <charset val="129"/>
      </rPr>
      <t>rt</t>
    </r>
  </si>
  <si>
    <t>∑Pr</t>
    <phoneticPr fontId="32" type="noConversion"/>
  </si>
  <si>
    <r>
      <t>P</t>
    </r>
    <r>
      <rPr>
        <vertAlign val="subscript"/>
        <sz val="9"/>
        <rFont val="맑은 고딕"/>
        <family val="3"/>
        <charset val="129"/>
      </rPr>
      <t>bot</t>
    </r>
  </si>
  <si>
    <t>PNA</t>
    <phoneticPr fontId="32" type="noConversion"/>
  </si>
  <si>
    <r>
      <t>Y</t>
    </r>
    <r>
      <rPr>
        <vertAlign val="subscript"/>
        <sz val="9"/>
        <rFont val="맑은 고딕"/>
        <family val="3"/>
        <charset val="129"/>
      </rPr>
      <t>PNA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</si>
  <si>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p</t>
    </r>
    <phoneticPr fontId="32" type="noConversion"/>
  </si>
  <si>
    <t>location</t>
    <phoneticPr fontId="32" type="noConversion"/>
  </si>
  <si>
    <t>Es</t>
    <phoneticPr fontId="28" type="noConversion"/>
  </si>
  <si>
    <t>froms</t>
    <phoneticPr fontId="28" type="noConversion"/>
  </si>
  <si>
    <t>fckd</t>
    <phoneticPr fontId="28" type="noConversion"/>
  </si>
  <si>
    <t>fckb</t>
    <phoneticPr fontId="28" type="noConversion"/>
  </si>
  <si>
    <t>bs</t>
    <phoneticPr fontId="28" type="noConversion"/>
  </si>
  <si>
    <t>Fyrebar</t>
    <phoneticPr fontId="28" type="noConversion"/>
  </si>
  <si>
    <t>Bot Conc</t>
    <phoneticPr fontId="28" type="noConversion"/>
  </si>
  <si>
    <t>Hc</t>
    <phoneticPr fontId="28" type="noConversion"/>
  </si>
  <si>
    <r>
      <t>M</t>
    </r>
    <r>
      <rPr>
        <vertAlign val="subscript"/>
        <sz val="9"/>
        <rFont val="맑은 고딕"/>
        <family val="3"/>
        <charset val="129"/>
      </rPr>
      <t>D1</t>
    </r>
    <r>
      <rPr>
        <sz val="9"/>
        <rFont val="맑은 고딕"/>
        <family val="3"/>
        <charset val="129"/>
      </rPr>
      <t xml:space="preserve"> = 1.25(M</t>
    </r>
    <r>
      <rPr>
        <vertAlign val="subscript"/>
        <sz val="9"/>
        <rFont val="맑은 고딕"/>
        <family val="3"/>
        <charset val="129"/>
      </rPr>
      <t>DC1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DC2</t>
    </r>
    <r>
      <rPr>
        <sz val="9"/>
        <rFont val="맑은 고딕"/>
        <family val="3"/>
        <charset val="129"/>
      </rPr>
      <t>)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</si>
  <si>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D2</t>
    </r>
    <r>
      <rPr>
        <sz val="9"/>
        <rFont val="맑은 고딕"/>
        <family val="3"/>
        <charset val="129"/>
      </rPr>
      <t xml:space="preserve"> = 1.25M</t>
    </r>
    <r>
      <rPr>
        <vertAlign val="subscript"/>
        <sz val="9"/>
        <rFont val="맑은 고딕"/>
        <family val="3"/>
        <charset val="129"/>
      </rPr>
      <t>DC3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</si>
  <si>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D3</t>
    </r>
    <r>
      <rPr>
        <sz val="9"/>
        <rFont val="맑은 고딕"/>
        <family val="3"/>
        <charset val="129"/>
      </rPr>
      <t xml:space="preserve"> = 1.25M</t>
    </r>
    <r>
      <rPr>
        <vertAlign val="subscript"/>
        <sz val="9"/>
        <rFont val="맑은 고딕"/>
        <family val="3"/>
        <charset val="129"/>
      </rPr>
      <t>DC4</t>
    </r>
    <r>
      <rPr>
        <sz val="9"/>
        <rFont val="맑은 고딕"/>
        <family val="3"/>
        <charset val="129"/>
      </rPr>
      <t xml:space="preserve"> + 1.50M</t>
    </r>
    <r>
      <rPr>
        <vertAlign val="subscript"/>
        <sz val="9"/>
        <rFont val="맑은 고딕"/>
        <family val="3"/>
        <charset val="129"/>
      </rPr>
      <t>DW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</si>
  <si>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y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D1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D2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D3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AD</t>
    </r>
    <phoneticPr fontId="32" type="noConversion"/>
  </si>
  <si>
    <r>
      <t>Table 7.2.2. Calculation of Yield moment M</t>
    </r>
    <r>
      <rPr>
        <i/>
        <vertAlign val="subscript"/>
        <sz val="9"/>
        <rFont val="맑은 고딕"/>
        <family val="3"/>
        <charset val="129"/>
      </rPr>
      <t xml:space="preserve">y </t>
    </r>
    <r>
      <rPr>
        <i/>
        <sz val="9"/>
        <rFont val="맑은 고딕"/>
        <family val="3"/>
        <charset val="129"/>
      </rPr>
      <t>(1/2)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</si>
  <si>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DC1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</si>
  <si>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DC2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</si>
  <si>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DC3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</si>
  <si>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DC4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</si>
  <si>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DW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</si>
  <si>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D1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</si>
  <si>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D2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</si>
  <si>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D3</t>
    </r>
    <phoneticPr fontId="32" type="noConversion"/>
  </si>
  <si>
    <r>
      <t>Table 7.2.2. Calculation of Yield moment M</t>
    </r>
    <r>
      <rPr>
        <i/>
        <vertAlign val="subscript"/>
        <sz val="9"/>
        <rFont val="맑은 고딕"/>
        <family val="3"/>
        <charset val="129"/>
      </rPr>
      <t xml:space="preserve">y </t>
    </r>
    <r>
      <rPr>
        <i/>
        <sz val="9"/>
        <rFont val="맑은 고딕"/>
        <family val="3"/>
        <charset val="129"/>
      </rPr>
      <t>(2/2)</t>
    </r>
    <phoneticPr fontId="32" type="noConversion"/>
  </si>
  <si>
    <t>단면계수 (인장플랜지)</t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</si>
  <si>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AD_T</t>
    </r>
    <phoneticPr fontId="32" type="noConversion"/>
  </si>
  <si>
    <t>단면계수 (압축플랜지)</t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</si>
  <si>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AD_C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</si>
  <si>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AD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</si>
  <si>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y</t>
    </r>
    <phoneticPr fontId="32" type="noConversion"/>
  </si>
  <si>
    <t>Compare</t>
    <phoneticPr fontId="32" type="noConversion"/>
  </si>
  <si>
    <r>
      <t>S</t>
    </r>
    <r>
      <rPr>
        <vertAlign val="subscript"/>
        <sz val="9"/>
        <rFont val="맑은 고딕"/>
        <family val="3"/>
        <charset val="129"/>
      </rPr>
      <t>steel</t>
    </r>
    <phoneticPr fontId="32" type="noConversion"/>
  </si>
  <si>
    <r>
      <t>S</t>
    </r>
    <r>
      <rPr>
        <vertAlign val="subscript"/>
        <sz val="9"/>
        <rFont val="맑은 고딕"/>
        <family val="3"/>
        <charset val="129"/>
      </rPr>
      <t>bot</t>
    </r>
    <phoneticPr fontId="32" type="noConversion"/>
  </si>
  <si>
    <r>
      <t>S</t>
    </r>
    <r>
      <rPr>
        <vertAlign val="subscript"/>
        <sz val="9"/>
        <rFont val="맑은 고딕"/>
        <family val="3"/>
        <charset val="129"/>
      </rPr>
      <t>longterm</t>
    </r>
    <phoneticPr fontId="32" type="noConversion"/>
  </si>
  <si>
    <r>
      <t>S</t>
    </r>
    <r>
      <rPr>
        <vertAlign val="subscript"/>
        <sz val="9"/>
        <rFont val="맑은 고딕"/>
        <family val="3"/>
        <charset val="129"/>
      </rPr>
      <t>shorttime</t>
    </r>
    <phoneticPr fontId="32" type="noConversion"/>
  </si>
  <si>
    <t>to Mp</t>
    <phoneticPr fontId="32" type="noConversion"/>
  </si>
  <si>
    <t>강.설 B.2.2</t>
    <phoneticPr fontId="28" type="noConversion"/>
  </si>
  <si>
    <t>7.2.1. YPNA, MP for plastic moment 산정</t>
    <phoneticPr fontId="28" type="noConversion"/>
  </si>
  <si>
    <r>
      <t>M</t>
    </r>
    <r>
      <rPr>
        <vertAlign val="subscript"/>
        <sz val="9"/>
        <rFont val="맑은 고딕"/>
        <family val="3"/>
        <charset val="129"/>
      </rPr>
      <t>D1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steel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D2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bot_con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D3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longterm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AD_C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shortterm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</si>
  <si>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yc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</si>
  <si>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yt</t>
    </r>
    <phoneticPr fontId="28" type="noConversion"/>
  </si>
  <si>
    <r>
      <t>M</t>
    </r>
    <r>
      <rPr>
        <vertAlign val="subscript"/>
        <sz val="9"/>
        <rFont val="맑은 고딕"/>
        <family val="3"/>
        <charset val="129"/>
      </rPr>
      <t>D1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steel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D2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bot_con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 xml:space="preserve">D3 </t>
    </r>
    <r>
      <rPr>
        <sz val="9"/>
        <rFont val="맑은 고딕"/>
        <family val="3"/>
        <charset val="129"/>
      </rPr>
      <t>/ S</t>
    </r>
    <r>
      <rPr>
        <vertAlign val="subscript"/>
        <sz val="9"/>
        <rFont val="맑은 고딕"/>
        <family val="3"/>
        <charset val="129"/>
      </rPr>
      <t xml:space="preserve">longterm </t>
    </r>
    <r>
      <rPr>
        <sz val="9"/>
        <rFont val="맑은 고딕"/>
        <family val="3"/>
        <charset val="129"/>
      </rPr>
      <t>+ M</t>
    </r>
    <r>
      <rPr>
        <vertAlign val="subscript"/>
        <sz val="9"/>
        <rFont val="맑은 고딕"/>
        <family val="3"/>
        <charset val="129"/>
      </rPr>
      <t>AD_T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shortterm</t>
    </r>
    <phoneticPr fontId="28" type="noConversion"/>
  </si>
  <si>
    <r>
      <t>min(M</t>
    </r>
    <r>
      <rPr>
        <vertAlign val="subscript"/>
        <sz val="9"/>
        <rFont val="맑은 고딕"/>
        <family val="3"/>
        <charset val="129"/>
      </rPr>
      <t xml:space="preserve">AD_C </t>
    </r>
    <r>
      <rPr>
        <sz val="9"/>
        <rFont val="맑은 고딕"/>
        <family val="3"/>
        <charset val="129"/>
      </rPr>
      <t>; M</t>
    </r>
    <r>
      <rPr>
        <vertAlign val="subscript"/>
        <sz val="9"/>
        <rFont val="맑은 고딕"/>
        <family val="3"/>
        <charset val="129"/>
      </rPr>
      <t>AD_T</t>
    </r>
    <r>
      <rPr>
        <sz val="9"/>
        <rFont val="맑은 고딕"/>
        <family val="3"/>
        <charset val="129"/>
      </rPr>
      <t>)</t>
    </r>
    <phoneticPr fontId="32" type="noConversion"/>
  </si>
  <si>
    <t>Sc_top</t>
    <phoneticPr fontId="28" type="noConversion"/>
  </si>
  <si>
    <t>Sc_bot</t>
    <phoneticPr fontId="28" type="noConversion"/>
  </si>
  <si>
    <t>Stress</t>
    <phoneticPr fontId="28" type="noConversion"/>
  </si>
  <si>
    <t>공칭항복강도 690MPa 균질 합성단면 or 상부 및 하부플랜지의 공칭항복강도 690MPa</t>
    <phoneticPr fontId="32" type="noConversion"/>
  </si>
  <si>
    <r>
      <t>D</t>
    </r>
    <r>
      <rPr>
        <b/>
        <vertAlign val="subscript"/>
        <sz val="9"/>
        <rFont val="맑은 고딕"/>
        <family val="3"/>
        <charset val="129"/>
      </rPr>
      <t>p</t>
    </r>
    <r>
      <rPr>
        <b/>
        <sz val="9"/>
        <rFont val="맑은 고딕"/>
        <family val="3"/>
        <charset val="129"/>
      </rPr>
      <t xml:space="preserve"> ≤ 0.3D</t>
    </r>
    <r>
      <rPr>
        <b/>
        <vertAlign val="subscript"/>
        <sz val="9"/>
        <rFont val="맑은 고딕"/>
        <family val="3"/>
        <charset val="129"/>
      </rPr>
      <t>t</t>
    </r>
    <phoneticPr fontId="32" type="noConversion"/>
  </si>
  <si>
    <t>그 밖의 단면인 경우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</si>
  <si>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</t>
    </r>
    <phoneticPr fontId="32" type="noConversion"/>
  </si>
  <si>
    <t>합성단면의 전체 높이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</si>
  <si>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</t>
    </r>
    <phoneticPr fontId="32" type="noConversion"/>
  </si>
  <si>
    <t xml:space="preserve">소성모멘트 상태어세 콘크리트 바닥판의 상단에서나 내부 con'c 하단에서 중립축까지의 거리 </t>
    <phoneticPr fontId="32" type="noConversion"/>
  </si>
  <si>
    <t>Table 7.2.3. Checking Ductility Requirement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</si>
  <si>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산정</t>
    </r>
    <phoneticPr fontId="32" type="noConversion"/>
  </si>
  <si>
    <t>전체 높이 산정</t>
    <phoneticPr fontId="32" type="noConversion"/>
  </si>
  <si>
    <r>
      <t>0.42D</t>
    </r>
    <r>
      <rPr>
        <vertAlign val="subscript"/>
        <sz val="9"/>
        <rFont val="맑은 고딕"/>
        <family val="3"/>
        <charset val="129"/>
      </rPr>
      <t>t</t>
    </r>
    <phoneticPr fontId="32" type="noConversion"/>
  </si>
  <si>
    <t>Case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</si>
  <si>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p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</si>
  <si>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h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</si>
  <si>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</si>
  <si>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phoneticPr fontId="32" type="noConversion"/>
  </si>
  <si>
    <r>
      <t>콘크리트 종방향 응력을 : 0.6f'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이하</t>
    </r>
    <phoneticPr fontId="32" type="noConversion"/>
  </si>
  <si>
    <t>작용응력</t>
    <phoneticPr fontId="32" type="noConversion"/>
  </si>
  <si>
    <t>단기 탄성계수 n 사용</t>
    <phoneticPr fontId="32" type="noConversion"/>
  </si>
  <si>
    <r>
      <t>n = E / E</t>
    </r>
    <r>
      <rPr>
        <vertAlign val="subscript"/>
        <sz val="9"/>
        <rFont val="맑은 고딕"/>
        <family val="3"/>
        <charset val="129"/>
      </rPr>
      <t>c</t>
    </r>
    <phoneticPr fontId="32" type="noConversion"/>
  </si>
  <si>
    <t>구분</t>
    <phoneticPr fontId="32" type="noConversion"/>
  </si>
  <si>
    <t>기준강도</t>
    <phoneticPr fontId="32" type="noConversion"/>
  </si>
  <si>
    <t>한계강도</t>
    <phoneticPr fontId="32" type="noConversion"/>
  </si>
  <si>
    <r>
      <t>f'</t>
    </r>
    <r>
      <rPr>
        <vertAlign val="subscript"/>
        <sz val="9"/>
        <rFont val="맑은 고딕"/>
        <family val="3"/>
        <charset val="129"/>
      </rPr>
      <t>c</t>
    </r>
    <phoneticPr fontId="32" type="noConversion"/>
  </si>
  <si>
    <r>
      <t>0.6f'</t>
    </r>
    <r>
      <rPr>
        <vertAlign val="subscript"/>
        <sz val="9"/>
        <rFont val="맑은 고딕"/>
        <family val="3"/>
        <charset val="129"/>
      </rPr>
      <t>c</t>
    </r>
    <phoneticPr fontId="32" type="noConversion"/>
  </si>
  <si>
    <t>슬래블</t>
    <phoneticPr fontId="32" type="noConversion"/>
  </si>
  <si>
    <t>내부 con'c</t>
    <phoneticPr fontId="32" type="noConversion"/>
  </si>
  <si>
    <t>Table 7.2.4. Checking concrete stress</t>
    <phoneticPr fontId="32" type="noConversion"/>
  </si>
  <si>
    <t>부재력 집계</t>
    <phoneticPr fontId="32" type="noConversion"/>
  </si>
  <si>
    <t>단면계수</t>
    <phoneticPr fontId="32" type="noConversion"/>
  </si>
  <si>
    <t>적용응력</t>
    <phoneticPr fontId="32" type="noConversion"/>
  </si>
  <si>
    <r>
      <t>1.25DC</t>
    </r>
    <r>
      <rPr>
        <vertAlign val="subscript"/>
        <sz val="9"/>
        <rFont val="맑은 고딕"/>
        <family val="3"/>
        <charset val="129"/>
      </rPr>
      <t>3</t>
    </r>
    <phoneticPr fontId="32" type="noConversion"/>
  </si>
  <si>
    <r>
      <t>1.25DC</t>
    </r>
    <r>
      <rPr>
        <vertAlign val="subscript"/>
        <sz val="9"/>
        <rFont val="맑은 고딕"/>
        <family val="3"/>
        <charset val="129"/>
      </rPr>
      <t>4</t>
    </r>
    <phoneticPr fontId="32" type="noConversion"/>
  </si>
  <si>
    <t>1.5DW</t>
    <phoneticPr fontId="32" type="noConversion"/>
  </si>
  <si>
    <r>
      <t>1.8LL</t>
    </r>
    <r>
      <rPr>
        <vertAlign val="subscript"/>
        <sz val="9"/>
        <rFont val="맑은 고딕"/>
        <family val="3"/>
        <charset val="129"/>
      </rPr>
      <t>min</t>
    </r>
    <phoneticPr fontId="32" type="noConversion"/>
  </si>
  <si>
    <r>
      <t>1.8LL</t>
    </r>
    <r>
      <rPr>
        <vertAlign val="subscript"/>
        <sz val="9"/>
        <rFont val="맑은 고딕"/>
        <family val="3"/>
        <charset val="129"/>
      </rPr>
      <t>max</t>
    </r>
    <phoneticPr fontId="32" type="noConversion"/>
  </si>
  <si>
    <r>
      <t>S</t>
    </r>
    <r>
      <rPr>
        <vertAlign val="subscript"/>
        <sz val="9"/>
        <rFont val="맑은 고딕"/>
        <family val="3"/>
        <charset val="129"/>
      </rPr>
      <t>bot1</t>
    </r>
    <phoneticPr fontId="32" type="noConversion"/>
  </si>
  <si>
    <r>
      <t>S</t>
    </r>
    <r>
      <rPr>
        <vertAlign val="subscript"/>
        <sz val="9"/>
        <rFont val="맑은 고딕"/>
        <family val="3"/>
        <charset val="129"/>
      </rPr>
      <t>bot2</t>
    </r>
    <phoneticPr fontId="32" type="noConversion"/>
  </si>
  <si>
    <r>
      <t>S</t>
    </r>
    <r>
      <rPr>
        <vertAlign val="subscript"/>
        <sz val="9"/>
        <rFont val="맑은 고딕"/>
        <family val="3"/>
        <charset val="129"/>
      </rPr>
      <t>deck</t>
    </r>
    <phoneticPr fontId="32" type="noConversion"/>
  </si>
  <si>
    <r>
      <t>|f</t>
    </r>
    <r>
      <rPr>
        <vertAlign val="subscript"/>
        <sz val="9"/>
        <rFont val="맑은 고딕"/>
        <family val="3"/>
        <charset val="129"/>
      </rPr>
      <t>deck</t>
    </r>
    <r>
      <rPr>
        <sz val="9"/>
        <rFont val="맑은 고딕"/>
        <family val="3"/>
        <charset val="129"/>
      </rPr>
      <t>|</t>
    </r>
    <phoneticPr fontId="32" type="noConversion"/>
  </si>
  <si>
    <r>
      <t>|f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|</t>
    </r>
    <phoneticPr fontId="32" type="noConversion"/>
  </si>
  <si>
    <t>Deck</t>
    <phoneticPr fontId="32" type="noConversion"/>
  </si>
  <si>
    <t>Bot con'c</t>
    <phoneticPr fontId="32" type="noConversion"/>
  </si>
  <si>
    <t>강.설 4.3.3.1.7.3</t>
    <phoneticPr fontId="28" type="noConversion"/>
  </si>
  <si>
    <r>
      <t>7.2.2. M</t>
    </r>
    <r>
      <rPr>
        <b/>
        <vertAlign val="subscript"/>
        <sz val="9"/>
        <color theme="4" tint="-0.249977111117893"/>
        <rFont val="맑은 고딕"/>
        <family val="3"/>
        <charset val="129"/>
      </rPr>
      <t>y</t>
    </r>
    <r>
      <rPr>
        <b/>
        <sz val="9"/>
        <color theme="4" tint="-0.249977111117893"/>
        <rFont val="맑은 고딕"/>
        <family val="3"/>
        <charset val="129"/>
      </rPr>
      <t xml:space="preserve"> 항복모멘트 산정</t>
    </r>
    <phoneticPr fontId="28" type="noConversion"/>
  </si>
  <si>
    <t>7.2.3. 연성 요구조건</t>
    <phoneticPr fontId="28" type="noConversion"/>
  </si>
  <si>
    <t>7.2.4. 콘크리트 응력 검토</t>
    <phoneticPr fontId="28" type="noConversion"/>
  </si>
  <si>
    <t>th</t>
    <phoneticPr fontId="28" type="noConversion"/>
  </si>
  <si>
    <t>강.설 4.3.3.1.1.1</t>
    <phoneticPr fontId="28" type="noConversion"/>
  </si>
  <si>
    <t>1.25DC4 + 1.5DW + 1.8LL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</si>
  <si>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deck</t>
    </r>
    <r>
      <rPr>
        <sz val="9"/>
        <rFont val="맑은 고딕"/>
        <family val="3"/>
        <charset val="129"/>
      </rPr>
      <t xml:space="preserve"> = </t>
    </r>
    <phoneticPr fontId="28" type="noConversion"/>
  </si>
  <si>
    <r>
      <t>n * S</t>
    </r>
    <r>
      <rPr>
        <vertAlign val="subscript"/>
        <sz val="9"/>
        <rFont val="맑은 고딕"/>
        <family val="3"/>
        <charset val="129"/>
      </rPr>
      <t>deck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</si>
  <si>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= </t>
    </r>
    <phoneticPr fontId="28" type="noConversion"/>
  </si>
  <si>
    <t>+</t>
    <phoneticPr fontId="28" type="noConversion"/>
  </si>
  <si>
    <r>
      <t>n * S</t>
    </r>
    <r>
      <rPr>
        <vertAlign val="subscript"/>
        <sz val="9"/>
        <rFont val="맑은 고딕"/>
        <family val="3"/>
        <charset val="129"/>
      </rPr>
      <t>bot1</t>
    </r>
    <phoneticPr fontId="28" type="noConversion"/>
  </si>
  <si>
    <r>
      <t>n * S</t>
    </r>
    <r>
      <rPr>
        <vertAlign val="subscript"/>
        <sz val="9"/>
        <rFont val="맑은 고딕"/>
        <family val="3"/>
        <charset val="129"/>
      </rPr>
      <t>bot2</t>
    </r>
    <phoneticPr fontId="28" type="noConversion"/>
  </si>
  <si>
    <t>1.25DC3</t>
    <phoneticPr fontId="28" type="noConversion"/>
  </si>
  <si>
    <t>Ecd</t>
    <phoneticPr fontId="28" type="noConversion"/>
  </si>
  <si>
    <t>Ecb</t>
    <phoneticPr fontId="28" type="noConversion"/>
  </si>
  <si>
    <t>Distance from top deck slab to top the centerline of top/bottom layer rebar</t>
    <phoneticPr fontId="32" type="noConversion"/>
  </si>
  <si>
    <r>
      <t>Distance from Y</t>
    </r>
    <r>
      <rPr>
        <b/>
        <vertAlign val="subscript"/>
        <sz val="9"/>
        <rFont val="맑은 고딕"/>
        <family val="3"/>
        <charset val="129"/>
      </rPr>
      <t>PNA</t>
    </r>
    <r>
      <rPr>
        <b/>
        <sz val="9"/>
        <rFont val="맑은 고딕"/>
        <family val="3"/>
        <charset val="129"/>
      </rPr>
      <t xml:space="preserve"> to parts</t>
    </r>
    <phoneticPr fontId="32" type="noConversion"/>
  </si>
  <si>
    <t>Noncompact section</t>
    <phoneticPr fontId="32" type="noConversion"/>
  </si>
  <si>
    <t>Compact section</t>
    <phoneticPr fontId="32" type="noConversion"/>
  </si>
  <si>
    <t>(강.설 4.3-254 &amp; 4.3-263)</t>
    <phoneticPr fontId="32" type="noConversion"/>
  </si>
  <si>
    <t>(강.설 4.3-255 &amp; 4.3-264)</t>
    <phoneticPr fontId="32" type="noConversion"/>
  </si>
  <si>
    <t>(강.설 4.3-253)</t>
    <phoneticPr fontId="32" type="noConversion"/>
  </si>
  <si>
    <r>
      <t>1) 플랜지 응력 (f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>) 산정</t>
    </r>
    <phoneticPr fontId="32" type="noConversion"/>
  </si>
  <si>
    <t>In positive moment</t>
  </si>
  <si>
    <t>In negative moment</t>
  </si>
  <si>
    <t>(강.설 4.3.3.2.7.2(2))</t>
    <phoneticPr fontId="32" type="noConversion"/>
  </si>
  <si>
    <t>(강.설 4.3.3.2.8.2(2))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</si>
  <si>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</t>
    </r>
  </si>
  <si>
    <t>for Open flange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</si>
  <si>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Symbol"/>
        <family val="1"/>
        <charset val="2"/>
      </rPr>
      <t>D</t>
    </r>
  </si>
  <si>
    <t>for Box flange</t>
  </si>
  <si>
    <t>T = 계수하중에 의한 내부토크</t>
  </si>
  <si>
    <r>
      <t>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= 박스거더 단면의 폐합단면적</t>
    </r>
  </si>
  <si>
    <r>
      <t>Calculation of 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(Hybrid factor)</t>
    </r>
  </si>
  <si>
    <r>
      <t>[12+</t>
    </r>
    <r>
      <rPr>
        <sz val="9"/>
        <rFont val="Calibri"/>
        <family val="3"/>
        <charset val="161"/>
      </rPr>
      <t>β</t>
    </r>
    <r>
      <rPr>
        <sz val="9"/>
        <rFont val="맑은 고딕"/>
        <family val="3"/>
        <charset val="129"/>
      </rPr>
      <t>(3</t>
    </r>
    <r>
      <rPr>
        <sz val="9"/>
        <rFont val="Calibri"/>
        <family val="3"/>
        <charset val="161"/>
      </rPr>
      <t>ρ</t>
    </r>
    <r>
      <rPr>
        <sz val="9"/>
        <rFont val="맑은 고딕"/>
        <family val="3"/>
        <charset val="129"/>
      </rPr>
      <t>-</t>
    </r>
    <r>
      <rPr>
        <sz val="9"/>
        <rFont val="Calibri"/>
        <family val="3"/>
        <charset val="161"/>
      </rPr>
      <t>ρ</t>
    </r>
    <r>
      <rPr>
        <sz val="9"/>
        <rFont val="맑은 고딕"/>
        <family val="3"/>
        <charset val="129"/>
      </rPr>
      <t>³)]/(12+2</t>
    </r>
    <r>
      <rPr>
        <sz val="9"/>
        <rFont val="Calibri"/>
        <family val="3"/>
        <charset val="161"/>
      </rPr>
      <t>β</t>
    </r>
    <r>
      <rPr>
        <sz val="9"/>
        <rFont val="맑은 고딕"/>
        <family val="3"/>
        <charset val="129"/>
      </rPr>
      <t>)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</si>
  <si>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단면의 탄성중립축으로 부터 양플린지 안쪽 면까지의 거리 중 큰값</t>
    </r>
  </si>
  <si>
    <r>
      <t>A</t>
    </r>
    <r>
      <rPr>
        <vertAlign val="subscript"/>
        <sz val="9"/>
        <rFont val="맑은 고딕"/>
        <family val="3"/>
        <charset val="129"/>
      </rPr>
      <t>fn</t>
    </r>
    <r>
      <rPr>
        <sz val="9"/>
        <rFont val="맑은 고딕"/>
        <family val="3"/>
        <charset val="129"/>
      </rPr>
      <t xml:space="preserve"> = 플랜지 단면적과 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방향에 위치한 플랜지 덮개판 면적의 합</t>
    </r>
  </si>
  <si>
    <r>
      <t>Calculation of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(Web load shedding factor)</t>
    </r>
  </si>
  <si>
    <r>
      <t>R</t>
    </r>
    <r>
      <rPr>
        <vertAlign val="subscript"/>
        <sz val="9"/>
        <rFont val="맑은 고딕"/>
        <family val="3"/>
        <charset val="129"/>
      </rPr>
      <t>b</t>
    </r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</si>
  <si>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150 (300)</t>
    </r>
    <phoneticPr fontId="32" type="noConversion"/>
  </si>
  <si>
    <t>In Positive moment</t>
  </si>
  <si>
    <r>
      <t>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/(2t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 ≤ 12</t>
    </r>
    <phoneticPr fontId="32" type="noConversion"/>
  </si>
  <si>
    <r>
      <t>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D/6</t>
    </r>
    <phoneticPr fontId="32" type="noConversion"/>
  </si>
  <si>
    <r>
      <t>t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≥ 1.1t</t>
    </r>
    <r>
      <rPr>
        <vertAlign val="subscript"/>
        <sz val="9"/>
        <rFont val="맑은 고딕"/>
        <family val="3"/>
        <charset val="129"/>
      </rPr>
      <t>w</t>
    </r>
    <phoneticPr fontId="32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</si>
  <si>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0.95√(Ek/F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2" type="noConversion"/>
  </si>
  <si>
    <t>수평보강재 있음</t>
  </si>
  <si>
    <r>
      <t>2D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</t>
    </r>
    <r>
      <rPr>
        <sz val="9"/>
        <rFont val="Symbol"/>
        <family val="1"/>
        <charset val="2"/>
      </rPr>
      <t xml:space="preserve">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rw</t>
    </r>
    <phoneticPr fontId="32" type="noConversion"/>
  </si>
  <si>
    <r>
      <t>Since the cross - section proportion limits are satisfied, so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is taken as 1.0</t>
    </r>
    <phoneticPr fontId="32" type="noConversion"/>
  </si>
  <si>
    <t>보강재 없음</t>
  </si>
  <si>
    <r>
      <t>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²</t>
    </r>
    <phoneticPr fontId="32" type="noConversion"/>
  </si>
  <si>
    <r>
      <t>5.17/(d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²</t>
    </r>
    <r>
      <rPr>
        <sz val="9"/>
        <rFont val="맑은 고딕"/>
        <family val="3"/>
        <charset val="129"/>
      </rPr>
      <t xml:space="preserve"> ≥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/D)²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</si>
  <si>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&lt;</t>
    </r>
    <r>
      <rPr>
        <sz val="9"/>
        <rFont val="맑은 고딕"/>
        <family val="3"/>
        <charset val="129"/>
      </rPr>
      <t xml:space="preserve"> 0.4</t>
    </r>
  </si>
  <si>
    <r>
      <t>11.64/[(D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-d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)/D]</t>
    </r>
    <r>
      <rPr>
        <vertAlign val="superscript"/>
        <sz val="9"/>
        <rFont val="맑은 고딕"/>
        <family val="3"/>
        <charset val="129"/>
      </rPr>
      <t>²</t>
    </r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</si>
  <si>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수평보강재 중심선과 압축플랜지 안쪽면사이의 거리</t>
    </r>
    <phoneticPr fontId="32" type="noConversion"/>
  </si>
  <si>
    <r>
      <t>Calculation of a</t>
    </r>
    <r>
      <rPr>
        <vertAlign val="subscript"/>
        <sz val="9"/>
        <rFont val="맑은 고딕"/>
        <family val="3"/>
        <charset val="129"/>
      </rPr>
      <t>wc</t>
    </r>
  </si>
  <si>
    <r>
      <t>a</t>
    </r>
    <r>
      <rPr>
        <b/>
        <vertAlign val="subscript"/>
        <sz val="9"/>
        <rFont val="맑은 고딕"/>
        <family val="3"/>
        <charset val="129"/>
      </rPr>
      <t>wc</t>
    </r>
  </si>
  <si>
    <r>
      <t>2D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</si>
  <si>
    <t>정모멘트</t>
  </si>
  <si>
    <r>
      <t>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 xml:space="preserve"> + b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(1 - f</t>
    </r>
    <r>
      <rPr>
        <vertAlign val="subscript"/>
        <sz val="9"/>
        <rFont val="맑은 고딕"/>
        <family val="3"/>
        <charset val="129"/>
      </rPr>
      <t>DC1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)/(3n)</t>
    </r>
  </si>
  <si>
    <r>
      <t>2D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/(b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)</t>
    </r>
  </si>
  <si>
    <r>
      <t>f</t>
    </r>
    <r>
      <rPr>
        <vertAlign val="subscript"/>
        <sz val="9"/>
        <rFont val="맑은 고딕"/>
        <family val="3"/>
        <charset val="129"/>
      </rPr>
      <t>DC1</t>
    </r>
    <r>
      <rPr>
        <sz val="9"/>
        <rFont val="맑은 고딕"/>
        <family val="3"/>
        <charset val="129"/>
      </rPr>
      <t xml:space="preserve"> = compression flange stress caused by factored permanent load applied before composite</t>
    </r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</si>
  <si>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rw</t>
    </r>
    <r>
      <rPr>
        <sz val="9"/>
        <rFont val="맑은 고딕"/>
        <family val="3"/>
        <charset val="129"/>
      </rPr>
      <t xml:space="preserve">  = 5.7 </t>
    </r>
    <r>
      <rPr>
        <sz val="9"/>
        <rFont val="Cambria Math"/>
        <family val="3"/>
      </rPr>
      <t>√</t>
    </r>
    <r>
      <rPr>
        <sz val="9"/>
        <rFont val="맑은 고딕"/>
        <family val="3"/>
        <charset val="129"/>
      </rPr>
      <t>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2" type="noConversion"/>
  </si>
  <si>
    <r>
      <t>Calculation of F</t>
    </r>
    <r>
      <rPr>
        <vertAlign val="subscript"/>
        <sz val="9"/>
        <rFont val="맑은 고딕"/>
        <family val="3"/>
        <charset val="129"/>
      </rPr>
      <t>cb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</si>
  <si>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Calibri"/>
        <family val="3"/>
        <charset val="161"/>
      </rPr>
      <t>Δ</t>
    </r>
    <phoneticPr fontId="32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</si>
  <si>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&lt;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phoneticPr fontId="32" type="noConversion"/>
  </si>
  <si>
    <r>
      <t>0.9ER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k/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²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</si>
  <si>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 xml:space="preserve"> = min[(Δ - 0.3)F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;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]</t>
    </r>
    <phoneticPr fontId="32" type="noConversion"/>
  </si>
  <si>
    <r>
      <t>Calculation of F</t>
    </r>
    <r>
      <rPr>
        <vertAlign val="subscript"/>
        <sz val="9"/>
        <rFont val="맑은 고딕"/>
        <family val="3"/>
        <charset val="129"/>
      </rPr>
      <t>cv</t>
    </r>
    <r>
      <rPr>
        <sz val="9"/>
        <rFont val="맑은 고딕"/>
        <family val="3"/>
        <charset val="129"/>
      </rPr>
      <t xml:space="preserve"> (can be used the values from Constructibility)</t>
    </r>
    <phoneticPr fontId="32" type="noConversion"/>
  </si>
  <si>
    <r>
      <t>0.9Ek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²</t>
    </r>
    <phoneticPr fontId="32" type="noConversion"/>
  </si>
  <si>
    <r>
      <t>Calculation of k, 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Plate-buckling coefficient (can be used the values from Constructibility)</t>
    </r>
    <phoneticPr fontId="32" type="noConversion"/>
  </si>
  <si>
    <r>
      <t xml:space="preserve">1.0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[8I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4.0</t>
    </r>
  </si>
  <si>
    <r>
      <t xml:space="preserve">1.0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[0.894I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4.0</t>
    </r>
  </si>
  <si>
    <t>가장 가까운종방향보강재까지의 거리 중 큰 값</t>
    <phoneticPr fontId="32" type="noConversion"/>
  </si>
  <si>
    <r>
      <t>3) 공칭휨강도 M</t>
    </r>
    <r>
      <rPr>
        <b/>
        <vertAlign val="subscript"/>
        <sz val="9"/>
        <rFont val="맑은 고딕"/>
        <family val="3"/>
        <charset val="129"/>
      </rPr>
      <t>n</t>
    </r>
    <r>
      <rPr>
        <b/>
        <sz val="9"/>
        <rFont val="맑은 고딕"/>
        <family val="3"/>
        <charset val="129"/>
      </rPr>
      <t xml:space="preserve"> 산정 (Nominal flexural resistance)</t>
    </r>
    <phoneticPr fontId="32" type="noConversion"/>
  </si>
  <si>
    <r>
      <t>M</t>
    </r>
    <r>
      <rPr>
        <b/>
        <vertAlign val="subscript"/>
        <sz val="9"/>
        <rFont val="맑은 고딕"/>
        <family val="3"/>
        <charset val="129"/>
      </rPr>
      <t>n</t>
    </r>
  </si>
  <si>
    <r>
      <t>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0.1D</t>
    </r>
    <r>
      <rPr>
        <vertAlign val="subscript"/>
        <sz val="9"/>
        <rFont val="맑은 고딕"/>
        <family val="3"/>
        <charset val="129"/>
      </rPr>
      <t>t</t>
    </r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</si>
  <si>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p</t>
    </r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</si>
  <si>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(1.07 - 0.7D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</si>
  <si>
    <r>
      <t>0.1D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&lt; 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0.2D</t>
    </r>
    <r>
      <rPr>
        <vertAlign val="subscript"/>
        <sz val="9"/>
        <rFont val="맑은 고딕"/>
        <family val="3"/>
        <charset val="129"/>
      </rPr>
      <t>t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</si>
  <si>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(1.19 - 1.9D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</si>
  <si>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(1.0 - 0.95D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</si>
  <si>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≤ 1.3R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M</t>
    </r>
    <r>
      <rPr>
        <vertAlign val="subscript"/>
        <sz val="9"/>
        <rFont val="맑은 고딕"/>
        <family val="3"/>
        <charset val="129"/>
      </rPr>
      <t>y</t>
    </r>
    <phoneticPr fontId="32" type="noConversion"/>
  </si>
  <si>
    <t xml:space="preserve">여기서, </t>
    <phoneticPr fontId="32" type="noConversion"/>
  </si>
  <si>
    <t>소성모멘트</t>
    <phoneticPr fontId="32" type="noConversion"/>
  </si>
  <si>
    <t>항복모멘트</t>
    <phoneticPr fontId="32" type="noConversion"/>
  </si>
  <si>
    <t>합성단면의 전체높이</t>
    <phoneticPr fontId="32" type="noConversion"/>
  </si>
  <si>
    <r>
      <t>4) F</t>
    </r>
    <r>
      <rPr>
        <b/>
        <vertAlign val="subscript"/>
        <sz val="9"/>
        <rFont val="맑은 고딕"/>
        <family val="3"/>
        <charset val="129"/>
      </rPr>
      <t>nt</t>
    </r>
    <r>
      <rPr>
        <b/>
        <sz val="9"/>
        <rFont val="맑은 고딕"/>
        <family val="3"/>
        <charset val="129"/>
      </rPr>
      <t xml:space="preserve"> 산정 (Nominal flexural resistance of tension flange)</t>
    </r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</si>
  <si>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nt</t>
    </r>
  </si>
  <si>
    <t>Positive moment</t>
  </si>
  <si>
    <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  <r>
      <rPr>
        <sz val="9"/>
        <rFont val="Calibri"/>
        <family val="3"/>
        <charset val="161"/>
      </rPr>
      <t>Δ</t>
    </r>
    <phoneticPr fontId="32" type="noConversion"/>
  </si>
  <si>
    <t>Negative moment</t>
  </si>
  <si>
    <t>for Open flange</t>
  </si>
  <si>
    <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</si>
  <si>
    <t>a</t>
    <phoneticPr fontId="32" type="noConversion"/>
  </si>
  <si>
    <t>자간 중앙에서의 안접 박스 간 플랜지의 중심간격</t>
    <phoneticPr fontId="32" type="noConversion"/>
  </si>
  <si>
    <t>같이 각 박스단면의 플랜지 중심간격</t>
    <phoneticPr fontId="32" type="noConversion"/>
  </si>
  <si>
    <t>b</t>
    <phoneticPr fontId="32" type="noConversion"/>
  </si>
  <si>
    <t>난간이나 연석을 포함한 바닥판의 내민부</t>
    <phoneticPr fontId="32" type="noConversion"/>
  </si>
  <si>
    <t>S</t>
    <phoneticPr fontId="32" type="noConversion"/>
  </si>
  <si>
    <t>웨브의 경사도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</si>
  <si>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cp</t>
    </r>
    <phoneticPr fontId="32" type="noConversion"/>
  </si>
  <si>
    <t>소성모멘트 적용 시 압축을 받는 웨브의 높이</t>
    <phoneticPr fontId="32" type="noConversion"/>
  </si>
  <si>
    <r>
      <t>D</t>
    </r>
    <r>
      <rPr>
        <vertAlign val="subscript"/>
        <sz val="9"/>
        <rFont val="맑은 고딕"/>
        <family val="3"/>
        <charset val="129"/>
      </rPr>
      <t>cp</t>
    </r>
    <r>
      <rPr>
        <sz val="9"/>
        <rFont val="맑은 고딕"/>
        <family val="3"/>
        <charset val="129"/>
      </rPr>
      <t xml:space="preserve"> &gt; 0 for the case the plastic neutral axis is in the web, others cases D</t>
    </r>
    <r>
      <rPr>
        <vertAlign val="subscript"/>
        <sz val="9"/>
        <rFont val="맑은 고딕"/>
        <family val="3"/>
        <charset val="129"/>
      </rPr>
      <t>cp</t>
    </r>
    <r>
      <rPr>
        <sz val="9"/>
        <rFont val="맑은 고딕"/>
        <family val="3"/>
        <charset val="129"/>
      </rPr>
      <t xml:space="preserve"> = 0</t>
    </r>
    <phoneticPr fontId="32" type="noConversion"/>
  </si>
  <si>
    <t>7.2.5. Flexure checking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</si>
  <si>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 xml:space="preserve"> = 1.25(DC1 + DC2) / S</t>
    </r>
    <r>
      <rPr>
        <vertAlign val="subscript"/>
        <sz val="9"/>
        <rFont val="맑은 고딕"/>
        <family val="3"/>
        <charset val="129"/>
      </rPr>
      <t>steel</t>
    </r>
    <r>
      <rPr>
        <sz val="9"/>
        <rFont val="맑은 고딕"/>
        <family val="3"/>
        <charset val="129"/>
      </rPr>
      <t xml:space="preserve"> + 1.25DC3 / S</t>
    </r>
    <r>
      <rPr>
        <vertAlign val="subscript"/>
        <sz val="9"/>
        <rFont val="맑은 고딕"/>
        <family val="3"/>
        <charset val="129"/>
      </rPr>
      <t>bot_con</t>
    </r>
    <r>
      <rPr>
        <sz val="9"/>
        <rFont val="맑은 고딕"/>
        <family val="3"/>
        <charset val="129"/>
      </rPr>
      <t xml:space="preserve"> + (1.25DC4 + 1.5DW) / S</t>
    </r>
    <r>
      <rPr>
        <vertAlign val="subscript"/>
        <sz val="9"/>
        <rFont val="맑은 고딕"/>
        <family val="3"/>
        <charset val="129"/>
      </rPr>
      <t>longterm</t>
    </r>
    <r>
      <rPr>
        <sz val="9"/>
        <rFont val="맑은 고딕"/>
        <family val="3"/>
        <charset val="129"/>
      </rPr>
      <t xml:space="preserve"> + 1.8LL / S</t>
    </r>
    <r>
      <rPr>
        <vertAlign val="subscript"/>
        <sz val="9"/>
        <rFont val="맑은 고딕"/>
        <family val="3"/>
        <charset val="129"/>
      </rPr>
      <t>shortterm</t>
    </r>
    <phoneticPr fontId="28" type="noConversion"/>
  </si>
  <si>
    <t>강.설 4.3.3.1.1.10(1)</t>
    <phoneticPr fontId="28" type="noConversion"/>
  </si>
  <si>
    <t>강.설 4.3.3.1.1.10(2)</t>
    <phoneticPr fontId="28" type="noConversion"/>
  </si>
  <si>
    <t>강.설 4.3.3.1.1.9</t>
    <phoneticPr fontId="28" type="noConversion"/>
  </si>
  <si>
    <t>강.설 4.3.3.2.8.2(2)</t>
    <phoneticPr fontId="28" type="noConversion"/>
  </si>
  <si>
    <t>강.설 4.3.3.1.7.1 (2)</t>
    <phoneticPr fontId="28" type="noConversion"/>
  </si>
  <si>
    <t>강.설 4.3.3.2.7.2 (2)</t>
    <phoneticPr fontId="28" type="noConversion"/>
  </si>
  <si>
    <t>강.설 4.3.3.2.8.3</t>
    <phoneticPr fontId="28" type="noConversion"/>
  </si>
  <si>
    <t>강.설 4.3.3.2.6.2 (2)</t>
    <phoneticPr fontId="28" type="noConversion"/>
  </si>
  <si>
    <r>
      <t>1 - [a</t>
    </r>
    <r>
      <rPr>
        <vertAlign val="subscript"/>
        <sz val="9"/>
        <rFont val="맑은 고딕"/>
        <family val="3"/>
        <charset val="129"/>
      </rPr>
      <t>wc</t>
    </r>
    <r>
      <rPr>
        <sz val="9"/>
        <rFont val="맑은 고딕"/>
        <family val="3"/>
        <charset val="129"/>
      </rPr>
      <t xml:space="preserve"> / (1200 + 300a</t>
    </r>
    <r>
      <rPr>
        <vertAlign val="subscript"/>
        <sz val="9"/>
        <rFont val="맑은 고딕"/>
        <family val="3"/>
        <charset val="129"/>
      </rPr>
      <t>wc</t>
    </r>
    <r>
      <rPr>
        <sz val="9"/>
        <rFont val="맑은 고딕"/>
        <family val="3"/>
        <charset val="129"/>
      </rPr>
      <t>)] (2D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/ 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rw</t>
    </r>
    <r>
      <rPr>
        <sz val="9"/>
        <rFont val="맑은 고딕"/>
        <family val="3"/>
        <charset val="129"/>
      </rPr>
      <t xml:space="preserve"> ) ≤ 1.0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</si>
  <si>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8" type="noConversion"/>
  </si>
  <si>
    <r>
      <t>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) &lt;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1.40√(Ek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) </t>
    </r>
    <phoneticPr fontId="32" type="noConversion"/>
  </si>
  <si>
    <r>
      <t>0.65√(F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</si>
  <si>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&gt; 1.40√(Ek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</si>
  <si>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</si>
  <si>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p</t>
    </r>
    <phoneticPr fontId="28" type="noConversion"/>
  </si>
  <si>
    <t>n</t>
    <phoneticPr fontId="28" type="noConversion"/>
  </si>
  <si>
    <r>
      <t>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</si>
  <si>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phoneticPr fontId="28" type="noConversion"/>
  </si>
  <si>
    <t>등간격인 종방향보강재의 수</t>
    <phoneticPr fontId="28" type="noConversion"/>
  </si>
  <si>
    <t>종리브 단면2차모멘트</t>
    <phoneticPr fontId="28" type="noConversion"/>
  </si>
  <si>
    <t>탄성범위 내에서 웨브의 압축 측 높이</t>
    <phoneticPr fontId="28" type="noConversion"/>
  </si>
  <si>
    <t xml:space="preserve">압축플랜지의 종방향보강재 사이 폭 또는 웨브로부터 </t>
    <phoneticPr fontId="32" type="noConversion"/>
  </si>
  <si>
    <t>공칭항복강도 485MPa 이하인 강재로 균질 합성단면 or 상부 및 하부플랜지의 공칭항복강도 485MPa</t>
    <phoneticPr fontId="32" type="noConversion"/>
  </si>
  <si>
    <t>공칭항복강도 690MPa 강재로 균질 합성단면 or 상부 및 하부플랜지의 공칭항복강도 690MPa</t>
    <phoneticPr fontId="32" type="noConversion"/>
  </si>
  <si>
    <t xml:space="preserve">연속교의 경우 단며의 공칭휨강도는 다음 식을 만족해야한다 </t>
    <phoneticPr fontId="32" type="noConversion"/>
  </si>
  <si>
    <t>5) Classification of compact or noncompact section</t>
    <phoneticPr fontId="32" type="noConversion"/>
  </si>
  <si>
    <r>
      <t>Table 7.2.5. Calculation of  box girder enclosed area A</t>
    </r>
    <r>
      <rPr>
        <i/>
        <vertAlign val="subscript"/>
        <sz val="9"/>
        <rFont val="맑은 고딕"/>
        <family val="3"/>
        <charset val="129"/>
      </rPr>
      <t>0_NC</t>
    </r>
    <r>
      <rPr>
        <i/>
        <sz val="9"/>
        <rFont val="맑은 고딕"/>
        <family val="3"/>
        <charset val="129"/>
      </rPr>
      <t xml:space="preserve"> (noncomposite) and A</t>
    </r>
    <r>
      <rPr>
        <i/>
        <vertAlign val="subscript"/>
        <sz val="9"/>
        <rFont val="맑은 고딕"/>
        <family val="3"/>
        <charset val="129"/>
      </rPr>
      <t>0_C</t>
    </r>
    <r>
      <rPr>
        <i/>
        <sz val="9"/>
        <rFont val="맑은 고딕"/>
        <family val="3"/>
        <charset val="129"/>
      </rPr>
      <t xml:space="preserve"> (composite)</t>
    </r>
    <phoneticPr fontId="32" type="noConversion"/>
  </si>
  <si>
    <t>Top flange</t>
    <phoneticPr fontId="32" type="noConversion"/>
  </si>
  <si>
    <t>Bottom flange</t>
    <phoneticPr fontId="32" type="noConversion"/>
  </si>
  <si>
    <t>Deck slab</t>
    <phoneticPr fontId="32" type="noConversion"/>
  </si>
  <si>
    <r>
      <t>A</t>
    </r>
    <r>
      <rPr>
        <vertAlign val="subscript"/>
        <sz val="9"/>
        <rFont val="맑은 고딕"/>
        <family val="3"/>
        <charset val="129"/>
      </rPr>
      <t>0_NC</t>
    </r>
  </si>
  <si>
    <r>
      <t>A</t>
    </r>
    <r>
      <rPr>
        <vertAlign val="subscript"/>
        <sz val="9"/>
        <rFont val="맑은 고딕"/>
        <family val="3"/>
        <charset val="129"/>
      </rPr>
      <t>0_C</t>
    </r>
  </si>
  <si>
    <t>Table 7.2.6. Calculation of Δ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</si>
  <si>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v_NC</t>
    </r>
  </si>
  <si>
    <r>
      <t>f</t>
    </r>
    <r>
      <rPr>
        <vertAlign val="subscript"/>
        <sz val="9"/>
        <rFont val="맑은 고딕"/>
        <family val="3"/>
        <charset val="129"/>
      </rPr>
      <t>v_C</t>
    </r>
  </si>
  <si>
    <r>
      <t>f</t>
    </r>
    <r>
      <rPr>
        <vertAlign val="subscript"/>
        <sz val="9"/>
        <rFont val="맑은 고딕"/>
        <family val="3"/>
        <charset val="129"/>
      </rPr>
      <t>v</t>
    </r>
  </si>
  <si>
    <t>DC4</t>
  </si>
  <si>
    <t>DW</t>
    <phoneticPr fontId="32" type="noConversion"/>
  </si>
  <si>
    <r>
      <t>LL</t>
    </r>
    <r>
      <rPr>
        <vertAlign val="subscript"/>
        <sz val="9"/>
        <rFont val="맑은 고딕"/>
        <family val="3"/>
        <charset val="129"/>
      </rPr>
      <t>max</t>
    </r>
    <phoneticPr fontId="32" type="noConversion"/>
  </si>
  <si>
    <r>
      <t>LL</t>
    </r>
    <r>
      <rPr>
        <vertAlign val="subscript"/>
        <sz val="9"/>
        <rFont val="맑은 고딕"/>
        <family val="3"/>
        <charset val="129"/>
      </rPr>
      <t>min</t>
    </r>
    <phoneticPr fontId="32" type="noConversion"/>
  </si>
  <si>
    <r>
      <t>Table 7.2.7. Calculation of R</t>
    </r>
    <r>
      <rPr>
        <i/>
        <vertAlign val="subscript"/>
        <sz val="9"/>
        <rFont val="맑은 고딕"/>
        <family val="3"/>
        <charset val="129"/>
      </rPr>
      <t>h</t>
    </r>
    <phoneticPr fontId="32" type="noConversion"/>
  </si>
  <si>
    <r>
      <t>Table 7.2.8. Calculation of F</t>
    </r>
    <r>
      <rPr>
        <i/>
        <vertAlign val="subscript"/>
        <sz val="9"/>
        <rFont val="맑은 고딕"/>
        <family val="3"/>
        <charset val="129"/>
      </rPr>
      <t>cb</t>
    </r>
    <r>
      <rPr>
        <i/>
        <sz val="9"/>
        <rFont val="맑은 고딕"/>
        <family val="3"/>
        <charset val="129"/>
      </rPr>
      <t>, F</t>
    </r>
    <r>
      <rPr>
        <i/>
        <vertAlign val="subscript"/>
        <sz val="9"/>
        <rFont val="맑은 고딕"/>
        <family val="3"/>
        <charset val="129"/>
      </rPr>
      <t>cv</t>
    </r>
    <phoneticPr fontId="32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</si>
  <si>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phoneticPr fontId="32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</si>
  <si>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</t>
    </r>
    <phoneticPr fontId="32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</si>
  <si>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</si>
  <si>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</si>
  <si>
    <r>
      <t>F</t>
    </r>
    <r>
      <rPr>
        <vertAlign val="subscript"/>
        <sz val="9"/>
        <rFont val="맑은 고딕"/>
        <family val="3"/>
        <charset val="129"/>
      </rPr>
      <t>cv</t>
    </r>
    <phoneticPr fontId="32" type="noConversion"/>
  </si>
  <si>
    <r>
      <t>Table 7.2.9.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>, F</t>
    </r>
    <r>
      <rPr>
        <i/>
        <vertAlign val="subscript"/>
        <sz val="9"/>
        <rFont val="맑은 고딕"/>
        <family val="3"/>
        <charset val="129"/>
      </rPr>
      <t>nt</t>
    </r>
    <r>
      <rPr>
        <i/>
        <sz val="9"/>
        <rFont val="맑은 고딕"/>
        <family val="3"/>
        <charset val="129"/>
      </rPr>
      <t>, M</t>
    </r>
    <r>
      <rPr>
        <i/>
        <vertAlign val="subscript"/>
        <sz val="9"/>
        <rFont val="맑은 고딕"/>
        <family val="3"/>
        <charset val="129"/>
      </rPr>
      <t>n</t>
    </r>
    <phoneticPr fontId="32" type="noConversion"/>
  </si>
  <si>
    <t>OF/BF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</si>
  <si>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산정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</si>
  <si>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산정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</si>
  <si>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phoneticPr fontId="32" type="noConversion"/>
  </si>
  <si>
    <r>
      <t>1.3R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M</t>
    </r>
    <r>
      <rPr>
        <vertAlign val="subscript"/>
        <sz val="9"/>
        <rFont val="맑은 고딕"/>
        <family val="3"/>
        <charset val="129"/>
      </rPr>
      <t>y</t>
    </r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</si>
  <si>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phoneticPr fontId="32" type="noConversion"/>
  </si>
  <si>
    <t>Table 7.2.10. Classification compact / noncompact section</t>
    <phoneticPr fontId="32" type="noConversion"/>
  </si>
  <si>
    <t xml:space="preserve">정/부 </t>
    <phoneticPr fontId="32" type="noConversion"/>
  </si>
  <si>
    <t>R</t>
    <phoneticPr fontId="32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</si>
  <si>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phoneticPr fontId="32" type="noConversion"/>
  </si>
  <si>
    <t>s</t>
    <phoneticPr fontId="32" type="noConversion"/>
  </si>
  <si>
    <t>Classification</t>
    <phoneticPr fontId="32" type="noConversion"/>
  </si>
  <si>
    <t>Table 7.2.11. Checking flexure</t>
    <phoneticPr fontId="32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</si>
  <si>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nt</t>
    </r>
    <phoneticPr fontId="32" type="noConversion"/>
  </si>
  <si>
    <t>Stress checking</t>
    <phoneticPr fontId="32" type="noConversion"/>
  </si>
  <si>
    <r>
      <t>M</t>
    </r>
    <r>
      <rPr>
        <vertAlign val="subscript"/>
        <sz val="9"/>
        <rFont val="맑은 고딕"/>
        <family val="3"/>
        <charset val="129"/>
      </rPr>
      <t>u</t>
    </r>
    <phoneticPr fontId="32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</si>
  <si>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M</t>
    </r>
    <r>
      <rPr>
        <vertAlign val="subscript"/>
        <sz val="9"/>
        <rFont val="맑은 고딕"/>
        <family val="3"/>
        <charset val="129"/>
      </rPr>
      <t>n</t>
    </r>
    <phoneticPr fontId="32" type="noConversion"/>
  </si>
  <si>
    <t>Moment</t>
    <phoneticPr fontId="32" type="noConversion"/>
  </si>
  <si>
    <t>상연</t>
  </si>
  <si>
    <t>하연</t>
  </si>
  <si>
    <t>압축</t>
    <phoneticPr fontId="32" type="noConversion"/>
  </si>
  <si>
    <t>인장</t>
    <phoneticPr fontId="32" type="noConversion"/>
  </si>
  <si>
    <t>checking</t>
    <phoneticPr fontId="32" type="noConversion"/>
  </si>
  <si>
    <t>Cons</t>
    <phoneticPr fontId="28" type="noConversion"/>
  </si>
  <si>
    <r>
      <t>H</t>
    </r>
    <r>
      <rPr>
        <vertAlign val="subscript"/>
        <sz val="9"/>
        <rFont val="맑은 고딕"/>
        <family val="3"/>
        <charset val="129"/>
      </rPr>
      <t>w</t>
    </r>
    <phoneticPr fontId="32" type="noConversion"/>
  </si>
  <si>
    <t>Flexure checking</t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</si>
  <si>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ui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>/cos</t>
    </r>
    <r>
      <rPr>
        <sz val="9"/>
        <rFont val="Calibri"/>
        <family val="3"/>
        <charset val="161"/>
      </rPr>
      <t>θ</t>
    </r>
    <phoneticPr fontId="32" type="noConversion"/>
  </si>
  <si>
    <r>
      <t>Calculation of V</t>
    </r>
    <r>
      <rPr>
        <vertAlign val="subscript"/>
        <sz val="9"/>
        <rFont val="맑은 고딕"/>
        <family val="3"/>
        <charset val="129"/>
      </rPr>
      <t xml:space="preserve">n </t>
    </r>
    <r>
      <rPr>
        <sz val="9"/>
        <rFont val="맑은 고딕"/>
        <family val="3"/>
        <charset val="129"/>
      </rPr>
      <t>(Nominal shear resistance)</t>
    </r>
  </si>
  <si>
    <r>
      <t>V</t>
    </r>
    <r>
      <rPr>
        <b/>
        <vertAlign val="subscript"/>
        <sz val="9"/>
        <rFont val="맑은 고딕"/>
        <family val="3"/>
        <charset val="129"/>
      </rPr>
      <t>n</t>
    </r>
  </si>
  <si>
    <t>Unstiffened web</t>
  </si>
  <si>
    <r>
      <t>C•V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C•0.58F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  <phoneticPr fontId="32" type="noConversion"/>
  </si>
  <si>
    <t>Stiffened web</t>
    <phoneticPr fontId="32" type="noConversion"/>
  </si>
  <si>
    <t>- End panels</t>
  </si>
  <si>
    <t>- Interior panels</t>
  </si>
  <si>
    <r>
      <t>1.57(Ek/F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)²</t>
    </r>
    <phoneticPr fontId="32" type="noConversion"/>
  </si>
  <si>
    <t>Calculation of k - shear-buckling ccoefficient</t>
    <phoneticPr fontId="32" type="noConversion"/>
  </si>
  <si>
    <t>Unstiffened web</t>
    <phoneticPr fontId="32" type="noConversion"/>
  </si>
  <si>
    <r>
      <t>5+5/(d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>/D)²</t>
    </r>
    <phoneticPr fontId="32" type="noConversion"/>
  </si>
  <si>
    <t>Classification of stiffened web and unstiffened web</t>
  </si>
  <si>
    <t>Classification</t>
  </si>
  <si>
    <r>
      <t>수직보강재 간격 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≤ 3D and 수평보강재 없음</t>
    </r>
    <phoneticPr fontId="32" type="noConversion"/>
  </si>
  <si>
    <t>Stiffened web</t>
  </si>
  <si>
    <r>
      <t>수직보강재 간격 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≤ 1.5 D and 수평보강재 있음</t>
    </r>
    <phoneticPr fontId="32" type="noConversion"/>
  </si>
  <si>
    <t>unstiffened web</t>
  </si>
  <si>
    <t>Table 7.2.12. Calculation of nominal shear resistance</t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</si>
  <si>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p</t>
    </r>
  </si>
  <si>
    <t>C 산정</t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</si>
  <si>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n</t>
    </r>
  </si>
  <si>
    <r>
      <rPr>
        <sz val="9"/>
        <rFont val="Symbol"/>
        <family val="1"/>
        <charset val="2"/>
      </rPr>
      <t>Ö</t>
    </r>
    <r>
      <rPr>
        <sz val="9"/>
        <rFont val="맑은 고딕"/>
        <family val="3"/>
        <charset val="129"/>
      </rPr>
      <t>Ek/F</t>
    </r>
    <r>
      <rPr>
        <vertAlign val="subscript"/>
        <sz val="9"/>
        <rFont val="맑은 고딕"/>
        <family val="3"/>
        <charset val="129"/>
      </rPr>
      <t>yw</t>
    </r>
    <phoneticPr fontId="32" type="noConversion"/>
  </si>
  <si>
    <t>Table 7.2.13. Checking web shear</t>
    <phoneticPr fontId="32" type="noConversion"/>
  </si>
  <si>
    <t>전단 산정</t>
    <phoneticPr fontId="32" type="noConversion"/>
  </si>
  <si>
    <t>θ</t>
    <phoneticPr fontId="32" type="noConversion"/>
  </si>
  <si>
    <t>DC2</t>
    <phoneticPr fontId="32" type="noConversion"/>
  </si>
  <si>
    <t>DC3</t>
    <phoneticPr fontId="32" type="noConversion"/>
  </si>
  <si>
    <t>DC4</t>
    <phoneticPr fontId="32" type="noConversion"/>
  </si>
  <si>
    <t xml:space="preserve">소성모멘트 상태어세 콘크리트 바닥판의 상단에서나  </t>
    <phoneticPr fontId="32" type="noConversion"/>
  </si>
  <si>
    <t>내부 con'c 하단에서 중립축까지의 거리</t>
  </si>
  <si>
    <t>강.설 4.3.3.2.9</t>
    <phoneticPr fontId="28" type="noConversion"/>
  </si>
  <si>
    <t>강.설 4.3.3.1.9.2</t>
    <phoneticPr fontId="28" type="noConversion"/>
  </si>
  <si>
    <t>강.설 4.3.3.1.9.3(3)</t>
    <phoneticPr fontId="28" type="noConversion"/>
  </si>
  <si>
    <t>강.설 4.3.3.1.9.3(2)</t>
    <phoneticPr fontId="28" type="noConversion"/>
  </si>
  <si>
    <t>강.설 4.3.3.1.9.1(3)</t>
    <phoneticPr fontId="28" type="noConversion"/>
  </si>
  <si>
    <t>7.2.6. Shear checking</t>
    <phoneticPr fontId="28" type="noConversion"/>
  </si>
  <si>
    <r>
      <t>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[C + 0.87(1 - C) / √(1 + d</t>
    </r>
    <r>
      <rPr>
        <vertAlign val="subscript"/>
        <sz val="9"/>
        <rFont val="맑은 고딕"/>
        <family val="3"/>
        <charset val="129"/>
      </rPr>
      <t>0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 D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)]</t>
    </r>
    <phoneticPr fontId="28" type="noConversion"/>
  </si>
  <si>
    <r>
      <t>2Dt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(b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 xml:space="preserve"> + b</t>
    </r>
    <r>
      <rPr>
        <vertAlign val="subscript"/>
        <sz val="9"/>
        <rFont val="맑은 고딕"/>
        <family val="3"/>
        <charset val="129"/>
      </rPr>
      <t>ft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ft</t>
    </r>
    <r>
      <rPr>
        <sz val="9"/>
        <rFont val="맑은 고딕"/>
        <family val="3"/>
        <charset val="129"/>
      </rPr>
      <t>) ≤ 2.5</t>
    </r>
    <phoneticPr fontId="28" type="noConversion"/>
  </si>
  <si>
    <r>
      <t>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[C + 0.87(1 - C) / √(1 + d</t>
    </r>
    <r>
      <rPr>
        <vertAlign val="subscript"/>
        <sz val="9"/>
        <rFont val="맑은 고딕"/>
        <family val="3"/>
        <charset val="129"/>
      </rPr>
      <t>0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 D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>/D)]</t>
    </r>
    <phoneticPr fontId="28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</si>
  <si>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8" type="noConversion"/>
  </si>
  <si>
    <r>
      <t>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 &lt; 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) </t>
    </r>
    <phoneticPr fontId="28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</si>
  <si>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&gt;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8" type="noConversion"/>
  </si>
  <si>
    <r>
      <t>1.12/(D/t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8" type="noConversion"/>
  </si>
  <si>
    <r>
      <t>다음 식에서 M</t>
    </r>
    <r>
      <rPr>
        <vertAlign val="subscript"/>
        <sz val="9"/>
        <rFont val="맑은 고딕"/>
        <family val="3"/>
        <charset val="129"/>
      </rPr>
      <t>AD</t>
    </r>
    <r>
      <rPr>
        <sz val="9"/>
        <rFont val="맑은 고딕"/>
        <family val="3"/>
        <charset val="129"/>
      </rPr>
      <t>를 구한다</t>
    </r>
    <phoneticPr fontId="32" type="noConversion"/>
  </si>
  <si>
    <r>
      <t>다음을 M</t>
    </r>
    <r>
      <rPr>
        <vertAlign val="subscript"/>
        <sz val="9"/>
        <rFont val="맑은 고딕"/>
        <family val="3"/>
        <charset val="129"/>
      </rPr>
      <t>y</t>
    </r>
    <r>
      <rPr>
        <sz val="9"/>
        <rFont val="맑은 고딕"/>
        <family val="3"/>
        <charset val="129"/>
      </rPr>
      <t xml:space="preserve"> 계산한다</t>
    </r>
    <phoneticPr fontId="32" type="noConversion"/>
  </si>
  <si>
    <t>② = fbu 플랜지 압축응력</t>
    <phoneticPr fontId="28" type="noConversion"/>
  </si>
  <si>
    <r>
      <rPr>
        <sz val="9"/>
        <rFont val="Segoe UI Symbol"/>
        <family val="3"/>
      </rPr>
      <t xml:space="preserve">① = fbu </t>
    </r>
    <r>
      <rPr>
        <sz val="9"/>
        <rFont val="맑은 고딕"/>
        <family val="3"/>
        <charset val="129"/>
      </rPr>
      <t>플랜지 인장응력</t>
    </r>
    <phoneticPr fontId="28" type="noConversion"/>
  </si>
  <si>
    <t>③ = fdeck 바닥판 압축응력</t>
    <phoneticPr fontId="28" type="noConversion"/>
  </si>
  <si>
    <t>④ = fbot 내부 con'c 압축응력</t>
    <phoneticPr fontId="28" type="noConversion"/>
  </si>
  <si>
    <t>⑤ = fs 철근 인장응력</t>
    <phoneticPr fontId="28" type="noConversion"/>
  </si>
  <si>
    <t>bh</t>
    <phoneticPr fontId="28" type="noConversion"/>
  </si>
  <si>
    <t>7.3. 사용한계상태</t>
    <phoneticPr fontId="28" type="noConversion"/>
  </si>
  <si>
    <t>플랜지 요구조건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</si>
  <si>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≤ 0.95R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phoneticPr fontId="28" type="noConversion"/>
  </si>
  <si>
    <t>강.설 4.3-138</t>
    <phoneticPr fontId="28" type="noConversion"/>
  </si>
  <si>
    <t xml:space="preserve"> For compact section in positive moment (강.설 4.3.3.1.4.2 )</t>
    <phoneticPr fontId="28" type="noConversion"/>
  </si>
  <si>
    <t>웨브의 휨좌굴강도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</si>
  <si>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c</t>
    </r>
    <r>
      <rPr>
        <b/>
        <sz val="9"/>
        <rFont val="맑은 고딕"/>
        <family val="3"/>
        <charset val="129"/>
      </rPr>
      <t xml:space="preserve"> </t>
    </r>
    <r>
      <rPr>
        <b/>
        <vertAlign val="subscript"/>
        <sz val="9"/>
        <rFont val="맑은 고딕"/>
        <family val="3"/>
        <charset val="129"/>
      </rPr>
      <t xml:space="preserve"> </t>
    </r>
    <r>
      <rPr>
        <b/>
        <sz val="9"/>
        <rFont val="맑은 고딕"/>
        <family val="3"/>
        <charset val="129"/>
      </rPr>
      <t>≤ F</t>
    </r>
    <r>
      <rPr>
        <b/>
        <vertAlign val="subscript"/>
        <sz val="9"/>
        <rFont val="맑은 고딕"/>
        <family val="3"/>
        <charset val="129"/>
      </rPr>
      <t>crw</t>
    </r>
    <phoneticPr fontId="28" type="noConversion"/>
  </si>
  <si>
    <t>강.설 4.3-141</t>
    <phoneticPr fontId="28" type="noConversion"/>
  </si>
  <si>
    <r>
      <t>Except for the section in positive flexure in which the web satisfies D/t</t>
    </r>
    <r>
      <rPr>
        <i/>
        <vertAlign val="subscript"/>
        <sz val="9"/>
        <rFont val="맑은 고딕"/>
        <family val="3"/>
        <charset val="129"/>
      </rPr>
      <t>w</t>
    </r>
    <r>
      <rPr>
        <i/>
        <sz val="9"/>
        <rFont val="맑은 고딕"/>
        <family val="3"/>
        <charset val="129"/>
      </rPr>
      <t xml:space="preserve"> ≤ 150</t>
    </r>
    <phoneticPr fontId="28" type="noConversion"/>
  </si>
  <si>
    <t>철근 (부모멘트)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</si>
  <si>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s</t>
    </r>
    <r>
      <rPr>
        <b/>
        <sz val="9"/>
        <rFont val="맑은 고딕"/>
        <family val="3"/>
        <charset val="129"/>
      </rPr>
      <t xml:space="preserve"> ≤ 0.8F</t>
    </r>
    <r>
      <rPr>
        <b/>
        <vertAlign val="subscript"/>
        <sz val="9"/>
        <rFont val="맑은 고딕"/>
        <family val="3"/>
        <charset val="129"/>
      </rPr>
      <t>y</t>
    </r>
    <phoneticPr fontId="28" type="noConversion"/>
  </si>
  <si>
    <t>7.3.1. 플랜지 요구조건</t>
    <phoneticPr fontId="28" type="noConversion"/>
  </si>
  <si>
    <t>강.설 4.3.3.1.4.2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</si>
  <si>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</t>
    </r>
    <phoneticPr fontId="32" type="noConversion"/>
  </si>
  <si>
    <t>플랜지 횡방향 휨을 고려하지 않은 사용한계상태조합에 의한 플랜지 응력</t>
    <phoneticPr fontId="32" type="noConversion"/>
  </si>
  <si>
    <t>하이브리드 단면의 플랜지 응력감소계수</t>
    <phoneticPr fontId="32" type="noConversion"/>
  </si>
  <si>
    <t>Table 7.3.1. Checking flange stress</t>
    <phoneticPr fontId="32" type="noConversion"/>
  </si>
  <si>
    <t>부/정</t>
    <phoneticPr fontId="32" type="noConversion"/>
  </si>
  <si>
    <t>Top</t>
    <phoneticPr fontId="32" type="noConversion"/>
  </si>
  <si>
    <t>Bottom</t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</si>
  <si>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c</t>
    </r>
    <r>
      <rPr>
        <b/>
        <sz val="9"/>
        <rFont val="맑은 고딕"/>
        <family val="3"/>
        <charset val="129"/>
      </rPr>
      <t xml:space="preserve"> ≤ F</t>
    </r>
    <r>
      <rPr>
        <b/>
        <vertAlign val="subscript"/>
        <sz val="9"/>
        <rFont val="맑은 고딕"/>
        <family val="3"/>
        <charset val="129"/>
      </rPr>
      <t>crw</t>
    </r>
  </si>
  <si>
    <r>
      <t>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phoneticPr fontId="32" type="noConversion"/>
  </si>
  <si>
    <t>플랜지 횡방향 휨을 고려하지 않은 사용한계상태조합에 의한 단면의 압축플랜지 응력</t>
    <phoneticPr fontId="32" type="noConversion"/>
  </si>
  <si>
    <t>웨브 공칭휨좌굴강도</t>
    <phoneticPr fontId="32" type="noConversion"/>
  </si>
  <si>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smaller (R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and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/0.7)</t>
    </r>
  </si>
  <si>
    <t xml:space="preserve">Kim, Byung Jun, et al. "Web bend-buckling strength of plate girders with two longitudinal web </t>
    <phoneticPr fontId="32" type="noConversion"/>
  </si>
  <si>
    <t>stiffeners." Structural Engineering and Mechanics 69.4 (2019): 383-397.</t>
    <phoneticPr fontId="32" type="noConversion"/>
  </si>
  <si>
    <t>dsc</t>
    <phoneticPr fontId="32" type="noConversion"/>
  </si>
  <si>
    <t xml:space="preserve">In this case, the distances between the first and second stiffener to the inner surface of the compression </t>
    <phoneticPr fontId="32" type="noConversion"/>
  </si>
  <si>
    <r>
      <t>flange are taken as 0.14D and 0.36D, thus, d</t>
    </r>
    <r>
      <rPr>
        <vertAlign val="subscript"/>
        <sz val="9"/>
        <rFont val="Calibri Light"/>
        <family val="3"/>
        <charset val="129"/>
        <scheme val="major"/>
      </rPr>
      <t>sc</t>
    </r>
    <r>
      <rPr>
        <sz val="9"/>
        <rFont val="Calibri Light"/>
        <family val="3"/>
        <charset val="129"/>
        <scheme val="major"/>
      </rPr>
      <t xml:space="preserve"> would be 0.25D </t>
    </r>
    <phoneticPr fontId="32" type="noConversion"/>
  </si>
  <si>
    <r>
      <t>탄성범위 내에서 웨브의 압축 측 높이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산정</t>
    </r>
    <phoneticPr fontId="32" type="noConversion"/>
  </si>
  <si>
    <t>Table 7.3.2. Calculation depth of web in compression in elastic range and Checking bend-buckling resistance for webs</t>
    <phoneticPr fontId="32" type="noConversion"/>
  </si>
  <si>
    <t>Stress</t>
    <phoneticPr fontId="32" type="noConversion"/>
  </si>
  <si>
    <t>d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</si>
  <si>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c</t>
    </r>
    <phoneticPr fontId="32" type="noConversion"/>
  </si>
  <si>
    <t>7.3.2. 웨브의 휨좌굴강도</t>
    <phoneticPr fontId="28" type="noConversion"/>
  </si>
  <si>
    <t>A. 6.10.1.9 &amp; 강.설 4.3.3.1.1.9</t>
    <phoneticPr fontId="28" type="noConversion"/>
  </si>
  <si>
    <t xml:space="preserve"> 강.설 B.3.1 </t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</si>
  <si>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-f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 / ( | 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| + f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) * d - 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 xml:space="preserve"> ≥ 0</t>
    </r>
    <phoneticPr fontId="28" type="noConversion"/>
  </si>
  <si>
    <t>1.0*DC4 + 1.0*DW + 1.3*LL</t>
    <phoneticPr fontId="28" type="noConversion"/>
  </si>
  <si>
    <t>1.0*DC3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</si>
  <si>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deck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</si>
  <si>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bot</t>
    </r>
    <phoneticPr fontId="28" type="noConversion"/>
  </si>
  <si>
    <r>
      <t>n*S</t>
    </r>
    <r>
      <rPr>
        <vertAlign val="subscript"/>
        <sz val="9"/>
        <rFont val="맑은 고딕"/>
        <family val="3"/>
        <charset val="129"/>
      </rPr>
      <t>bot1</t>
    </r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</si>
  <si>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s</t>
    </r>
    <r>
      <rPr>
        <b/>
        <sz val="9"/>
        <rFont val="맑은 고딕"/>
        <family val="3"/>
        <charset val="129"/>
      </rPr>
      <t xml:space="preserve"> ≤ 0.8F</t>
    </r>
    <r>
      <rPr>
        <b/>
        <vertAlign val="subscript"/>
        <sz val="9"/>
        <rFont val="맑은 고딕"/>
        <family val="3"/>
        <charset val="129"/>
      </rPr>
      <t>y</t>
    </r>
    <phoneticPr fontId="32" type="noConversion"/>
  </si>
  <si>
    <r>
      <t>0.8F</t>
    </r>
    <r>
      <rPr>
        <vertAlign val="subscript"/>
        <sz val="9"/>
        <rFont val="맑은 고딕"/>
        <family val="3"/>
        <charset val="129"/>
      </rPr>
      <t>y</t>
    </r>
    <r>
      <rPr>
        <sz val="9"/>
        <rFont val="맑은 고딕"/>
        <family val="3"/>
        <charset val="129"/>
      </rPr>
      <t xml:space="preserve"> = </t>
    </r>
    <phoneticPr fontId="32" type="noConversion"/>
  </si>
  <si>
    <t>Table 7.3.3. Checking rebar stress</t>
    <phoneticPr fontId="32" type="noConversion"/>
  </si>
  <si>
    <r>
      <t>DC</t>
    </r>
    <r>
      <rPr>
        <vertAlign val="subscript"/>
        <sz val="9"/>
        <rFont val="맑은 고딕"/>
        <family val="3"/>
        <charset val="129"/>
      </rPr>
      <t>4</t>
    </r>
    <phoneticPr fontId="32" type="noConversion"/>
  </si>
  <si>
    <r>
      <t>S</t>
    </r>
    <r>
      <rPr>
        <vertAlign val="subscript"/>
        <sz val="9"/>
        <rFont val="맑은 고딕"/>
        <family val="3"/>
        <charset val="129"/>
      </rPr>
      <t>rebar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</si>
  <si>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s</t>
    </r>
    <phoneticPr fontId="32" type="noConversion"/>
  </si>
  <si>
    <t>7.3.3 부모멘트 인장철근 검토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</si>
  <si>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</t>
    </r>
    <phoneticPr fontId="28" type="noConversion"/>
  </si>
  <si>
    <t>1.0*DC4 + 1.0*DW + 1.0*LL</t>
    <phoneticPr fontId="28" type="noConversion"/>
  </si>
  <si>
    <r>
      <t>S</t>
    </r>
    <r>
      <rPr>
        <vertAlign val="subscript"/>
        <sz val="9"/>
        <rFont val="맑은 고딕"/>
        <family val="3"/>
        <charset val="129"/>
      </rPr>
      <t>rebar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</si>
  <si>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부모멘트 인장철근 응력 (사용 I 한계상태)</t>
    </r>
    <phoneticPr fontId="32" type="noConversion"/>
  </si>
  <si>
    <r>
      <t>0.95R</t>
    </r>
    <r>
      <rPr>
        <vertAlign val="subscript"/>
        <sz val="8"/>
        <rFont val="맑은 고딕"/>
        <family val="3"/>
        <charset val="129"/>
      </rPr>
      <t>h</t>
    </r>
    <r>
      <rPr>
        <sz val="8"/>
        <rFont val="맑은 고딕"/>
        <family val="3"/>
        <charset val="129"/>
      </rPr>
      <t>F</t>
    </r>
    <r>
      <rPr>
        <vertAlign val="subscript"/>
        <sz val="8"/>
        <rFont val="맑은 고딕"/>
        <family val="3"/>
        <charset val="129"/>
      </rPr>
      <t>yf</t>
    </r>
    <phoneticPr fontId="32" type="noConversion"/>
  </si>
  <si>
    <t>응력</t>
    <phoneticPr fontId="32" type="noConversion"/>
  </si>
  <si>
    <t>γ(Δf) ≤ (ΔF)n</t>
  </si>
  <si>
    <r>
      <t>V</t>
    </r>
    <r>
      <rPr>
        <b/>
        <vertAlign val="subscript"/>
        <sz val="9"/>
        <rFont val="맑은 고딕"/>
        <family val="3"/>
        <charset val="129"/>
      </rPr>
      <t>u</t>
    </r>
    <r>
      <rPr>
        <b/>
        <sz val="9"/>
        <rFont val="맑은 고딕"/>
        <family val="3"/>
        <charset val="129"/>
      </rPr>
      <t xml:space="preserve"> ≤ V</t>
    </r>
    <r>
      <rPr>
        <b/>
        <vertAlign val="subscript"/>
        <sz val="9"/>
        <rFont val="맑은 고딕"/>
        <family val="3"/>
        <charset val="129"/>
      </rPr>
      <t>cr</t>
    </r>
  </si>
  <si>
    <r>
      <t>g(D</t>
    </r>
    <r>
      <rPr>
        <b/>
        <sz val="9"/>
        <rFont val="맑은 고딕"/>
        <family val="3"/>
        <charset val="129"/>
      </rPr>
      <t>f</t>
    </r>
    <r>
      <rPr>
        <b/>
        <sz val="9"/>
        <rFont val="Symbol"/>
        <family val="1"/>
        <charset val="2"/>
      </rPr>
      <t xml:space="preserve">) £ </t>
    </r>
    <r>
      <rPr>
        <b/>
        <sz val="9"/>
        <rFont val="맑은 고딕"/>
        <family val="3"/>
        <charset val="129"/>
      </rPr>
      <t>(</t>
    </r>
    <r>
      <rPr>
        <b/>
        <sz val="9"/>
        <rFont val="Symbol"/>
        <family val="1"/>
        <charset val="2"/>
      </rPr>
      <t>D</t>
    </r>
    <r>
      <rPr>
        <b/>
        <sz val="9"/>
        <rFont val="맑은 고딕"/>
        <family val="3"/>
        <charset val="129"/>
      </rPr>
      <t>F)</t>
    </r>
    <r>
      <rPr>
        <b/>
        <vertAlign val="subscript"/>
        <sz val="9"/>
        <rFont val="맑은 고딕"/>
        <family val="3"/>
        <charset val="129"/>
      </rPr>
      <t>n</t>
    </r>
  </si>
  <si>
    <t>γ</t>
    <phoneticPr fontId="32" type="noConversion"/>
  </si>
  <si>
    <t>하중조합 규정에 명시된 하중계수</t>
    <phoneticPr fontId="32" type="noConversion"/>
  </si>
  <si>
    <r>
      <t>(</t>
    </r>
    <r>
      <rPr>
        <sz val="9"/>
        <rFont val="Calibri"/>
        <family val="3"/>
        <charset val="161"/>
      </rPr>
      <t>Δ</t>
    </r>
    <r>
      <rPr>
        <sz val="8.65"/>
        <rFont val="맑은 고딕"/>
        <family val="3"/>
        <charset val="129"/>
      </rPr>
      <t>f)</t>
    </r>
    <phoneticPr fontId="32" type="noConversion"/>
  </si>
  <si>
    <t>하중효과, 즉 피로설계하중 통과 시 발생되는 활하중 응력범위</t>
    <phoneticPr fontId="32" type="noConversion"/>
  </si>
  <si>
    <r>
      <t>(</t>
    </r>
    <r>
      <rPr>
        <sz val="9"/>
        <rFont val="Calibri"/>
        <family val="3"/>
        <charset val="161"/>
      </rPr>
      <t>Δ</t>
    </r>
    <r>
      <rPr>
        <sz val="8.65"/>
        <rFont val="맑은 고딕"/>
        <family val="3"/>
        <charset val="129"/>
      </rPr>
      <t>F)</t>
    </r>
    <r>
      <rPr>
        <vertAlign val="subscript"/>
        <sz val="8.65"/>
        <rFont val="맑은 고딕"/>
        <family val="3"/>
        <charset val="129"/>
      </rPr>
      <t>n</t>
    </r>
    <phoneticPr fontId="32" type="noConversion"/>
  </si>
  <si>
    <t>공칭피로강도</t>
    <phoneticPr fontId="32" type="noConversion"/>
  </si>
  <si>
    <t xml:space="preserve">공칭피로강도 산정 </t>
    <phoneticPr fontId="32" type="noConversion"/>
  </si>
  <si>
    <r>
      <t>(N</t>
    </r>
    <r>
      <rPr>
        <vertAlign val="subscript"/>
        <sz val="9"/>
        <rFont val="맑은 고딕"/>
        <family val="3"/>
        <charset val="129"/>
      </rPr>
      <t>TH</t>
    </r>
    <r>
      <rPr>
        <sz val="9"/>
        <rFont val="맑은 고딕"/>
        <family val="3"/>
        <charset val="129"/>
      </rPr>
      <t>/N)</t>
    </r>
    <r>
      <rPr>
        <vertAlign val="superscript"/>
        <sz val="9"/>
        <rFont val="맑은 고딕"/>
        <family val="3"/>
        <charset val="129"/>
      </rPr>
      <t>1/3</t>
    </r>
    <r>
      <rPr>
        <sz val="9"/>
        <rFont val="맑은 고딕"/>
        <family val="3"/>
        <charset val="129"/>
      </rPr>
      <t>•(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>F)</t>
    </r>
    <r>
      <rPr>
        <vertAlign val="subscript"/>
        <sz val="9"/>
        <rFont val="맑은 고딕"/>
        <family val="3"/>
        <charset val="129"/>
      </rPr>
      <t>TH</t>
    </r>
    <phoneticPr fontId="32" type="noConversion"/>
  </si>
  <si>
    <t>if</t>
    <phoneticPr fontId="32" type="noConversion"/>
  </si>
  <si>
    <r>
      <t>N ≤ N</t>
    </r>
    <r>
      <rPr>
        <vertAlign val="subscript"/>
        <sz val="9"/>
        <rFont val="맑은 고딕"/>
        <family val="3"/>
        <charset val="129"/>
      </rPr>
      <t>TH</t>
    </r>
    <phoneticPr fontId="32" type="noConversion"/>
  </si>
  <si>
    <r>
      <t>(N</t>
    </r>
    <r>
      <rPr>
        <vertAlign val="subscript"/>
        <sz val="9"/>
        <rFont val="맑은 고딕"/>
        <family val="3"/>
        <charset val="129"/>
      </rPr>
      <t>TH</t>
    </r>
    <r>
      <rPr>
        <sz val="9"/>
        <rFont val="맑은 고딕"/>
        <family val="3"/>
        <charset val="129"/>
      </rPr>
      <t>/N)</t>
    </r>
    <r>
      <rPr>
        <vertAlign val="superscript"/>
        <sz val="9"/>
        <rFont val="맑은 고딕"/>
        <family val="3"/>
        <charset val="129"/>
      </rPr>
      <t>1/5</t>
    </r>
    <r>
      <rPr>
        <sz val="9"/>
        <rFont val="맑은 고딕"/>
        <family val="3"/>
        <charset val="129"/>
      </rPr>
      <t>•(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>F)</t>
    </r>
    <r>
      <rPr>
        <vertAlign val="subscript"/>
        <sz val="9"/>
        <rFont val="맑은 고딕"/>
        <family val="3"/>
        <charset val="129"/>
      </rPr>
      <t>TH</t>
    </r>
    <phoneticPr fontId="32" type="noConversion"/>
  </si>
  <si>
    <r>
      <t>N</t>
    </r>
    <r>
      <rPr>
        <vertAlign val="subscript"/>
        <sz val="9"/>
        <rFont val="맑은 고딕"/>
        <family val="3"/>
        <charset val="129"/>
      </rPr>
      <t>TH</t>
    </r>
    <r>
      <rPr>
        <sz val="9"/>
        <rFont val="맑은 고딕"/>
        <family val="3"/>
        <charset val="129"/>
      </rPr>
      <t xml:space="preserve"> ≤ N ≤ N</t>
    </r>
    <r>
      <rPr>
        <vertAlign val="subscript"/>
        <sz val="9"/>
        <rFont val="맑은 고딕"/>
        <family val="3"/>
        <charset val="129"/>
      </rPr>
      <t>CL</t>
    </r>
    <phoneticPr fontId="32" type="noConversion"/>
  </si>
  <si>
    <r>
      <t>(</t>
    </r>
    <r>
      <rPr>
        <sz val="9"/>
        <rFont val="Calibri"/>
        <family val="3"/>
        <charset val="161"/>
      </rPr>
      <t>Δ</t>
    </r>
    <r>
      <rPr>
        <sz val="8.65"/>
        <rFont val="맑은 고딕"/>
        <family val="3"/>
        <charset val="129"/>
      </rPr>
      <t>F)</t>
    </r>
    <r>
      <rPr>
        <vertAlign val="subscript"/>
        <sz val="8.65"/>
        <rFont val="맑은 고딕"/>
        <family val="3"/>
        <charset val="129"/>
      </rPr>
      <t>CL</t>
    </r>
    <phoneticPr fontId="32" type="noConversion"/>
  </si>
  <si>
    <r>
      <t>N &gt; N</t>
    </r>
    <r>
      <rPr>
        <vertAlign val="subscript"/>
        <sz val="9"/>
        <rFont val="맑은 고딕"/>
        <family val="3"/>
        <charset val="129"/>
      </rPr>
      <t>CL</t>
    </r>
    <phoneticPr fontId="32" type="noConversion"/>
  </si>
  <si>
    <t>N</t>
    <phoneticPr fontId="32" type="noConversion"/>
  </si>
  <si>
    <r>
      <t>(365)•(100)•n•(ADTT)</t>
    </r>
    <r>
      <rPr>
        <vertAlign val="subscript"/>
        <sz val="9"/>
        <rFont val="맑은 고딕"/>
        <family val="3"/>
        <charset val="129"/>
      </rPr>
      <t>SL</t>
    </r>
    <phoneticPr fontId="32" type="noConversion"/>
  </si>
  <si>
    <t>n</t>
    <phoneticPr fontId="32" type="noConversion"/>
  </si>
  <si>
    <r>
      <t>(ADTT)</t>
    </r>
    <r>
      <rPr>
        <vertAlign val="subscript"/>
        <sz val="9"/>
        <rFont val="맑은 고딕"/>
        <family val="3"/>
        <charset val="129"/>
      </rPr>
      <t>SL</t>
    </r>
    <phoneticPr fontId="32" type="noConversion"/>
  </si>
  <si>
    <t>(assumed)</t>
    <phoneticPr fontId="32" type="noConversion"/>
  </si>
  <si>
    <r>
      <t>(ΔF)</t>
    </r>
    <r>
      <rPr>
        <vertAlign val="subscript"/>
        <sz val="9"/>
        <rFont val="맑은 고딕"/>
        <family val="3"/>
        <charset val="129"/>
      </rPr>
      <t>TH</t>
    </r>
    <phoneticPr fontId="32" type="noConversion"/>
  </si>
  <si>
    <t>일정진폭 피로한계값</t>
    <phoneticPr fontId="32" type="noConversion"/>
  </si>
  <si>
    <r>
      <t>(ΔF)</t>
    </r>
    <r>
      <rPr>
        <vertAlign val="subscript"/>
        <sz val="9"/>
        <rFont val="맑은 고딕"/>
        <family val="3"/>
        <charset val="129"/>
      </rPr>
      <t>CL</t>
    </r>
    <phoneticPr fontId="32" type="noConversion"/>
  </si>
  <si>
    <t>무한수명 공칭피로강도</t>
    <phoneticPr fontId="32" type="noConversion"/>
  </si>
  <si>
    <t>NTH</t>
    <phoneticPr fontId="32" type="noConversion"/>
  </si>
  <si>
    <t>일정진폭 피로한계값에 해당하는 응력범위 반복횟수</t>
    <phoneticPr fontId="32" type="noConversion"/>
  </si>
  <si>
    <t>NCL</t>
    <phoneticPr fontId="32" type="noConversion"/>
  </si>
  <si>
    <t>무한수명 응력험위에 해당하는 응력법위 반복횟수</t>
    <phoneticPr fontId="32" type="noConversion"/>
  </si>
  <si>
    <t>No.</t>
    <phoneticPr fontId="32" type="noConversion"/>
  </si>
  <si>
    <t>상세설명</t>
    <phoneticPr fontId="32" type="noConversion"/>
  </si>
  <si>
    <t>법주</t>
    <phoneticPr fontId="32" type="noConversion"/>
  </si>
  <si>
    <r>
      <t>N</t>
    </r>
    <r>
      <rPr>
        <vertAlign val="subscript"/>
        <sz val="9"/>
        <rFont val="맑은 고딕"/>
        <family val="3"/>
        <charset val="129"/>
      </rPr>
      <t>TH</t>
    </r>
    <phoneticPr fontId="32" type="noConversion"/>
  </si>
  <si>
    <r>
      <t>N</t>
    </r>
    <r>
      <rPr>
        <vertAlign val="subscript"/>
        <sz val="9"/>
        <rFont val="맑은 고딕"/>
        <family val="3"/>
        <charset val="129"/>
      </rPr>
      <t>CL</t>
    </r>
    <phoneticPr fontId="32" type="noConversion"/>
  </si>
  <si>
    <r>
      <t>(</t>
    </r>
    <r>
      <rPr>
        <sz val="9"/>
        <rFont val="Calibri"/>
        <family val="3"/>
        <charset val="161"/>
      </rPr>
      <t>Δ</t>
    </r>
    <r>
      <rPr>
        <sz val="8.65"/>
        <rFont val="맑은 고딕"/>
        <family val="3"/>
        <charset val="129"/>
      </rPr>
      <t>F)</t>
    </r>
    <r>
      <rPr>
        <vertAlign val="subscript"/>
        <sz val="8.65"/>
        <rFont val="맑은 고딕"/>
        <family val="3"/>
        <charset val="129"/>
      </rPr>
      <t>TH</t>
    </r>
    <phoneticPr fontId="32" type="noConversion"/>
  </si>
  <si>
    <t>수직보강재와 플랜지 및
수직보강재와 웨브의 용접</t>
    <phoneticPr fontId="32" type="noConversion"/>
  </si>
  <si>
    <t>C'</t>
    <phoneticPr fontId="32" type="noConversion"/>
  </si>
  <si>
    <t>가로보와 플랜지 및 
가로보와 웨브의 용접 R =</t>
    <phoneticPr fontId="32" type="noConversion"/>
  </si>
  <si>
    <t>필릿이나 자동 스터드 용접</t>
    <phoneticPr fontId="32" type="noConversion"/>
  </si>
  <si>
    <t>Fillet welds connection transverse
elements to webs and flanges</t>
    <phoneticPr fontId="32" type="noConversion"/>
  </si>
  <si>
    <t>E</t>
    <phoneticPr fontId="32" type="noConversion"/>
  </si>
  <si>
    <t>이 규정들은 순인장응력을 받는 상세에만 적용된다. 하중계수를 적용하지 않은 고정하중이, ∑DC, 압축응력을 발생시키는</t>
    <phoneticPr fontId="32" type="noConversion"/>
  </si>
  <si>
    <t>부분의 경우, 이 압축응력이 피로한계상태조합에 최대 활하중 인장응력의 2배보다 작은 경우에만 피로문제를 고려한다</t>
    <phoneticPr fontId="32" type="noConversion"/>
  </si>
  <si>
    <t>그리고 압축응력 ∑DC ≥ 2∙γ(Δf) 경우 → 검토 필요없음</t>
    <phoneticPr fontId="32" type="noConversion"/>
  </si>
  <si>
    <t>Table 7.4.1. Checking load-induced fatigue</t>
    <phoneticPr fontId="32" type="noConversion"/>
  </si>
  <si>
    <t>∑DC</t>
    <phoneticPr fontId="32" type="noConversion"/>
  </si>
  <si>
    <t>γ(Δf)</t>
    <phoneticPr fontId="32" type="noConversion"/>
  </si>
  <si>
    <t>가로보</t>
    <phoneticPr fontId="32" type="noConversion"/>
  </si>
  <si>
    <t>수직 보강재 용접</t>
    <phoneticPr fontId="32" type="noConversion"/>
  </si>
  <si>
    <t>상판-가로보 용접</t>
    <phoneticPr fontId="32" type="noConversion"/>
  </si>
  <si>
    <t>스터드 용접</t>
    <phoneticPr fontId="32" type="noConversion"/>
  </si>
  <si>
    <t>위치</t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</si>
  <si>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>/2/cos</t>
    </r>
    <r>
      <rPr>
        <sz val="9"/>
        <rFont val="Calibri"/>
        <family val="3"/>
        <charset val="161"/>
      </rPr>
      <t>θ</t>
    </r>
    <phoneticPr fontId="32" type="noConversion"/>
  </si>
  <si>
    <t>연직축에 대한 웨브의 경사각</t>
    <phoneticPr fontId="32" type="noConversion"/>
  </si>
  <si>
    <t xml:space="preserve">하중계수를 곱하지 않은 영구하중과 설계피로하중값의 2배 </t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</si>
  <si>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cr</t>
    </r>
    <phoneticPr fontId="32" type="noConversion"/>
  </si>
  <si>
    <t>전단좌굴강도</t>
    <phoneticPr fontId="32" type="noConversion"/>
  </si>
  <si>
    <r>
      <t>1.57(Ek/F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</si>
  <si>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t>Calculation of k</t>
    <phoneticPr fontId="32" type="noConversion"/>
  </si>
  <si>
    <r>
      <t xml:space="preserve">강.설 4.3.3.1.9.2 specified k = 5.0, </t>
    </r>
    <r>
      <rPr>
        <sz val="9"/>
        <color rgb="FFFF0000"/>
        <rFont val="맑은 고딕"/>
        <family val="3"/>
        <charset val="129"/>
      </rPr>
      <t>however</t>
    </r>
    <r>
      <rPr>
        <sz val="9"/>
        <color rgb="FF002060"/>
        <rFont val="맑은 고딕"/>
        <family val="3"/>
        <charset val="129"/>
      </rPr>
      <t xml:space="preserve"> AASHTO 6.10.5.3 and Eq. 6.10.9.3.3-1 specified k = 5+5/(d</t>
    </r>
    <r>
      <rPr>
        <vertAlign val="subscript"/>
        <sz val="9"/>
        <color rgb="FF002060"/>
        <rFont val="맑은 고딕"/>
        <family val="3"/>
        <charset val="129"/>
      </rPr>
      <t>o</t>
    </r>
    <r>
      <rPr>
        <sz val="9"/>
        <color rgb="FF002060"/>
        <rFont val="맑은 고딕"/>
        <family val="3"/>
        <charset val="129"/>
      </rPr>
      <t>/D)</t>
    </r>
    <r>
      <rPr>
        <vertAlign val="superscript"/>
        <sz val="9"/>
        <color rgb="FF002060"/>
        <rFont val="맑은 고딕"/>
        <family val="3"/>
        <charset val="129"/>
      </rPr>
      <t xml:space="preserve">2 </t>
    </r>
    <phoneticPr fontId="32" type="noConversion"/>
  </si>
  <si>
    <r>
      <t>Although V</t>
    </r>
    <r>
      <rPr>
        <vertAlign val="subscript"/>
        <sz val="9"/>
        <color rgb="FF002060"/>
        <rFont val="맑은 고딕"/>
        <family val="3"/>
        <charset val="129"/>
      </rPr>
      <t>u</t>
    </r>
    <r>
      <rPr>
        <sz val="9"/>
        <color rgb="FF002060"/>
        <rFont val="맑은 고딕"/>
        <family val="3"/>
        <charset val="129"/>
      </rPr>
      <t>, V</t>
    </r>
    <r>
      <rPr>
        <vertAlign val="subscript"/>
        <sz val="9"/>
        <color rgb="FF002060"/>
        <rFont val="맑은 고딕"/>
        <family val="3"/>
        <charset val="129"/>
      </rPr>
      <t>cr</t>
    </r>
    <r>
      <rPr>
        <sz val="9"/>
        <color rgb="FF002060"/>
        <rFont val="맑은 고딕"/>
        <family val="3"/>
        <charset val="129"/>
      </rPr>
      <t xml:space="preserve"> are the </t>
    </r>
    <r>
      <rPr>
        <sz val="9"/>
        <color rgb="FFFF0000"/>
        <rFont val="맑은 고딕"/>
        <family val="3"/>
        <charset val="129"/>
      </rPr>
      <t>same</t>
    </r>
    <r>
      <rPr>
        <sz val="9"/>
        <color rgb="FF002060"/>
        <rFont val="맑은 고딕"/>
        <family val="3"/>
        <charset val="129"/>
      </rPr>
      <t xml:space="preserve"> in two codes, but k is calculated </t>
    </r>
    <r>
      <rPr>
        <sz val="9"/>
        <color rgb="FFFF0000"/>
        <rFont val="맑은 고딕"/>
        <family val="3"/>
        <charset val="129"/>
      </rPr>
      <t xml:space="preserve">differently </t>
    </r>
    <phoneticPr fontId="32" type="noConversion"/>
  </si>
  <si>
    <r>
      <t xml:space="preserve">If using K = 5.0 as 강.설, </t>
    </r>
    <r>
      <rPr>
        <sz val="9"/>
        <color rgb="FFFF0000"/>
        <rFont val="맑은 고딕"/>
        <family val="3"/>
        <charset val="129"/>
      </rPr>
      <t>C = 0.1</t>
    </r>
    <r>
      <rPr>
        <sz val="9"/>
        <color rgb="FF002060"/>
        <rFont val="맑은 고딕"/>
        <family val="3"/>
        <charset val="129"/>
      </rPr>
      <t>, but if using K = 5+5/(d</t>
    </r>
    <r>
      <rPr>
        <vertAlign val="subscript"/>
        <sz val="9"/>
        <color rgb="FF002060"/>
        <rFont val="맑은 고딕"/>
        <family val="3"/>
        <charset val="129"/>
      </rPr>
      <t>o</t>
    </r>
    <r>
      <rPr>
        <sz val="9"/>
        <color rgb="FF002060"/>
        <rFont val="맑은 고딕"/>
        <family val="3"/>
        <charset val="129"/>
      </rPr>
      <t>/D)</t>
    </r>
    <r>
      <rPr>
        <vertAlign val="superscript"/>
        <sz val="9"/>
        <color rgb="FF002060"/>
        <rFont val="맑은 고딕"/>
        <family val="3"/>
        <charset val="129"/>
      </rPr>
      <t>2</t>
    </r>
    <r>
      <rPr>
        <sz val="9"/>
        <color rgb="FF002060"/>
        <rFont val="맑은 고딕"/>
        <family val="3"/>
        <charset val="129"/>
      </rPr>
      <t xml:space="preserve"> as AASHTO, </t>
    </r>
    <r>
      <rPr>
        <sz val="9"/>
        <color rgb="FFFF0000"/>
        <rFont val="맑은 고딕"/>
        <family val="3"/>
        <charset val="129"/>
      </rPr>
      <t>C = 0.5</t>
    </r>
    <phoneticPr fontId="32" type="noConversion"/>
  </si>
  <si>
    <r>
      <t xml:space="preserve">The value 0.1 of C is </t>
    </r>
    <r>
      <rPr>
        <sz val="9"/>
        <color rgb="FFFF0000"/>
        <rFont val="맑은 고딕"/>
        <family val="3"/>
        <charset val="129"/>
      </rPr>
      <t>very small</t>
    </r>
    <r>
      <rPr>
        <sz val="9"/>
        <color rgb="FF002060"/>
        <rFont val="맑은 고딕"/>
        <family val="3"/>
        <charset val="129"/>
      </rPr>
      <t xml:space="preserve">, lead to Vcr = </t>
    </r>
    <r>
      <rPr>
        <sz val="9"/>
        <color rgb="FFFF0000"/>
        <rFont val="맑은 고딕"/>
        <family val="3"/>
        <charset val="129"/>
      </rPr>
      <t>10%</t>
    </r>
    <r>
      <rPr>
        <sz val="9"/>
        <color rgb="FF002060"/>
        <rFont val="맑은 고딕"/>
        <family val="3"/>
        <charset val="129"/>
      </rPr>
      <t xml:space="preserve"> of Vp =&gt; almost </t>
    </r>
    <r>
      <rPr>
        <b/>
        <sz val="9"/>
        <color rgb="FFFF0000"/>
        <rFont val="맑은 고딕"/>
        <family val="3"/>
        <charset val="129"/>
      </rPr>
      <t>unsatisfied (NG)</t>
    </r>
    <r>
      <rPr>
        <sz val="9"/>
        <color rgb="FF002060"/>
        <rFont val="맑은 고딕"/>
        <family val="3"/>
        <charset val="129"/>
      </rPr>
      <t xml:space="preserve"> for the web with thickness below </t>
    </r>
    <r>
      <rPr>
        <sz val="9"/>
        <color rgb="FFFF0000"/>
        <rFont val="맑은 고딕"/>
        <family val="3"/>
        <charset val="129"/>
      </rPr>
      <t>14mm</t>
    </r>
    <phoneticPr fontId="32" type="noConversion"/>
  </si>
  <si>
    <r>
      <rPr>
        <sz val="9"/>
        <color rgb="FFFF0000"/>
        <rFont val="맑은 고딕"/>
        <family val="3"/>
        <charset val="129"/>
      </rPr>
      <t>=&gt; The author decided to use k in AASHTO to check in this case. K value in AASHTO seems to be more suitable</t>
    </r>
    <phoneticPr fontId="32" type="noConversion"/>
  </si>
  <si>
    <t>Table 7.4.2. Checking web shear</t>
    <phoneticPr fontId="32" type="noConversion"/>
  </si>
  <si>
    <t>전단력</t>
    <phoneticPr fontId="32" type="noConversion"/>
  </si>
  <si>
    <t>설계피로하중</t>
    <phoneticPr fontId="32" type="noConversion"/>
  </si>
  <si>
    <t>하중유발 피로</t>
    <phoneticPr fontId="28" type="noConversion"/>
  </si>
  <si>
    <t>웨브 피로요구조건 (전단)</t>
    <phoneticPr fontId="28" type="noConversion"/>
  </si>
  <si>
    <t>KDS 14 31 20(4.1)</t>
    <phoneticPr fontId="28" type="noConversion"/>
  </si>
  <si>
    <t>강.설 4.3-142</t>
    <phoneticPr fontId="28" type="noConversion"/>
  </si>
  <si>
    <t>7.4. 피로 및 파단한계상태</t>
    <phoneticPr fontId="28" type="noConversion"/>
  </si>
  <si>
    <t>7.4.1. 하중유발 피로</t>
    <phoneticPr fontId="28" type="noConversion"/>
  </si>
  <si>
    <t>KDS 14 31 20(4.1.2.5)</t>
    <phoneticPr fontId="28" type="noConversion"/>
  </si>
  <si>
    <t>ADTT</t>
    <phoneticPr fontId="28" type="noConversion"/>
  </si>
  <si>
    <t>7.4.2. 웨브의 비로요구조건</t>
    <phoneticPr fontId="28" type="noConversion"/>
  </si>
  <si>
    <t>강.설 4.3.3.1.5.3</t>
    <phoneticPr fontId="28" type="noConversion"/>
  </si>
  <si>
    <r>
      <t>C∙V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C∙0.58F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  <phoneticPr fontId="32" type="noConversion"/>
  </si>
  <si>
    <r>
      <t>V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</t>
    </r>
    <phoneticPr fontId="32" type="noConversion"/>
  </si>
  <si>
    <r>
      <t>D/2 [(P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+ 1] </t>
    </r>
    <phoneticPr fontId="28" type="noConversion"/>
  </si>
  <si>
    <t>Table 7.2.11. Checking top flange stress</t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</si>
  <si>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+f</t>
    </r>
    <r>
      <rPr>
        <vertAlign val="subscript"/>
        <sz val="9"/>
        <rFont val="맑은 고딕"/>
        <family val="3"/>
        <charset val="129"/>
      </rPr>
      <t>ℓ</t>
    </r>
    <phoneticPr fontId="28" type="noConversion"/>
  </si>
  <si>
    <r>
      <rPr>
        <sz val="9"/>
        <rFont val="Calibri"/>
        <family val="3"/>
        <charset val="161"/>
      </rP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8" type="noConversion"/>
  </si>
  <si>
    <t>분류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</si>
  <si>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</si>
  <si>
    <t>검토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</si>
  <si>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</si>
  <si>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ℓ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</si>
  <si>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+f</t>
    </r>
    <r>
      <rPr>
        <vertAlign val="subscript"/>
        <sz val="9"/>
        <rFont val="맑은 고딕"/>
        <family val="3"/>
        <charset val="129"/>
      </rPr>
      <t>ℓ</t>
    </r>
    <r>
      <rPr>
        <sz val="9"/>
        <rFont val="맑은 고딕"/>
        <family val="3"/>
        <charset val="129"/>
      </rPr>
      <t>/3</t>
    </r>
    <phoneticPr fontId="28" type="noConversion"/>
  </si>
  <si>
    <r>
      <rPr>
        <sz val="9"/>
        <rFont val="Calibri"/>
        <family val="3"/>
        <charset val="161"/>
      </rP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Calibri"/>
        <family val="3"/>
      </rPr>
      <t>n</t>
    </r>
    <r>
      <rPr>
        <vertAlign val="subscript"/>
        <sz val="9"/>
        <rFont val="맑은 고딕"/>
        <family val="3"/>
        <charset val="129"/>
      </rPr>
      <t>c</t>
    </r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</si>
  <si>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</si>
  <si>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r>
      <t>Table 7.1.8.  Summarizes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and F</t>
    </r>
    <r>
      <rPr>
        <i/>
        <vertAlign val="subscript"/>
        <sz val="9"/>
        <rFont val="맑은 고딕"/>
        <family val="3"/>
        <charset val="129"/>
      </rPr>
      <t>nt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</si>
  <si>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>/OF</t>
    </r>
    <phoneticPr fontId="32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</si>
  <si>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>/BF</t>
    </r>
    <phoneticPr fontId="32" type="noConversion"/>
  </si>
  <si>
    <t>Compression</t>
    <phoneticPr fontId="28" type="noConversion"/>
  </si>
  <si>
    <t>Tension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</si>
  <si>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yt</t>
    </r>
    <phoneticPr fontId="28" type="noConversion"/>
  </si>
  <si>
    <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</si>
  <si>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nt</t>
    </r>
    <phoneticPr fontId="28" type="noConversion"/>
  </si>
  <si>
    <t>Table 7.1.9. Checking top flange stress</t>
    <phoneticPr fontId="32" type="noConversion"/>
  </si>
  <si>
    <r>
      <rPr>
        <sz val="9"/>
        <rFont val="Calibri"/>
        <family val="3"/>
        <charset val="161"/>
      </rP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Calibri"/>
        <family val="3"/>
      </rPr>
      <t>nt</t>
    </r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</si>
  <si>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nt</t>
    </r>
    <phoneticPr fontId="32" type="noConversion"/>
  </si>
  <si>
    <t>Table 7.1.10. Checking bottom flange stress</t>
    <phoneticPr fontId="32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</si>
  <si>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8" type="noConversion"/>
  </si>
  <si>
    <t>Ratio</t>
    <phoneticPr fontId="28" type="noConversion"/>
  </si>
  <si>
    <t>Table 7.1.11. Checking web bend-buckling resistance</t>
    <phoneticPr fontId="32" type="noConversion"/>
  </si>
  <si>
    <t>Table 7.1.12. Checking web shear</t>
    <phoneticPr fontId="32" type="noConversion"/>
  </si>
  <si>
    <t>Joint</t>
  </si>
  <si>
    <t>Label</t>
  </si>
  <si>
    <t>bleft</t>
  </si>
  <si>
    <t>bright</t>
  </si>
  <si>
    <t>aleft</t>
  </si>
  <si>
    <t>aright</t>
  </si>
  <si>
    <t>Leff</t>
  </si>
  <si>
    <t>X</t>
  </si>
  <si>
    <t>Fyweb</t>
  </si>
  <si>
    <t>Fyr</t>
  </si>
  <si>
    <t>Dc</t>
  </si>
  <si>
    <t>Dc1</t>
  </si>
  <si>
    <t>T1</t>
  </si>
  <si>
    <t>T2</t>
  </si>
  <si>
    <t>T3</t>
  </si>
  <si>
    <t>Slender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</si>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</sst>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_-;\-* #,##0_-;_-* &quot;-&quot;_-;_-@_-"/>
    <numFmt numFmtId="165" formatCode="&quot;x&quot;#"/>
    <numFmt numFmtId="166" formatCode="0.0000000"/>
    <numFmt numFmtId="167" formatCode="0.0"/>
    <numFmt numFmtId="168" formatCode="0.000"/>
    <numFmt numFmtId="169" formatCode="0.E+00"/>
    <numFmt numFmtId="170" formatCode="_-* #,##0.0_-;\-* #,##0.0_-;_-* &quot;-&quot;??_-;_-@_-"/>
    <numFmt numFmtId="171" formatCode="0_);[Red]\(0\)"/>
    <numFmt numFmtId="172" formatCode="0.0E+00"/>
    <numFmt numFmtId="173" formatCode="0.0.E+00"/>
    <numFmt numFmtId="174" formatCode="0.000E+00"/>
  </numFmts>
  <fonts count="69">
    <font>
      <sz val="11"/>
      <color theme="1"/>
      <name val="Calibri"/>
      <family val="2"/>
      <scheme val="minor"/>
    </font>
    <font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b/>
      <sz val="14"/>
      <color theme="8" tint="-0.499984740745262"/>
      <name val="맑은 고딕"/>
      <family val="3"/>
      <charset val="129"/>
    </font>
    <font>
      <b/>
      <sz val="9"/>
      <color theme="4" tint="-0.249977111117893"/>
      <name val="맑은 고딕"/>
      <family val="3"/>
      <charset val="129"/>
    </font>
    <font>
      <b/>
      <sz val="12"/>
      <color theme="8" tint="-0.499984740745262"/>
      <name val="맑은 고딕"/>
      <family val="3"/>
      <charset val="129"/>
    </font>
    <font>
      <sz val="9"/>
      <name val="Symbol"/>
      <family val="1"/>
      <charset val="2"/>
    </font>
    <font>
      <sz val="9"/>
      <color rgb="FFFF0000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i/>
      <sz val="9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b/>
      <sz val="10"/>
      <color theme="4" tint="-0.249977111117893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sz val="9"/>
      <name val="맑은 고딕"/>
      <family val="1"/>
      <charset val="2"/>
    </font>
    <font>
      <vertAlign val="superscript"/>
      <sz val="9"/>
      <name val="맑은 고딕"/>
      <family val="3"/>
      <charset val="129"/>
    </font>
    <font>
      <sz val="9.5500000000000007"/>
      <name val="맑은 고딕"/>
      <family val="3"/>
      <charset val="129"/>
    </font>
    <font>
      <sz val="9"/>
      <name val="Calibri"/>
      <family val="3"/>
      <charset val="161"/>
    </font>
    <font>
      <sz val="9"/>
      <name val="맑은 고딕"/>
      <family val="3"/>
      <charset val="161"/>
    </font>
    <font>
      <sz val="9"/>
      <name val="Calibri"/>
      <family val="3"/>
    </font>
    <font>
      <vertAlign val="subscript"/>
      <sz val="9"/>
      <name val="Calibri"/>
      <family val="2"/>
    </font>
    <font>
      <sz val="9"/>
      <color theme="4" tint="-0.249977111117893"/>
      <name val="맑은 고딕"/>
      <family val="3"/>
      <charset val="129"/>
    </font>
    <font>
      <sz val="8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color indexed="81"/>
      <name val="Tahoma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b/>
      <sz val="8"/>
      <color rgb="FFFF0000"/>
      <name val="맑은 고딕"/>
      <family val="3"/>
      <charset val="129"/>
    </font>
    <font>
      <sz val="9"/>
      <color indexed="81"/>
      <name val="Tahoma"/>
      <family val="2"/>
    </font>
    <font>
      <sz val="8"/>
      <name val="돋움"/>
      <family val="3"/>
      <charset val="129"/>
    </font>
    <font>
      <sz val="9"/>
      <color indexed="8"/>
      <name val="맑은 고딕"/>
      <family val="3"/>
      <charset val="129"/>
    </font>
    <font>
      <sz val="7"/>
      <color theme="8" tint="-0.249977111117893"/>
      <name val="맑은 고딕"/>
      <family val="3"/>
      <charset val="129"/>
    </font>
    <font>
      <sz val="9"/>
      <name val="Calibri Light"/>
      <family val="3"/>
      <charset val="129"/>
      <scheme val="major"/>
    </font>
    <font>
      <vertAlign val="subscript"/>
      <sz val="9"/>
      <name val="Calibri Light"/>
      <family val="3"/>
      <charset val="129"/>
      <scheme val="major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i/>
      <vertAlign val="subscript"/>
      <sz val="9"/>
      <name val="맑은 고딕"/>
      <family val="3"/>
      <charset val="129"/>
    </font>
    <font>
      <b/>
      <sz val="9"/>
      <name val="Calibri"/>
      <family val="3"/>
      <charset val="161"/>
    </font>
    <font>
      <b/>
      <i/>
      <sz val="9"/>
      <name val="맑은 고딕"/>
      <family val="3"/>
      <charset val="129"/>
    </font>
    <font>
      <vertAlign val="superscript"/>
      <sz val="9.5500000000000007"/>
      <name val="맑은 고딕"/>
      <family val="3"/>
      <charset val="129"/>
    </font>
    <font>
      <sz val="9"/>
      <color theme="1"/>
      <name val="Calibri Light"/>
      <family val="3"/>
      <charset val="129"/>
      <scheme val="major"/>
    </font>
    <font>
      <sz val="9"/>
      <name val="Calibri Light"/>
      <family val="3"/>
      <charset val="161"/>
      <scheme val="major"/>
    </font>
    <font>
      <vertAlign val="subscript"/>
      <sz val="9"/>
      <color theme="1"/>
      <name val="Calibri Light"/>
      <family val="3"/>
      <charset val="129"/>
      <scheme val="major"/>
    </font>
    <font>
      <vertAlign val="superscript"/>
      <sz val="9"/>
      <name val="Calibri Light"/>
      <family val="3"/>
      <charset val="129"/>
      <scheme val="major"/>
    </font>
    <font>
      <b/>
      <sz val="11"/>
      <color rgb="FFFF0000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8"/>
      <color rgb="FF0000FF"/>
      <name val="맑은 고딕"/>
      <family val="3"/>
      <charset val="129"/>
    </font>
    <font>
      <b/>
      <vertAlign val="subscript"/>
      <sz val="9"/>
      <name val="Calibri Light"/>
      <family val="3"/>
      <charset val="129"/>
      <scheme val="major"/>
    </font>
    <font>
      <b/>
      <sz val="9"/>
      <name val="Symbol"/>
      <family val="1"/>
      <charset val="2"/>
    </font>
    <font>
      <sz val="11"/>
      <name val="Calibri"/>
      <family val="3"/>
      <charset val="129"/>
      <scheme val="minor"/>
    </font>
    <font>
      <b/>
      <vertAlign val="subscript"/>
      <sz val="9"/>
      <color theme="4" tint="-0.249977111117893"/>
      <name val="맑은 고딕"/>
      <family val="3"/>
      <charset val="129"/>
    </font>
    <font>
      <i/>
      <sz val="9"/>
      <name val="Calibri Light"/>
      <family val="3"/>
      <charset val="129"/>
      <scheme val="major"/>
    </font>
    <font>
      <sz val="9"/>
      <name val="Cambria Math"/>
      <family val="3"/>
    </font>
    <font>
      <sz val="9"/>
      <name val="Segoe UI Symbol"/>
      <family val="3"/>
    </font>
    <font>
      <sz val="9"/>
      <name val="맑은 고딕"/>
      <family val="3"/>
      <charset val="2"/>
    </font>
    <font>
      <vertAlign val="subscript"/>
      <sz val="8"/>
      <name val="맑은 고딕"/>
      <family val="3"/>
      <charset val="129"/>
    </font>
    <font>
      <b/>
      <sz val="9"/>
      <name val="맑은 고딕"/>
      <family val="3"/>
      <charset val="161"/>
    </font>
    <font>
      <sz val="8.65"/>
      <name val="맑은 고딕"/>
      <family val="3"/>
      <charset val="129"/>
    </font>
    <font>
      <vertAlign val="subscript"/>
      <sz val="8.65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Calibri"/>
      <family val="1"/>
      <charset val="161"/>
    </font>
    <font>
      <sz val="9"/>
      <color rgb="FF002060"/>
      <name val="맑은 고딕"/>
      <family val="3"/>
      <charset val="129"/>
    </font>
    <font>
      <vertAlign val="subscript"/>
      <sz val="9"/>
      <color rgb="FF002060"/>
      <name val="맑은 고딕"/>
      <family val="3"/>
      <charset val="129"/>
    </font>
    <font>
      <vertAlign val="superscript"/>
      <sz val="9"/>
      <color rgb="FF002060"/>
      <name val="맑은 고딕"/>
      <family val="3"/>
      <charset val="129"/>
    </font>
    <font>
      <sz val="8"/>
      <color rgb="FFFF0000"/>
      <name val="맑은 고딕"/>
      <family val="3"/>
      <charset val="129"/>
    </font>
    <font>
      <vertAlign val="subscript"/>
      <sz val="9"/>
      <name val="Calibri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29" fillId="0" borderId="0" applyFont="0" applyFill="0" applyBorder="0" applyAlignment="0" applyProtection="0">
      <alignment vertical="center"/>
    </xf>
    <xf numFmtId="0" fontId="29" fillId="0" borderId="0"/>
    <xf numFmtId="164" fontId="29" fillId="0" borderId="0" applyFont="0" applyFill="0" applyBorder="0" applyAlignment="0" applyProtection="0">
      <alignment vertical="center"/>
    </xf>
  </cellStyleXfs>
  <cellXfs count="68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165" fontId="9" fillId="0" borderId="4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1" fillId="0" borderId="0" xfId="0" quotePrefix="1" applyFont="1" applyAlignment="1">
      <alignment vertical="center"/>
    </xf>
    <xf numFmtId="0" fontId="1" fillId="0" borderId="6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3" fillId="0" borderId="5" xfId="0" quotePrefix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6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6" fontId="1" fillId="0" borderId="0" xfId="0" applyNumberFormat="1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166" fontId="1" fillId="0" borderId="13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7" fontId="8" fillId="0" borderId="0" xfId="0" applyNumberFormat="1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9" fontId="25" fillId="0" borderId="3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30" fillId="0" borderId="0" xfId="0" applyFont="1" applyFill="1" applyAlignment="1">
      <alignment horizontal="right" vertical="center"/>
    </xf>
    <xf numFmtId="0" fontId="30" fillId="0" borderId="0" xfId="0" applyFont="1" applyFill="1" applyAlignment="1">
      <alignment vertical="center"/>
    </xf>
    <xf numFmtId="0" fontId="30" fillId="0" borderId="0" xfId="0" quotePrefix="1" applyFont="1" applyFill="1" applyAlignment="1">
      <alignment vertical="center"/>
    </xf>
    <xf numFmtId="0" fontId="0" fillId="0" borderId="0" xfId="0" applyBorder="1"/>
    <xf numFmtId="0" fontId="1" fillId="3" borderId="1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vertical="center"/>
    </xf>
    <xf numFmtId="0" fontId="0" fillId="0" borderId="4" xfId="0" applyBorder="1"/>
    <xf numFmtId="0" fontId="9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Border="1"/>
    <xf numFmtId="0" fontId="1" fillId="0" borderId="5" xfId="0" quotePrefix="1" applyFont="1" applyBorder="1" applyAlignment="1">
      <alignment vertical="center"/>
    </xf>
    <xf numFmtId="0" fontId="0" fillId="0" borderId="9" xfId="0" applyBorder="1"/>
    <xf numFmtId="0" fontId="0" fillId="0" borderId="34" xfId="0" applyBorder="1"/>
    <xf numFmtId="0" fontId="1" fillId="0" borderId="17" xfId="0" quotePrefix="1" applyFont="1" applyBorder="1" applyAlignment="1">
      <alignment vertical="center"/>
    </xf>
    <xf numFmtId="0" fontId="0" fillId="0" borderId="17" xfId="0" applyBorder="1"/>
    <xf numFmtId="0" fontId="1" fillId="0" borderId="3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2" fillId="0" borderId="35" xfId="0" applyFont="1" applyBorder="1" applyAlignment="1">
      <alignment horizontal="right" vertical="center"/>
    </xf>
    <xf numFmtId="0" fontId="0" fillId="0" borderId="36" xfId="0" applyBorder="1"/>
    <xf numFmtId="0" fontId="0" fillId="0" borderId="37" xfId="0" applyBorder="1"/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165" fontId="9" fillId="0" borderId="37" xfId="0" applyNumberFormat="1" applyFont="1" applyBorder="1" applyAlignment="1">
      <alignment horizontal="left" vertical="center"/>
    </xf>
    <xf numFmtId="0" fontId="1" fillId="0" borderId="36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0" fontId="0" fillId="0" borderId="0" xfId="0" applyAlignment="1">
      <alignment vertical="center"/>
    </xf>
    <xf numFmtId="170" fontId="1" fillId="0" borderId="0" xfId="0" applyNumberFormat="1" applyFont="1" applyAlignment="1">
      <alignment vertical="center"/>
    </xf>
    <xf numFmtId="170" fontId="1" fillId="3" borderId="15" xfId="0" applyNumberFormat="1" applyFont="1" applyFill="1" applyBorder="1" applyAlignment="1">
      <alignment vertical="center"/>
    </xf>
    <xf numFmtId="170" fontId="1" fillId="0" borderId="7" xfId="0" applyNumberFormat="1" applyFont="1" applyBorder="1" applyAlignment="1">
      <alignment vertical="center"/>
    </xf>
    <xf numFmtId="168" fontId="1" fillId="0" borderId="0" xfId="0" applyNumberFormat="1" applyFont="1" applyAlignment="1">
      <alignment vertical="center"/>
    </xf>
    <xf numFmtId="164" fontId="1" fillId="0" borderId="0" xfId="1" applyFont="1" applyAlignment="1">
      <alignment vertical="center"/>
    </xf>
    <xf numFmtId="0" fontId="34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right" vertical="center"/>
    </xf>
    <xf numFmtId="0" fontId="1" fillId="0" borderId="39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167" fontId="1" fillId="0" borderId="39" xfId="0" applyNumberFormat="1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right" vertical="center"/>
    </xf>
    <xf numFmtId="0" fontId="9" fillId="0" borderId="40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35" fillId="0" borderId="39" xfId="0" applyFont="1" applyBorder="1" applyAlignment="1">
      <alignment vertical="center"/>
    </xf>
    <xf numFmtId="0" fontId="1" fillId="0" borderId="7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0" fillId="0" borderId="40" xfId="0" applyBorder="1"/>
    <xf numFmtId="0" fontId="20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2" fontId="25" fillId="0" borderId="29" xfId="0" applyNumberFormat="1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1" fillId="0" borderId="43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46" xfId="0" quotePrefix="1" applyFont="1" applyBorder="1" applyAlignment="1">
      <alignment horizontal="right" vertical="center"/>
    </xf>
    <xf numFmtId="0" fontId="1" fillId="0" borderId="47" xfId="0" applyFont="1" applyBorder="1" applyAlignment="1">
      <alignment vertical="center"/>
    </xf>
    <xf numFmtId="0" fontId="33" fillId="0" borderId="35" xfId="0" applyFont="1" applyBorder="1" applyAlignment="1">
      <alignment horizontal="right" vertical="center"/>
    </xf>
    <xf numFmtId="0" fontId="1" fillId="0" borderId="48" xfId="0" applyFont="1" applyBorder="1" applyAlignment="1">
      <alignment vertical="center"/>
    </xf>
    <xf numFmtId="167" fontId="1" fillId="0" borderId="10" xfId="0" applyNumberFormat="1" applyFont="1" applyBorder="1" applyAlignment="1">
      <alignment horizontal="center" vertical="center"/>
    </xf>
    <xf numFmtId="0" fontId="33" fillId="0" borderId="11" xfId="0" quotePrefix="1" applyFont="1" applyBorder="1" applyAlignment="1">
      <alignment horizontal="right" vertical="center"/>
    </xf>
    <xf numFmtId="0" fontId="13" fillId="0" borderId="0" xfId="0" quotePrefix="1" applyFont="1" applyAlignment="1">
      <alignment vertical="center"/>
    </xf>
    <xf numFmtId="0" fontId="1" fillId="3" borderId="26" xfId="0" quotePrefix="1" applyFont="1" applyFill="1" applyBorder="1" applyAlignment="1">
      <alignment horizontal="center" vertical="center"/>
    </xf>
    <xf numFmtId="0" fontId="1" fillId="3" borderId="27" xfId="0" quotePrefix="1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9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7" xfId="0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0" fillId="3" borderId="23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0" fontId="35" fillId="0" borderId="7" xfId="0" applyFont="1" applyBorder="1" applyAlignment="1">
      <alignment vertical="center"/>
    </xf>
    <xf numFmtId="0" fontId="35" fillId="0" borderId="41" xfId="0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vertical="center"/>
    </xf>
    <xf numFmtId="0" fontId="0" fillId="0" borderId="18" xfId="0" applyBorder="1"/>
    <xf numFmtId="0" fontId="1" fillId="0" borderId="40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44" fillId="0" borderId="0" xfId="0" applyFont="1" applyAlignment="1">
      <alignment vertical="center"/>
    </xf>
    <xf numFmtId="0" fontId="47" fillId="0" borderId="0" xfId="0" applyFont="1"/>
    <xf numFmtId="0" fontId="25" fillId="0" borderId="33" xfId="0" applyNumberFormat="1" applyFont="1" applyBorder="1" applyAlignment="1">
      <alignment vertical="center"/>
    </xf>
    <xf numFmtId="172" fontId="25" fillId="0" borderId="29" xfId="0" applyNumberFormat="1" applyFont="1" applyBorder="1" applyAlignment="1">
      <alignment vertical="center"/>
    </xf>
    <xf numFmtId="172" fontId="25" fillId="0" borderId="33" xfId="0" applyNumberFormat="1" applyFont="1" applyBorder="1" applyAlignment="1">
      <alignment vertical="center"/>
    </xf>
    <xf numFmtId="0" fontId="25" fillId="0" borderId="28" xfId="0" applyFont="1" applyFill="1" applyBorder="1" applyAlignment="1">
      <alignment vertical="center"/>
    </xf>
    <xf numFmtId="0" fontId="48" fillId="0" borderId="29" xfId="0" applyFont="1" applyFill="1" applyBorder="1" applyAlignment="1">
      <alignment vertical="center"/>
    </xf>
    <xf numFmtId="168" fontId="25" fillId="0" borderId="29" xfId="0" applyNumberFormat="1" applyFont="1" applyFill="1" applyBorder="1" applyAlignment="1">
      <alignment vertical="center"/>
    </xf>
    <xf numFmtId="2" fontId="25" fillId="0" borderId="29" xfId="0" applyNumberFormat="1" applyFont="1" applyFill="1" applyBorder="1" applyAlignment="1">
      <alignment vertical="center"/>
    </xf>
    <xf numFmtId="0" fontId="25" fillId="0" borderId="29" xfId="0" applyFont="1" applyFill="1" applyBorder="1" applyAlignment="1">
      <alignment vertical="center"/>
    </xf>
    <xf numFmtId="168" fontId="25" fillId="0" borderId="30" xfId="0" applyNumberFormat="1" applyFont="1" applyFill="1" applyBorder="1" applyAlignment="1">
      <alignment vertical="center"/>
    </xf>
    <xf numFmtId="0" fontId="25" fillId="0" borderId="28" xfId="0" applyFont="1" applyBorder="1" applyAlignment="1">
      <alignment vertical="center"/>
    </xf>
    <xf numFmtId="167" fontId="25" fillId="0" borderId="29" xfId="0" applyNumberFormat="1" applyFont="1" applyFill="1" applyBorder="1" applyAlignment="1">
      <alignment vertical="center"/>
    </xf>
    <xf numFmtId="167" fontId="25" fillId="0" borderId="29" xfId="0" applyNumberFormat="1" applyFont="1" applyBorder="1" applyAlignment="1">
      <alignment vertical="center"/>
    </xf>
    <xf numFmtId="169" fontId="25" fillId="0" borderId="29" xfId="0" applyNumberFormat="1" applyFont="1" applyBorder="1" applyAlignment="1">
      <alignment vertical="center"/>
    </xf>
    <xf numFmtId="2" fontId="49" fillId="0" borderId="30" xfId="0" applyNumberFormat="1" applyFont="1" applyFill="1" applyBorder="1" applyAlignment="1">
      <alignment vertical="center"/>
    </xf>
    <xf numFmtId="172" fontId="48" fillId="0" borderId="29" xfId="0" applyNumberFormat="1" applyFont="1" applyFill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33" xfId="0" applyFont="1" applyFill="1" applyBorder="1" applyAlignment="1">
      <alignment vertical="center"/>
    </xf>
    <xf numFmtId="0" fontId="25" fillId="0" borderId="33" xfId="0" applyFont="1" applyBorder="1" applyAlignment="1">
      <alignment vertical="center"/>
    </xf>
    <xf numFmtId="171" fontId="25" fillId="0" borderId="33" xfId="0" applyNumberFormat="1" applyFont="1" applyFill="1" applyBorder="1" applyAlignment="1">
      <alignment vertical="center"/>
    </xf>
    <xf numFmtId="167" fontId="25" fillId="0" borderId="33" xfId="0" applyNumberFormat="1" applyFont="1" applyBorder="1" applyAlignment="1">
      <alignment vertical="center"/>
    </xf>
    <xf numFmtId="2" fontId="25" fillId="0" borderId="33" xfId="0" applyNumberFormat="1" applyFont="1" applyBorder="1" applyAlignment="1">
      <alignment vertical="center"/>
    </xf>
    <xf numFmtId="0" fontId="25" fillId="0" borderId="33" xfId="0" applyNumberFormat="1" applyFont="1" applyFill="1" applyBorder="1" applyAlignment="1">
      <alignment vertical="center"/>
    </xf>
    <xf numFmtId="2" fontId="25" fillId="0" borderId="30" xfId="0" applyNumberFormat="1" applyFont="1" applyBorder="1" applyAlignment="1">
      <alignment vertical="center"/>
    </xf>
    <xf numFmtId="2" fontId="25" fillId="0" borderId="29" xfId="0" applyNumberFormat="1" applyFont="1" applyBorder="1" applyAlignment="1">
      <alignment horizontal="center" vertical="center"/>
    </xf>
    <xf numFmtId="167" fontId="25" fillId="0" borderId="33" xfId="0" applyNumberFormat="1" applyFont="1" applyFill="1" applyBorder="1" applyAlignment="1">
      <alignment vertical="center"/>
    </xf>
    <xf numFmtId="171" fontId="25" fillId="0" borderId="33" xfId="0" applyNumberFormat="1" applyFont="1" applyBorder="1" applyAlignment="1">
      <alignment vertical="center"/>
    </xf>
    <xf numFmtId="2" fontId="25" fillId="0" borderId="33" xfId="0" applyNumberFormat="1" applyFont="1" applyFill="1" applyBorder="1" applyAlignment="1">
      <alignment vertical="center"/>
    </xf>
    <xf numFmtId="0" fontId="25" fillId="0" borderId="29" xfId="0" applyFont="1" applyBorder="1" applyAlignment="1">
      <alignment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49" fillId="0" borderId="29" xfId="0" applyNumberFormat="1" applyFont="1" applyBorder="1" applyAlignment="1">
      <alignment vertical="center"/>
    </xf>
    <xf numFmtId="2" fontId="49" fillId="0" borderId="29" xfId="0" applyNumberFormat="1" applyFont="1" applyBorder="1" applyAlignment="1">
      <alignment horizontal="center" vertical="center"/>
    </xf>
    <xf numFmtId="1" fontId="25" fillId="0" borderId="28" xfId="0" applyNumberFormat="1" applyFont="1" applyBorder="1" applyAlignment="1">
      <alignment vertical="center"/>
    </xf>
    <xf numFmtId="2" fontId="49" fillId="0" borderId="30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center" vertical="center"/>
    </xf>
    <xf numFmtId="0" fontId="29" fillId="0" borderId="0" xfId="2"/>
    <xf numFmtId="0" fontId="2" fillId="2" borderId="0" xfId="2" quotePrefix="1" applyFont="1" applyFill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4" fillId="5" borderId="0" xfId="2" applyFont="1" applyFill="1" applyAlignment="1">
      <alignment horizontal="left" vertical="center"/>
    </xf>
    <xf numFmtId="0" fontId="1" fillId="5" borderId="0" xfId="2" applyFont="1" applyFill="1" applyAlignment="1">
      <alignment vertical="center"/>
    </xf>
    <xf numFmtId="0" fontId="2" fillId="0" borderId="0" xfId="2" quotePrefix="1" applyFont="1" applyAlignment="1">
      <alignment vertical="center"/>
    </xf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quotePrefix="1" applyFont="1" applyAlignment="1">
      <alignment vertical="center"/>
    </xf>
    <xf numFmtId="0" fontId="7" fillId="0" borderId="0" xfId="2" applyFont="1" applyAlignment="1">
      <alignment horizontal="right" vertical="center"/>
    </xf>
    <xf numFmtId="0" fontId="9" fillId="0" borderId="0" xfId="2" quotePrefix="1" applyFont="1" applyAlignment="1">
      <alignment horizontal="left" vertical="center"/>
    </xf>
    <xf numFmtId="0" fontId="9" fillId="0" borderId="1" xfId="2" applyFont="1" applyBorder="1" applyAlignment="1">
      <alignment vertical="center"/>
    </xf>
    <xf numFmtId="0" fontId="1" fillId="0" borderId="2" xfId="2" applyFont="1" applyBorder="1" applyAlignment="1">
      <alignment vertical="center"/>
    </xf>
    <xf numFmtId="0" fontId="1" fillId="0" borderId="2" xfId="2" applyFont="1" applyBorder="1" applyAlignment="1">
      <alignment horizontal="center" vertical="center"/>
    </xf>
    <xf numFmtId="0" fontId="1" fillId="0" borderId="3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1" fillId="0" borderId="0" xfId="2" quotePrefix="1" applyFont="1" applyAlignment="1">
      <alignment vertical="center"/>
    </xf>
    <xf numFmtId="0" fontId="9" fillId="0" borderId="0" xfId="2" applyFont="1" applyAlignment="1">
      <alignment vertical="center"/>
    </xf>
    <xf numFmtId="0" fontId="33" fillId="0" borderId="0" xfId="2" applyFont="1" applyAlignment="1">
      <alignment horizontal="right" vertical="center"/>
    </xf>
    <xf numFmtId="0" fontId="1" fillId="0" borderId="5" xfId="2" applyFont="1" applyBorder="1" applyAlignment="1">
      <alignment vertical="center"/>
    </xf>
    <xf numFmtId="0" fontId="30" fillId="0" borderId="0" xfId="2" applyFont="1" applyAlignment="1">
      <alignment horizontal="right" vertical="center"/>
    </xf>
    <xf numFmtId="0" fontId="10" fillId="0" borderId="6" xfId="2" applyFont="1" applyBorder="1" applyAlignment="1">
      <alignment vertical="center"/>
    </xf>
    <xf numFmtId="0" fontId="1" fillId="0" borderId="7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8" xfId="2" applyFont="1" applyBorder="1" applyAlignment="1">
      <alignment vertical="center"/>
    </xf>
    <xf numFmtId="0" fontId="9" fillId="0" borderId="44" xfId="2" applyFont="1" applyBorder="1" applyAlignment="1">
      <alignment vertical="center"/>
    </xf>
    <xf numFmtId="0" fontId="14" fillId="0" borderId="0" xfId="2" applyFont="1" applyAlignment="1">
      <alignment vertical="center"/>
    </xf>
    <xf numFmtId="0" fontId="1" fillId="0" borderId="4" xfId="2" applyFont="1" applyBorder="1" applyAlignment="1">
      <alignment vertical="center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1" fillId="0" borderId="7" xfId="2" quotePrefix="1" applyFont="1" applyBorder="1" applyAlignment="1">
      <alignment vertical="center"/>
    </xf>
    <xf numFmtId="0" fontId="33" fillId="0" borderId="7" xfId="2" applyFont="1" applyBorder="1" applyAlignment="1">
      <alignment horizontal="right" vertical="center"/>
    </xf>
    <xf numFmtId="165" fontId="9" fillId="0" borderId="4" xfId="2" applyNumberFormat="1" applyFont="1" applyBorder="1" applyAlignment="1">
      <alignment horizontal="left" vertical="center"/>
    </xf>
    <xf numFmtId="0" fontId="9" fillId="0" borderId="4" xfId="2" applyFont="1" applyBorder="1" applyAlignment="1">
      <alignment vertical="center"/>
    </xf>
    <xf numFmtId="0" fontId="1" fillId="0" borderId="6" xfId="2" applyFont="1" applyBorder="1" applyAlignment="1">
      <alignment vertical="center"/>
    </xf>
    <xf numFmtId="0" fontId="1" fillId="0" borderId="9" xfId="2" applyFont="1" applyBorder="1" applyAlignment="1">
      <alignment vertical="center"/>
    </xf>
    <xf numFmtId="0" fontId="1" fillId="0" borderId="10" xfId="2" applyFont="1" applyBorder="1" applyAlignment="1">
      <alignment vertical="center"/>
    </xf>
    <xf numFmtId="166" fontId="1" fillId="0" borderId="10" xfId="2" applyNumberFormat="1" applyFont="1" applyBorder="1" applyAlignment="1">
      <alignment vertical="center"/>
    </xf>
    <xf numFmtId="0" fontId="1" fillId="0" borderId="10" xfId="2" applyFont="1" applyBorder="1" applyAlignment="1">
      <alignment horizontal="center" vertical="center"/>
    </xf>
    <xf numFmtId="0" fontId="1" fillId="0" borderId="11" xfId="2" applyFont="1" applyBorder="1" applyAlignment="1">
      <alignment vertical="center"/>
    </xf>
    <xf numFmtId="0" fontId="9" fillId="0" borderId="0" xfId="2" quotePrefix="1" applyFont="1" applyAlignment="1">
      <alignment vertical="center"/>
    </xf>
    <xf numFmtId="166" fontId="1" fillId="0" borderId="0" xfId="2" applyNumberFormat="1" applyFont="1" applyAlignment="1">
      <alignment vertical="center"/>
    </xf>
    <xf numFmtId="0" fontId="9" fillId="0" borderId="0" xfId="2" applyFont="1" applyAlignment="1">
      <alignment horizontal="left" vertical="center"/>
    </xf>
    <xf numFmtId="164" fontId="1" fillId="0" borderId="0" xfId="3" applyFont="1" applyAlignment="1">
      <alignment vertical="center"/>
    </xf>
    <xf numFmtId="164" fontId="9" fillId="0" borderId="0" xfId="3" applyFont="1" applyAlignment="1">
      <alignment vertical="center"/>
    </xf>
    <xf numFmtId="0" fontId="34" fillId="0" borderId="0" xfId="2" applyFont="1" applyAlignment="1">
      <alignment horizontal="right" vertical="center"/>
    </xf>
    <xf numFmtId="0" fontId="51" fillId="3" borderId="15" xfId="2" applyFont="1" applyFill="1" applyBorder="1" applyAlignment="1">
      <alignment horizontal="right" vertical="center"/>
    </xf>
    <xf numFmtId="0" fontId="9" fillId="3" borderId="15" xfId="2" applyFont="1" applyFill="1" applyBorder="1" applyAlignment="1">
      <alignment vertical="center"/>
    </xf>
    <xf numFmtId="0" fontId="1" fillId="3" borderId="15" xfId="2" applyFont="1" applyFill="1" applyBorder="1" applyAlignment="1">
      <alignment vertical="center"/>
    </xf>
    <xf numFmtId="0" fontId="1" fillId="0" borderId="16" xfId="2" quotePrefix="1" applyFont="1" applyBorder="1" applyAlignment="1">
      <alignment vertical="center"/>
    </xf>
    <xf numFmtId="0" fontId="1" fillId="0" borderId="16" xfId="2" applyFont="1" applyBorder="1" applyAlignment="1">
      <alignment vertical="center"/>
    </xf>
    <xf numFmtId="0" fontId="1" fillId="0" borderId="16" xfId="2" applyFont="1" applyBorder="1" applyAlignment="1">
      <alignment horizontal="center" vertical="center"/>
    </xf>
    <xf numFmtId="0" fontId="7" fillId="0" borderId="7" xfId="2" applyFont="1" applyBorder="1" applyAlignment="1">
      <alignment horizontal="right" vertical="center"/>
    </xf>
    <xf numFmtId="0" fontId="1" fillId="3" borderId="7" xfId="2" applyFont="1" applyFill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7" xfId="2" quotePrefix="1" applyFont="1" applyBorder="1" applyAlignment="1">
      <alignment horizontal="centerContinuous" vertical="center"/>
    </xf>
    <xf numFmtId="0" fontId="1" fillId="0" borderId="7" xfId="2" applyFont="1" applyBorder="1" applyAlignment="1">
      <alignment horizontal="centerContinuous" vertical="center"/>
    </xf>
    <xf numFmtId="0" fontId="1" fillId="0" borderId="0" xfId="2" applyFont="1" applyAlignment="1">
      <alignment horizontal="centerContinuous" vertical="center"/>
    </xf>
    <xf numFmtId="0" fontId="1" fillId="3" borderId="1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32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52" fillId="0" borderId="0" xfId="0" applyFont="1"/>
    <xf numFmtId="0" fontId="25" fillId="0" borderId="33" xfId="0" applyFont="1" applyBorder="1" applyAlignment="1">
      <alignment horizontal="center" vertical="center"/>
    </xf>
    <xf numFmtId="0" fontId="25" fillId="0" borderId="30" xfId="0" applyFont="1" applyBorder="1" applyAlignment="1">
      <alignment vertical="center"/>
    </xf>
    <xf numFmtId="9" fontId="25" fillId="0" borderId="30" xfId="0" applyNumberFormat="1" applyFont="1" applyBorder="1" applyAlignment="1">
      <alignment vertical="center"/>
    </xf>
    <xf numFmtId="0" fontId="1" fillId="3" borderId="0" xfId="2" applyFont="1" applyFill="1" applyAlignment="1">
      <alignment vertical="center"/>
    </xf>
    <xf numFmtId="0" fontId="25" fillId="3" borderId="24" xfId="0" applyFont="1" applyFill="1" applyBorder="1" applyAlignment="1">
      <alignment vertical="center"/>
    </xf>
    <xf numFmtId="0" fontId="1" fillId="3" borderId="42" xfId="0" applyFont="1" applyFill="1" applyBorder="1" applyAlignment="1">
      <alignment vertical="center"/>
    </xf>
    <xf numFmtId="167" fontId="25" fillId="0" borderId="30" xfId="0" applyNumberFormat="1" applyFont="1" applyBorder="1" applyAlignment="1">
      <alignment vertical="center"/>
    </xf>
    <xf numFmtId="2" fontId="1" fillId="0" borderId="0" xfId="0" quotePrefix="1" applyNumberFormat="1" applyFont="1" applyAlignment="1">
      <alignment vertical="center"/>
    </xf>
    <xf numFmtId="0" fontId="54" fillId="0" borderId="0" xfId="0" applyFont="1" applyAlignment="1">
      <alignment horizontal="left" vertical="center"/>
    </xf>
    <xf numFmtId="0" fontId="1" fillId="0" borderId="3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73" fontId="25" fillId="0" borderId="33" xfId="0" applyNumberFormat="1" applyFont="1" applyBorder="1" applyAlignment="1">
      <alignment vertical="center"/>
    </xf>
    <xf numFmtId="2" fontId="25" fillId="0" borderId="0" xfId="0" applyNumberFormat="1" applyFont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vertical="center"/>
    </xf>
    <xf numFmtId="167" fontId="26" fillId="0" borderId="0" xfId="0" applyNumberFormat="1" applyFont="1" applyBorder="1" applyAlignment="1">
      <alignment vertical="center"/>
    </xf>
    <xf numFmtId="0" fontId="1" fillId="3" borderId="0" xfId="0" applyFont="1" applyFill="1" applyAlignment="1">
      <alignment vertical="center"/>
    </xf>
    <xf numFmtId="168" fontId="1" fillId="0" borderId="0" xfId="0" applyNumberFormat="1" applyFont="1" applyAlignment="1">
      <alignment horizontal="centerContinuous" vertical="center"/>
    </xf>
    <xf numFmtId="164" fontId="1" fillId="0" borderId="0" xfId="1" applyFont="1" applyAlignment="1">
      <alignment horizontal="centerContinuous" vertical="center"/>
    </xf>
    <xf numFmtId="164" fontId="1" fillId="0" borderId="7" xfId="1" applyFont="1" applyBorder="1" applyAlignment="1">
      <alignment horizontal="centerContinuous" vertical="center"/>
    </xf>
    <xf numFmtId="168" fontId="1" fillId="0" borderId="0" xfId="0" applyNumberFormat="1" applyFont="1" applyAlignment="1">
      <alignment horizontal="center" vertical="center"/>
    </xf>
    <xf numFmtId="164" fontId="1" fillId="0" borderId="7" xfId="1" quotePrefix="1" applyFont="1" applyBorder="1" applyAlignment="1">
      <alignment horizontal="centerContinuous" vertical="center"/>
    </xf>
    <xf numFmtId="0" fontId="1" fillId="3" borderId="26" xfId="0" applyFont="1" applyFill="1" applyBorder="1" applyAlignment="1">
      <alignment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Alignment="1">
      <alignment horizontal="right" vertical="center"/>
    </xf>
    <xf numFmtId="0" fontId="0" fillId="3" borderId="0" xfId="0" applyFill="1"/>
    <xf numFmtId="0" fontId="30" fillId="3" borderId="0" xfId="2" applyFont="1" applyFill="1" applyAlignment="1">
      <alignment horizontal="right" vertical="center"/>
    </xf>
    <xf numFmtId="170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2" fontId="1" fillId="0" borderId="7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left" vertical="center"/>
    </xf>
    <xf numFmtId="167" fontId="1" fillId="0" borderId="48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8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left" vertical="center"/>
    </xf>
    <xf numFmtId="166" fontId="1" fillId="3" borderId="15" xfId="0" applyNumberFormat="1" applyFont="1" applyFill="1" applyBorder="1" applyAlignment="1">
      <alignment vertical="center"/>
    </xf>
    <xf numFmtId="0" fontId="33" fillId="0" borderId="0" xfId="0" applyFont="1" applyAlignment="1">
      <alignment horizontal="left" vertical="center"/>
    </xf>
    <xf numFmtId="166" fontId="1" fillId="0" borderId="7" xfId="0" applyNumberFormat="1" applyFont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0" borderId="7" xfId="0" applyBorder="1" applyAlignment="1">
      <alignment vertical="center"/>
    </xf>
    <xf numFmtId="167" fontId="1" fillId="0" borderId="0" xfId="0" applyNumberFormat="1" applyFont="1" applyAlignment="1">
      <alignment vertical="center"/>
    </xf>
    <xf numFmtId="167" fontId="1" fillId="0" borderId="17" xfId="0" applyNumberFormat="1" applyFont="1" applyBorder="1" applyAlignment="1">
      <alignment vertical="center"/>
    </xf>
    <xf numFmtId="167" fontId="1" fillId="0" borderId="41" xfId="0" applyNumberFormat="1" applyFont="1" applyBorder="1" applyAlignment="1">
      <alignment horizontal="left" vertical="center"/>
    </xf>
    <xf numFmtId="166" fontId="1" fillId="0" borderId="41" xfId="0" applyNumberFormat="1" applyFont="1" applyBorder="1" applyAlignment="1">
      <alignment vertical="center"/>
    </xf>
    <xf numFmtId="164" fontId="21" fillId="0" borderId="0" xfId="1" applyFont="1" applyAlignment="1">
      <alignment vertical="center"/>
    </xf>
    <xf numFmtId="0" fontId="21" fillId="0" borderId="40" xfId="0" applyFont="1" applyBorder="1" applyAlignment="1">
      <alignment vertical="center"/>
    </xf>
    <xf numFmtId="166" fontId="9" fillId="3" borderId="15" xfId="0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0" fontId="1" fillId="0" borderId="40" xfId="0" applyFont="1" applyBorder="1" applyAlignment="1">
      <alignment horizontal="left" vertical="center"/>
    </xf>
    <xf numFmtId="0" fontId="21" fillId="0" borderId="18" xfId="0" applyFont="1" applyBorder="1" applyAlignment="1">
      <alignment vertical="center"/>
    </xf>
    <xf numFmtId="0" fontId="33" fillId="3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" fillId="3" borderId="23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21" fillId="3" borderId="23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80" xfId="0" applyFont="1" applyFill="1" applyBorder="1" applyAlignment="1">
      <alignment horizontal="center" vertical="center"/>
    </xf>
    <xf numFmtId="0" fontId="1" fillId="3" borderId="8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32" xfId="0" applyFont="1" applyFill="1" applyBorder="1" applyAlignment="1">
      <alignment horizontal="center" vertical="center"/>
    </xf>
    <xf numFmtId="173" fontId="25" fillId="0" borderId="30" xfId="0" applyNumberFormat="1" applyFont="1" applyBorder="1" applyAlignment="1">
      <alignment vertical="center"/>
    </xf>
    <xf numFmtId="1" fontId="25" fillId="0" borderId="33" xfId="0" applyNumberFormat="1" applyFont="1" applyBorder="1" applyAlignment="1">
      <alignment vertical="center"/>
    </xf>
    <xf numFmtId="164" fontId="1" fillId="0" borderId="0" xfId="1" applyFont="1" applyBorder="1" applyAlignment="1">
      <alignment vertical="center"/>
    </xf>
    <xf numFmtId="164" fontId="9" fillId="3" borderId="15" xfId="1" applyFont="1" applyFill="1" applyBorder="1" applyAlignment="1">
      <alignment vertical="center"/>
    </xf>
    <xf numFmtId="164" fontId="1" fillId="0" borderId="39" xfId="1" applyFont="1" applyBorder="1" applyAlignment="1">
      <alignment vertical="center"/>
    </xf>
    <xf numFmtId="164" fontId="1" fillId="0" borderId="17" xfId="1" applyFont="1" applyBorder="1" applyAlignment="1">
      <alignment vertical="center"/>
    </xf>
    <xf numFmtId="164" fontId="1" fillId="3" borderId="15" xfId="1" applyFont="1" applyFill="1" applyBorder="1" applyAlignment="1">
      <alignment vertical="center"/>
    </xf>
    <xf numFmtId="164" fontId="1" fillId="0" borderId="7" xfId="1" applyFont="1" applyBorder="1" applyAlignment="1">
      <alignment vertical="center"/>
    </xf>
    <xf numFmtId="167" fontId="1" fillId="3" borderId="0" xfId="0" applyNumberFormat="1" applyFont="1" applyFill="1" applyAlignment="1">
      <alignment horizontal="center" vertical="center"/>
    </xf>
    <xf numFmtId="169" fontId="1" fillId="3" borderId="0" xfId="0" applyNumberFormat="1" applyFont="1" applyFill="1" applyAlignment="1">
      <alignment horizontal="center" vertical="center"/>
    </xf>
    <xf numFmtId="0" fontId="1" fillId="0" borderId="0" xfId="1" applyNumberFormat="1" applyFont="1" applyBorder="1" applyAlignment="1">
      <alignment vertical="center"/>
    </xf>
    <xf numFmtId="0" fontId="1" fillId="0" borderId="7" xfId="1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3" borderId="80" xfId="0" applyFont="1" applyFill="1" applyBorder="1" applyAlignment="1">
      <alignment vertical="center"/>
    </xf>
    <xf numFmtId="0" fontId="35" fillId="3" borderId="26" xfId="0" applyFont="1" applyFill="1" applyBorder="1" applyAlignment="1">
      <alignment vertical="center"/>
    </xf>
    <xf numFmtId="0" fontId="7" fillId="0" borderId="0" xfId="2" applyFont="1" applyFill="1" applyAlignment="1">
      <alignment horizontal="right" vertical="center"/>
    </xf>
    <xf numFmtId="0" fontId="1" fillId="0" borderId="0" xfId="2" applyFont="1" applyFill="1" applyAlignment="1">
      <alignment vertical="center"/>
    </xf>
    <xf numFmtId="0" fontId="1" fillId="0" borderId="0" xfId="2" applyFont="1" applyFill="1" applyAlignment="1">
      <alignment horizontal="right" vertical="center"/>
    </xf>
    <xf numFmtId="0" fontId="8" fillId="0" borderId="0" xfId="2" applyFont="1" applyFill="1" applyAlignment="1">
      <alignment vertical="center"/>
    </xf>
    <xf numFmtId="0" fontId="1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29" fillId="0" borderId="0" xfId="2" applyFill="1"/>
    <xf numFmtId="0" fontId="0" fillId="0" borderId="0" xfId="0" applyFill="1" applyBorder="1"/>
    <xf numFmtId="167" fontId="1" fillId="0" borderId="0" xfId="0" applyNumberFormat="1" applyFont="1" applyFill="1" applyAlignment="1">
      <alignment horizontal="center" vertical="center"/>
    </xf>
    <xf numFmtId="170" fontId="1" fillId="0" borderId="0" xfId="0" applyNumberFormat="1" applyFont="1" applyFill="1" applyAlignment="1">
      <alignment vertic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4" fillId="0" borderId="0" xfId="0" applyFont="1" applyAlignment="1">
      <alignment horizontal="right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25" fillId="0" borderId="30" xfId="0" applyNumberFormat="1" applyFont="1" applyBorder="1" applyAlignment="1">
      <alignment vertical="center"/>
    </xf>
    <xf numFmtId="173" fontId="25" fillId="0" borderId="5" xfId="0" applyNumberFormat="1" applyFont="1" applyBorder="1" applyAlignment="1">
      <alignment vertical="center"/>
    </xf>
    <xf numFmtId="0" fontId="25" fillId="0" borderId="76" xfId="0" applyNumberFormat="1" applyFont="1" applyBorder="1" applyAlignment="1">
      <alignment vertical="center"/>
    </xf>
    <xf numFmtId="0" fontId="57" fillId="0" borderId="0" xfId="2" applyFont="1" applyAlignment="1">
      <alignment vertical="center"/>
    </xf>
    <xf numFmtId="0" fontId="20" fillId="3" borderId="23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167" fontId="5" fillId="3" borderId="0" xfId="0" applyNumberFormat="1" applyFont="1" applyFill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30" fillId="3" borderId="0" xfId="0" applyFont="1" applyFill="1" applyAlignment="1">
      <alignment horizontal="right" vertical="center"/>
    </xf>
    <xf numFmtId="2" fontId="1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right" vertical="center"/>
    </xf>
    <xf numFmtId="1" fontId="1" fillId="3" borderId="0" xfId="0" applyNumberFormat="1" applyFont="1" applyFill="1" applyAlignment="1">
      <alignment horizontal="center" vertical="center"/>
    </xf>
    <xf numFmtId="2" fontId="49" fillId="0" borderId="30" xfId="0" applyNumberFormat="1" applyFont="1" applyBorder="1" applyAlignment="1">
      <alignment horizontal="center" vertical="center"/>
    </xf>
    <xf numFmtId="0" fontId="25" fillId="3" borderId="81" xfId="0" applyFont="1" applyFill="1" applyBorder="1" applyAlignment="1">
      <alignment vertical="center"/>
    </xf>
    <xf numFmtId="1" fontId="25" fillId="0" borderId="0" xfId="0" applyNumberFormat="1" applyFont="1" applyBorder="1" applyAlignment="1">
      <alignment vertical="center"/>
    </xf>
    <xf numFmtId="0" fontId="49" fillId="0" borderId="29" xfId="0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1" fillId="3" borderId="53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56" xfId="0" applyFont="1" applyFill="1" applyBorder="1" applyAlignment="1">
      <alignment vertical="center"/>
    </xf>
    <xf numFmtId="0" fontId="1" fillId="3" borderId="32" xfId="0" quotePrefix="1" applyFont="1" applyFill="1" applyBorder="1" applyAlignment="1">
      <alignment vertical="center"/>
    </xf>
    <xf numFmtId="0" fontId="1" fillId="3" borderId="27" xfId="0" quotePrefix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1" fillId="3" borderId="53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167" fontId="25" fillId="0" borderId="76" xfId="0" applyNumberFormat="1" applyFont="1" applyBorder="1" applyAlignment="1">
      <alignment vertical="center"/>
    </xf>
    <xf numFmtId="0" fontId="25" fillId="3" borderId="3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5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52" xfId="0" quotePrefix="1" applyFont="1" applyBorder="1" applyAlignment="1">
      <alignment horizontal="center" vertical="center"/>
    </xf>
    <xf numFmtId="166" fontId="1" fillId="0" borderId="5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84" xfId="0" quotePrefix="1" applyFont="1" applyBorder="1" applyAlignment="1">
      <alignment horizontal="center" vertical="center"/>
    </xf>
    <xf numFmtId="0" fontId="1" fillId="0" borderId="55" xfId="0" quotePrefix="1" applyFont="1" applyBorder="1" applyAlignment="1">
      <alignment horizontal="center" vertical="center"/>
    </xf>
    <xf numFmtId="166" fontId="1" fillId="0" borderId="55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86" xfId="0" quotePrefix="1" applyFont="1" applyBorder="1" applyAlignment="1">
      <alignment horizontal="center" vertical="center"/>
    </xf>
    <xf numFmtId="0" fontId="1" fillId="0" borderId="18" xfId="0" quotePrefix="1" applyFont="1" applyBorder="1" applyAlignment="1">
      <alignment vertical="center" wrapText="1"/>
    </xf>
    <xf numFmtId="0" fontId="8" fillId="0" borderId="17" xfId="0" quotePrefix="1" applyFont="1" applyBorder="1" applyAlignment="1">
      <alignment horizontal="left" vertical="center"/>
    </xf>
    <xf numFmtId="0" fontId="62" fillId="0" borderId="18" xfId="0" applyFont="1" applyBorder="1" applyAlignment="1">
      <alignment vertical="center"/>
    </xf>
    <xf numFmtId="0" fontId="62" fillId="0" borderId="97" xfId="0" applyFont="1" applyBorder="1" applyAlignment="1">
      <alignment vertical="center"/>
    </xf>
    <xf numFmtId="0" fontId="62" fillId="0" borderId="7" xfId="0" applyFont="1" applyBorder="1" applyAlignment="1">
      <alignment vertical="center"/>
    </xf>
    <xf numFmtId="0" fontId="62" fillId="0" borderId="54" xfId="0" applyFont="1" applyBorder="1" applyAlignment="1">
      <alignment vertical="center"/>
    </xf>
    <xf numFmtId="0" fontId="63" fillId="0" borderId="0" xfId="0" applyFont="1" applyAlignment="1">
      <alignment vertical="center"/>
    </xf>
    <xf numFmtId="0" fontId="64" fillId="0" borderId="1" xfId="0" applyFont="1" applyBorder="1" applyAlignment="1">
      <alignment horizontal="left" vertical="center"/>
    </xf>
    <xf numFmtId="0" fontId="64" fillId="0" borderId="4" xfId="0" applyFont="1" applyBorder="1" applyAlignment="1">
      <alignment horizontal="left" vertical="center"/>
    </xf>
    <xf numFmtId="0" fontId="64" fillId="0" borderId="4" xfId="0" applyFont="1" applyBorder="1" applyAlignment="1">
      <alignment vertical="center"/>
    </xf>
    <xf numFmtId="0" fontId="64" fillId="0" borderId="9" xfId="0" quotePrefix="1" applyFont="1" applyBorder="1" applyAlignment="1">
      <alignment vertical="center"/>
    </xf>
    <xf numFmtId="0" fontId="59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1" fillId="0" borderId="13" xfId="0" applyFont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6" xfId="0" quotePrefix="1" applyFont="1" applyFill="1" applyBorder="1" applyAlignment="1">
      <alignment vertical="center"/>
    </xf>
    <xf numFmtId="0" fontId="1" fillId="3" borderId="40" xfId="0" applyFont="1" applyFill="1" applyBorder="1" applyAlignment="1">
      <alignment vertical="center"/>
    </xf>
    <xf numFmtId="0" fontId="1" fillId="3" borderId="104" xfId="0" applyFont="1" applyFill="1" applyBorder="1" applyAlignment="1">
      <alignment vertical="center"/>
    </xf>
    <xf numFmtId="0" fontId="51" fillId="0" borderId="0" xfId="0" applyFont="1" applyBorder="1" applyAlignment="1">
      <alignment vertical="center"/>
    </xf>
    <xf numFmtId="167" fontId="67" fillId="0" borderId="33" xfId="0" applyNumberFormat="1" applyFont="1" applyBorder="1" applyAlignment="1">
      <alignment horizontal="center" vertical="center"/>
    </xf>
    <xf numFmtId="2" fontId="25" fillId="0" borderId="76" xfId="0" applyNumberFormat="1" applyFont="1" applyBorder="1" applyAlignment="1">
      <alignment horizontal="center" vertical="center"/>
    </xf>
    <xf numFmtId="0" fontId="25" fillId="0" borderId="76" xfId="0" applyFont="1" applyBorder="1" applyAlignment="1">
      <alignment vertical="center"/>
    </xf>
    <xf numFmtId="167" fontId="25" fillId="0" borderId="29" xfId="0" applyNumberFormat="1" applyFont="1" applyBorder="1" applyAlignment="1">
      <alignment horizontal="center" vertical="center"/>
    </xf>
    <xf numFmtId="2" fontId="49" fillId="0" borderId="33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167" fontId="1" fillId="3" borderId="10" xfId="0" applyNumberFormat="1" applyFont="1" applyFill="1" applyBorder="1" applyAlignment="1">
      <alignment horizontal="center" vertical="center"/>
    </xf>
    <xf numFmtId="2" fontId="1" fillId="3" borderId="79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left" vertical="center"/>
    </xf>
    <xf numFmtId="167" fontId="1" fillId="3" borderId="48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167" fontId="25" fillId="0" borderId="0" xfId="0" applyNumberFormat="1" applyFont="1" applyBorder="1" applyAlignment="1">
      <alignment vertical="center"/>
    </xf>
    <xf numFmtId="2" fontId="49" fillId="0" borderId="0" xfId="0" applyNumberFormat="1" applyFont="1" applyBorder="1" applyAlignment="1">
      <alignment horizontal="center" vertical="center"/>
    </xf>
    <xf numFmtId="2" fontId="49" fillId="0" borderId="0" xfId="0" applyNumberFormat="1" applyFont="1" applyBorder="1" applyAlignment="1">
      <alignment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vertical="center"/>
    </xf>
    <xf numFmtId="0" fontId="21" fillId="3" borderId="26" xfId="0" applyFont="1" applyFill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2" fontId="26" fillId="0" borderId="30" xfId="0" applyNumberFormat="1" applyFont="1" applyBorder="1" applyAlignment="1">
      <alignment vertical="center"/>
    </xf>
    <xf numFmtId="2" fontId="25" fillId="0" borderId="0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vertical="center"/>
    </xf>
    <xf numFmtId="0" fontId="21" fillId="3" borderId="80" xfId="0" applyFont="1" applyFill="1" applyBorder="1" applyAlignment="1">
      <alignment horizontal="center" vertical="center"/>
    </xf>
    <xf numFmtId="0" fontId="1" fillId="3" borderId="80" xfId="0" quotePrefix="1" applyFont="1" applyFill="1" applyBorder="1" applyAlignment="1">
      <alignment horizontal="center" vertical="center"/>
    </xf>
    <xf numFmtId="0" fontId="1" fillId="3" borderId="81" xfId="0" quotePrefix="1" applyFont="1" applyFill="1" applyBorder="1" applyAlignment="1">
      <alignment horizontal="center" vertical="center"/>
    </xf>
    <xf numFmtId="0" fontId="47" fillId="3" borderId="0" xfId="0" applyFont="1" applyFill="1"/>
    <xf numFmtId="172" fontId="25" fillId="0" borderId="29" xfId="0" applyNumberFormat="1" applyFont="1" applyFill="1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0" borderId="0" xfId="0" quotePrefix="1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82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35" fillId="3" borderId="20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1" fillId="3" borderId="82" xfId="0" applyFont="1" applyFill="1" applyBorder="1" applyAlignment="1">
      <alignment horizontal="center" vertical="center"/>
    </xf>
    <xf numFmtId="0" fontId="1" fillId="3" borderId="105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5" xfId="1" applyNumberFormat="1" applyFont="1" applyBorder="1" applyAlignment="1">
      <alignment horizontal="center" vertical="center"/>
    </xf>
    <xf numFmtId="0" fontId="1" fillId="0" borderId="56" xfId="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0" borderId="0" xfId="2" quotePrefix="1" applyFont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1" applyNumberFormat="1" applyFont="1" applyBorder="1" applyAlignment="1">
      <alignment horizontal="center" vertical="center"/>
    </xf>
    <xf numFmtId="0" fontId="1" fillId="0" borderId="60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61" xfId="1" applyNumberFormat="1" applyFont="1" applyBorder="1" applyAlignment="1">
      <alignment horizontal="center" vertical="center"/>
    </xf>
    <xf numFmtId="168" fontId="1" fillId="0" borderId="61" xfId="1" applyNumberFormat="1" applyFont="1" applyBorder="1" applyAlignment="1">
      <alignment horizontal="center" vertical="center"/>
    </xf>
    <xf numFmtId="168" fontId="1" fillId="0" borderId="62" xfId="1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" fontId="1" fillId="0" borderId="65" xfId="1" applyNumberFormat="1" applyFont="1" applyBorder="1" applyAlignment="1">
      <alignment horizontal="center" vertical="center"/>
    </xf>
    <xf numFmtId="1" fontId="1" fillId="0" borderId="66" xfId="1" applyNumberFormat="1" applyFont="1" applyBorder="1" applyAlignment="1">
      <alignment horizontal="center" vertical="center"/>
    </xf>
    <xf numFmtId="1" fontId="1" fillId="0" borderId="67" xfId="1" applyNumberFormat="1" applyFont="1" applyBorder="1" applyAlignment="1">
      <alignment horizontal="center" vertical="center"/>
    </xf>
    <xf numFmtId="168" fontId="1" fillId="0" borderId="67" xfId="1" applyNumberFormat="1" applyFont="1" applyBorder="1" applyAlignment="1">
      <alignment horizontal="center" vertical="center"/>
    </xf>
    <xf numFmtId="168" fontId="1" fillId="0" borderId="68" xfId="1" applyNumberFormat="1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164" fontId="1" fillId="3" borderId="42" xfId="1" applyFont="1" applyFill="1" applyBorder="1" applyAlignment="1">
      <alignment horizontal="center" vertical="center"/>
    </xf>
    <xf numFmtId="164" fontId="1" fillId="3" borderId="40" xfId="1" applyFont="1" applyFill="1" applyBorder="1" applyAlignment="1">
      <alignment horizontal="center" vertical="center"/>
    </xf>
    <xf numFmtId="164" fontId="1" fillId="3" borderId="73" xfId="1" applyFont="1" applyFill="1" applyBorder="1" applyAlignment="1">
      <alignment horizontal="center" vertical="center"/>
    </xf>
    <xf numFmtId="0" fontId="33" fillId="3" borderId="44" xfId="0" applyFont="1" applyFill="1" applyBorder="1" applyAlignment="1">
      <alignment horizontal="center" vertical="center"/>
    </xf>
    <xf numFmtId="0" fontId="33" fillId="3" borderId="16" xfId="0" applyFont="1" applyFill="1" applyBorder="1" applyAlignment="1">
      <alignment horizontal="center" vertical="center"/>
    </xf>
    <xf numFmtId="0" fontId="33" fillId="3" borderId="74" xfId="0" applyFont="1" applyFill="1" applyBorder="1" applyAlignment="1">
      <alignment horizontal="center" vertical="center"/>
    </xf>
    <xf numFmtId="0" fontId="33" fillId="3" borderId="50" xfId="0" applyFont="1" applyFill="1" applyBorder="1" applyAlignment="1">
      <alignment horizontal="center" vertical="center"/>
    </xf>
    <xf numFmtId="0" fontId="33" fillId="3" borderId="75" xfId="0" applyFont="1" applyFill="1" applyBorder="1" applyAlignment="1">
      <alignment horizontal="center" vertical="center"/>
    </xf>
    <xf numFmtId="0" fontId="33" fillId="3" borderId="45" xfId="0" applyFont="1" applyFill="1" applyBorder="1" applyAlignment="1">
      <alignment horizontal="center" vertical="center"/>
    </xf>
    <xf numFmtId="0" fontId="33" fillId="3" borderId="4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76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9" fillId="3" borderId="78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7" fillId="0" borderId="18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74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75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45" xfId="0" quotePrefix="1" applyFont="1" applyBorder="1" applyAlignment="1">
      <alignment horizontal="left" vertical="center" wrapText="1"/>
    </xf>
    <xf numFmtId="0" fontId="1" fillId="0" borderId="16" xfId="0" quotePrefix="1" applyFont="1" applyBorder="1" applyAlignment="1">
      <alignment horizontal="left" vertical="center" wrapText="1"/>
    </xf>
    <xf numFmtId="0" fontId="1" fillId="0" borderId="75" xfId="0" quotePrefix="1" applyFont="1" applyBorder="1" applyAlignment="1">
      <alignment horizontal="left" vertical="center" wrapText="1"/>
    </xf>
    <xf numFmtId="0" fontId="1" fillId="0" borderId="47" xfId="0" quotePrefix="1" applyFont="1" applyBorder="1" applyAlignment="1">
      <alignment horizontal="left" vertical="center" wrapText="1"/>
    </xf>
    <xf numFmtId="0" fontId="1" fillId="0" borderId="17" xfId="0" quotePrefix="1" applyFont="1" applyBorder="1" applyAlignment="1">
      <alignment horizontal="left" vertical="center" wrapText="1"/>
    </xf>
    <xf numFmtId="0" fontId="1" fillId="0" borderId="92" xfId="0" quotePrefix="1" applyFont="1" applyBorder="1" applyAlignment="1">
      <alignment horizontal="left" vertical="center" wrapText="1"/>
    </xf>
    <xf numFmtId="0" fontId="1" fillId="0" borderId="95" xfId="0" quotePrefix="1" applyFont="1" applyBorder="1" applyAlignment="1">
      <alignment horizontal="left" vertical="center"/>
    </xf>
    <xf numFmtId="0" fontId="1" fillId="0" borderId="18" xfId="0" quotePrefix="1" applyFont="1" applyBorder="1" applyAlignment="1">
      <alignment horizontal="left" vertical="center"/>
    </xf>
    <xf numFmtId="0" fontId="1" fillId="0" borderId="97" xfId="0" quotePrefix="1" applyFont="1" applyBorder="1" applyAlignment="1">
      <alignment horizontal="left" vertical="center"/>
    </xf>
    <xf numFmtId="0" fontId="1" fillId="0" borderId="48" xfId="0" quotePrefix="1" applyFont="1" applyBorder="1" applyAlignment="1">
      <alignment horizontal="left" vertical="center"/>
    </xf>
    <xf numFmtId="0" fontId="1" fillId="0" borderId="10" xfId="0" quotePrefix="1" applyFont="1" applyBorder="1" applyAlignment="1">
      <alignment horizontal="left" vertical="center"/>
    </xf>
    <xf numFmtId="0" fontId="1" fillId="0" borderId="101" xfId="0" quotePrefix="1" applyFont="1" applyBorder="1" applyAlignment="1">
      <alignment horizontal="left" vertical="center"/>
    </xf>
    <xf numFmtId="0" fontId="1" fillId="0" borderId="47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8" xfId="0" quotePrefix="1" applyFont="1" applyBorder="1" applyAlignment="1">
      <alignment horizontal="left" vertical="center" wrapText="1"/>
    </xf>
    <xf numFmtId="0" fontId="1" fillId="0" borderId="77" xfId="0" quotePrefix="1" applyFont="1" applyBorder="1" applyAlignment="1">
      <alignment horizontal="left" vertical="center"/>
    </xf>
    <xf numFmtId="0" fontId="1" fillId="0" borderId="55" xfId="0" quotePrefix="1" applyFont="1" applyBorder="1" applyAlignment="1">
      <alignment horizontal="left" vertical="center"/>
    </xf>
    <xf numFmtId="0" fontId="1" fillId="0" borderId="7" xfId="0" quotePrefix="1" applyFont="1" applyBorder="1" applyAlignment="1">
      <alignment horizontal="left" vertical="center"/>
    </xf>
    <xf numFmtId="0" fontId="1" fillId="0" borderId="54" xfId="0" quotePrefix="1" applyFont="1" applyBorder="1" applyAlignment="1">
      <alignment horizontal="left" vertical="center"/>
    </xf>
    <xf numFmtId="0" fontId="1" fillId="0" borderId="78" xfId="0" quotePrefix="1" applyFont="1" applyBorder="1" applyAlignment="1">
      <alignment horizontal="left" vertical="center"/>
    </xf>
    <xf numFmtId="11" fontId="1" fillId="0" borderId="78" xfId="0" applyNumberFormat="1" applyFont="1" applyBorder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1" fontId="1" fillId="0" borderId="77" xfId="0" applyNumberFormat="1" applyFont="1" applyBorder="1" applyAlignment="1">
      <alignment horizontal="left" vertical="center"/>
    </xf>
    <xf numFmtId="11" fontId="1" fillId="0" borderId="55" xfId="0" applyNumberFormat="1" applyFont="1" applyBorder="1" applyAlignment="1">
      <alignment horizontal="left" vertical="center"/>
    </xf>
    <xf numFmtId="11" fontId="1" fillId="0" borderId="7" xfId="0" applyNumberFormat="1" applyFont="1" applyBorder="1" applyAlignment="1">
      <alignment horizontal="left" vertical="center"/>
    </xf>
    <xf numFmtId="11" fontId="1" fillId="0" borderId="54" xfId="0" applyNumberFormat="1" applyFont="1" applyBorder="1" applyAlignment="1">
      <alignment horizontal="left" vertical="center"/>
    </xf>
    <xf numFmtId="0" fontId="62" fillId="0" borderId="88" xfId="0" applyFont="1" applyBorder="1" applyAlignment="1">
      <alignment horizontal="center" vertical="center"/>
    </xf>
    <xf numFmtId="0" fontId="62" fillId="0" borderId="91" xfId="0" applyFont="1" applyBorder="1" applyAlignment="1">
      <alignment horizontal="center" vertical="center"/>
    </xf>
    <xf numFmtId="2" fontId="1" fillId="0" borderId="89" xfId="0" applyNumberFormat="1" applyFont="1" applyBorder="1" applyAlignment="1">
      <alignment horizontal="center" vertical="center"/>
    </xf>
    <xf numFmtId="2" fontId="1" fillId="0" borderId="93" xfId="0" applyNumberFormat="1" applyFont="1" applyBorder="1" applyAlignment="1">
      <alignment horizontal="center" vertical="center"/>
    </xf>
    <xf numFmtId="0" fontId="62" fillId="0" borderId="96" xfId="0" applyFont="1" applyBorder="1" applyAlignment="1">
      <alignment horizontal="center" vertical="center"/>
    </xf>
    <xf numFmtId="0" fontId="62" fillId="0" borderId="95" xfId="0" applyFont="1" applyBorder="1" applyAlignment="1">
      <alignment horizontal="left" vertical="center"/>
    </xf>
    <xf numFmtId="0" fontId="62" fillId="0" borderId="18" xfId="0" applyFont="1" applyBorder="1" applyAlignment="1">
      <alignment horizontal="left" vertical="center"/>
    </xf>
    <xf numFmtId="0" fontId="62" fillId="0" borderId="97" xfId="0" applyFont="1" applyBorder="1" applyAlignment="1">
      <alignment horizontal="left" vertical="center"/>
    </xf>
    <xf numFmtId="0" fontId="62" fillId="0" borderId="55" xfId="0" applyFont="1" applyBorder="1" applyAlignment="1">
      <alignment horizontal="left" vertical="center"/>
    </xf>
    <xf numFmtId="0" fontId="62" fillId="0" borderId="7" xfId="0" applyFont="1" applyBorder="1" applyAlignment="1">
      <alignment horizontal="left" vertical="center"/>
    </xf>
    <xf numFmtId="0" fontId="62" fillId="0" borderId="54" xfId="0" applyFont="1" applyBorder="1" applyAlignment="1">
      <alignment horizontal="left" vertical="center"/>
    </xf>
    <xf numFmtId="2" fontId="1" fillId="0" borderId="95" xfId="0" applyNumberFormat="1" applyFont="1" applyBorder="1" applyAlignment="1">
      <alignment horizontal="left" vertical="center"/>
    </xf>
    <xf numFmtId="2" fontId="1" fillId="0" borderId="18" xfId="0" applyNumberFormat="1" applyFont="1" applyBorder="1" applyAlignment="1">
      <alignment horizontal="left" vertical="center"/>
    </xf>
    <xf numFmtId="2" fontId="1" fillId="0" borderId="97" xfId="0" applyNumberFormat="1" applyFont="1" applyBorder="1" applyAlignment="1">
      <alignment horizontal="left" vertical="center"/>
    </xf>
    <xf numFmtId="2" fontId="1" fillId="0" borderId="55" xfId="0" applyNumberFormat="1" applyFont="1" applyBorder="1" applyAlignment="1">
      <alignment horizontal="left" vertical="center"/>
    </xf>
    <xf numFmtId="2" fontId="1" fillId="0" borderId="7" xfId="0" applyNumberFormat="1" applyFont="1" applyBorder="1" applyAlignment="1">
      <alignment horizontal="left" vertical="center"/>
    </xf>
    <xf numFmtId="2" fontId="1" fillId="0" borderId="54" xfId="0" applyNumberFormat="1" applyFont="1" applyBorder="1" applyAlignment="1">
      <alignment horizontal="left" vertical="center"/>
    </xf>
    <xf numFmtId="2" fontId="1" fillId="0" borderId="98" xfId="0" applyNumberFormat="1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0" fontId="1" fillId="0" borderId="96" xfId="0" quotePrefix="1" applyFont="1" applyBorder="1" applyAlignment="1">
      <alignment horizontal="center" vertical="center"/>
    </xf>
    <xf numFmtId="0" fontId="1" fillId="0" borderId="100" xfId="0" quotePrefix="1" applyFont="1" applyBorder="1" applyAlignment="1">
      <alignment horizontal="center" vertical="center"/>
    </xf>
    <xf numFmtId="11" fontId="1" fillId="0" borderId="95" xfId="0" applyNumberFormat="1" applyFont="1" applyBorder="1" applyAlignment="1">
      <alignment horizontal="center" vertical="center"/>
    </xf>
    <xf numFmtId="11" fontId="1" fillId="0" borderId="97" xfId="0" applyNumberFormat="1" applyFont="1" applyBorder="1" applyAlignment="1">
      <alignment horizontal="center" vertical="center"/>
    </xf>
    <xf numFmtId="11" fontId="1" fillId="0" borderId="48" xfId="0" applyNumberFormat="1" applyFont="1" applyBorder="1" applyAlignment="1">
      <alignment horizontal="center" vertical="center"/>
    </xf>
    <xf numFmtId="11" fontId="1" fillId="0" borderId="101" xfId="0" applyNumberFormat="1" applyFont="1" applyBorder="1" applyAlignment="1">
      <alignment horizontal="center" vertical="center"/>
    </xf>
    <xf numFmtId="0" fontId="62" fillId="0" borderId="100" xfId="0" applyFont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95" xfId="0" quotePrefix="1" applyFont="1" applyBorder="1" applyAlignment="1">
      <alignment horizontal="left" vertical="center" wrapText="1"/>
    </xf>
    <xf numFmtId="0" fontId="1" fillId="0" borderId="18" xfId="0" quotePrefix="1" applyFont="1" applyBorder="1" applyAlignment="1">
      <alignment horizontal="left" vertical="center" wrapText="1"/>
    </xf>
    <xf numFmtId="0" fontId="1" fillId="0" borderId="91" xfId="0" quotePrefix="1" applyFont="1" applyBorder="1" applyAlignment="1">
      <alignment horizontal="center" vertical="center"/>
    </xf>
    <xf numFmtId="11" fontId="1" fillId="0" borderId="47" xfId="0" applyNumberFormat="1" applyFont="1" applyBorder="1" applyAlignment="1">
      <alignment horizontal="center" vertical="center"/>
    </xf>
    <xf numFmtId="11" fontId="1" fillId="0" borderId="92" xfId="0" applyNumberFormat="1" applyFont="1" applyBorder="1" applyAlignment="1">
      <alignment horizontal="center" vertical="center"/>
    </xf>
    <xf numFmtId="171" fontId="1" fillId="0" borderId="0" xfId="0" applyNumberFormat="1" applyFont="1" applyAlignment="1">
      <alignment horizontal="left" vertical="center"/>
    </xf>
    <xf numFmtId="0" fontId="1" fillId="0" borderId="83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2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51" xfId="0" quotePrefix="1" applyFont="1" applyBorder="1" applyAlignment="1">
      <alignment horizontal="center" vertical="center"/>
    </xf>
    <xf numFmtId="0" fontId="1" fillId="0" borderId="55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54" xfId="0" quotePrefix="1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quotePrefix="1" applyFont="1" applyBorder="1" applyAlignment="1">
      <alignment horizontal="center" vertical="center"/>
    </xf>
    <xf numFmtId="11" fontId="1" fillId="0" borderId="45" xfId="0" applyNumberFormat="1" applyFont="1" applyBorder="1" applyAlignment="1">
      <alignment horizontal="center" vertical="center"/>
    </xf>
    <xf numFmtId="11" fontId="1" fillId="0" borderId="75" xfId="0" applyNumberFormat="1" applyFont="1" applyBorder="1" applyAlignment="1">
      <alignment horizontal="center" vertical="center"/>
    </xf>
    <xf numFmtId="174" fontId="1" fillId="0" borderId="45" xfId="0" applyNumberFormat="1" applyFont="1" applyBorder="1" applyAlignment="1">
      <alignment horizontal="center" vertical="center"/>
    </xf>
    <xf numFmtId="174" fontId="1" fillId="0" borderId="75" xfId="0" applyNumberFormat="1" applyFont="1" applyBorder="1" applyAlignment="1">
      <alignment horizontal="center" vertical="center"/>
    </xf>
    <xf numFmtId="174" fontId="1" fillId="0" borderId="47" xfId="0" applyNumberFormat="1" applyFont="1" applyBorder="1" applyAlignment="1">
      <alignment horizontal="center" vertical="center"/>
    </xf>
    <xf numFmtId="174" fontId="1" fillId="0" borderId="92" xfId="0" applyNumberFormat="1" applyFont="1" applyBorder="1" applyAlignment="1">
      <alignment horizontal="center" vertical="center"/>
    </xf>
  </cellXfs>
  <cellStyles count="4">
    <cellStyle name="Comma [0]" xfId="1" builtinId="6"/>
    <cellStyle name="Comma [0] 2" xfId="3" xr:uid="{9A2CCAF4-7660-43FE-B224-9F5ADFC37D26}"/>
    <cellStyle name="Normal" xfId="0" builtinId="0"/>
    <cellStyle name="Normal 2" xfId="2" xr:uid="{F97CA3AD-BDF4-42C5-B31D-80648538D3B6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336401</xdr:colOff>
      <xdr:row>52</xdr:row>
      <xdr:rowOff>70374</xdr:rowOff>
    </xdr:from>
    <xdr:to>
      <xdr:col>13</xdr:col>
      <xdr:colOff>120226</xdr:colOff>
      <xdr:row>61</xdr:row>
      <xdr:rowOff>164685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72D7A6-31BA-46A7-B92E-F313B535E0F6}"/>
            </a:ext>
          </a:extLst>
        </xdr:cNvPr>
        <xdr:cNvGrpSpPr/>
      </xdr:nvGrpSpPr>
      <xdr:grpSpPr>
        <a:xfrm>
          <a:off x="3936851" y="10204974"/>
          <a:ext cx="1384025" cy="1808811"/>
          <a:chOff x="5402908" y="11004247"/>
          <a:chExt cx="1904257" cy="1789137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468180B3-765B-4801-B53D-45020E3A4E7E}"/>
              </a:ext>
            </a:extLst>
          </xdr:cNvPr>
          <xdr:cNvSpPr/>
        </xdr:nvSpPr>
        <xdr:spPr>
          <a:xfrm>
            <a:off x="5402908" y="11204134"/>
            <a:ext cx="155122" cy="1589250"/>
          </a:xfrm>
          <a:custGeom>
            <a:avLst/>
            <a:gdLst>
              <a:gd name="connsiteX0" fmla="*/ 73478 w 155121"/>
              <a:gd name="connsiteY0" fmla="*/ 0 h 1687286"/>
              <a:gd name="connsiteX1" fmla="*/ 73478 w 155121"/>
              <a:gd name="connsiteY1" fmla="*/ 767443 h 1687286"/>
              <a:gd name="connsiteX2" fmla="*/ 155121 w 155121"/>
              <a:gd name="connsiteY2" fmla="*/ 767443 h 1687286"/>
              <a:gd name="connsiteX3" fmla="*/ 0 w 155121"/>
              <a:gd name="connsiteY3" fmla="*/ 808265 h 1687286"/>
              <a:gd name="connsiteX4" fmla="*/ 78921 w 155121"/>
              <a:gd name="connsiteY4" fmla="*/ 808265 h 1687286"/>
              <a:gd name="connsiteX5" fmla="*/ 78921 w 155121"/>
              <a:gd name="connsiteY5" fmla="*/ 1687286 h 16872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5121" h="1687286">
                <a:moveTo>
                  <a:pt x="73478" y="0"/>
                </a:moveTo>
                <a:lnTo>
                  <a:pt x="73478" y="767443"/>
                </a:lnTo>
                <a:lnTo>
                  <a:pt x="155121" y="767443"/>
                </a:lnTo>
                <a:lnTo>
                  <a:pt x="0" y="808265"/>
                </a:lnTo>
                <a:lnTo>
                  <a:pt x="78921" y="808265"/>
                </a:lnTo>
                <a:lnTo>
                  <a:pt x="78921" y="1687286"/>
                </a:lnTo>
              </a:path>
            </a:pathLst>
          </a:cu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24E0F09-64E5-47F5-9917-A92A44C8CF2E}"/>
              </a:ext>
            </a:extLst>
          </xdr:cNvPr>
          <xdr:cNvGrpSpPr/>
        </xdr:nvGrpSpPr>
        <xdr:grpSpPr>
          <a:xfrm>
            <a:off x="5472286" y="11004247"/>
            <a:ext cx="1834879" cy="1651015"/>
            <a:chOff x="5403378" y="11106286"/>
            <a:chExt cx="1818139" cy="1667007"/>
          </a:xfrm>
        </xdr:grpSpPr>
        <xdr:sp macro="" textlink="">
          <xdr:nvSpPr>
            <xdr:cNvPr id="5" name="Freeform 8">
              <a:extLst>
                <a:ext uri="{FF2B5EF4-FFF2-40B4-BE49-F238E27FC236}">
                  <a16:creationId xmlns:a16="http://schemas.microsoft.com/office/drawing/2014/main" id="{D8264A03-2BB8-4132-87B3-ACC001303778}"/>
                </a:ext>
              </a:extLst>
            </xdr:cNvPr>
            <xdr:cNvSpPr/>
          </xdr:nvSpPr>
          <xdr:spPr>
            <a:xfrm>
              <a:off x="5412921" y="11397343"/>
              <a:ext cx="1240971" cy="293915"/>
            </a:xfrm>
            <a:custGeom>
              <a:avLst/>
              <a:gdLst>
                <a:gd name="connsiteX0" fmla="*/ 933450 w 1240971"/>
                <a:gd name="connsiteY0" fmla="*/ 206829 h 293915"/>
                <a:gd name="connsiteX1" fmla="*/ 1240971 w 1240971"/>
                <a:gd name="connsiteY1" fmla="*/ 206829 h 293915"/>
                <a:gd name="connsiteX2" fmla="*/ 1240971 w 1240971"/>
                <a:gd name="connsiteY2" fmla="*/ 0 h 293915"/>
                <a:gd name="connsiteX3" fmla="*/ 0 w 1240971"/>
                <a:gd name="connsiteY3" fmla="*/ 0 h 293915"/>
                <a:gd name="connsiteX4" fmla="*/ 0 w 1240971"/>
                <a:gd name="connsiteY4" fmla="*/ 293915 h 293915"/>
                <a:gd name="connsiteX5" fmla="*/ 859971 w 1240971"/>
                <a:gd name="connsiteY5" fmla="*/ 293915 h 293915"/>
                <a:gd name="connsiteX6" fmla="*/ 933450 w 1240971"/>
                <a:gd name="connsiteY6" fmla="*/ 206829 h 2939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240971" h="293915">
                  <a:moveTo>
                    <a:pt x="933450" y="206829"/>
                  </a:moveTo>
                  <a:lnTo>
                    <a:pt x="1240971" y="206829"/>
                  </a:lnTo>
                  <a:lnTo>
                    <a:pt x="1240971" y="0"/>
                  </a:lnTo>
                  <a:lnTo>
                    <a:pt x="0" y="0"/>
                  </a:lnTo>
                  <a:lnTo>
                    <a:pt x="0" y="293915"/>
                  </a:lnTo>
                  <a:lnTo>
                    <a:pt x="859971" y="293915"/>
                  </a:lnTo>
                  <a:lnTo>
                    <a:pt x="933450" y="206829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47A2E05-D4FB-423C-B74D-BC6BBC0DE15F}"/>
                </a:ext>
              </a:extLst>
            </xdr:cNvPr>
            <xdr:cNvGrpSpPr/>
          </xdr:nvGrpSpPr>
          <xdr:grpSpPr>
            <a:xfrm>
              <a:off x="5403378" y="11106286"/>
              <a:ext cx="1818139" cy="1667007"/>
              <a:chOff x="2824053" y="12555715"/>
              <a:chExt cx="1811426" cy="1636735"/>
            </a:xfrm>
          </xdr:grpSpPr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B34FEA3B-4A83-43D2-BBE9-578B4ABB08A9}"/>
                  </a:ext>
                </a:extLst>
              </xdr:cNvPr>
              <xdr:cNvSpPr txBox="1"/>
            </xdr:nvSpPr>
            <xdr:spPr>
              <a:xfrm>
                <a:off x="4048125" y="12767922"/>
                <a:ext cx="587354" cy="23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F</a:t>
                </a:r>
                <a:r>
                  <a:rPr lang="en-US" altLang="ko-KR" sz="900" baseline="-25000"/>
                  <a:t>forms</a:t>
                </a:r>
                <a:endParaRPr lang="en-US" sz="900" baseline="-25000"/>
              </a:p>
            </xdr:txBody>
          </xdr: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D6189CE0-EAA4-4CBF-B69D-EC110BE1D2EF}"/>
                  </a:ext>
                </a:extLst>
              </xdr:cNvPr>
              <xdr:cNvGrpSpPr/>
            </xdr:nvGrpSpPr>
            <xdr:grpSpPr>
              <a:xfrm>
                <a:off x="2824053" y="12555715"/>
                <a:ext cx="1459379" cy="1636735"/>
                <a:chOff x="2824053" y="12840754"/>
                <a:chExt cx="1459379" cy="1675746"/>
              </a:xfrm>
            </xdr:grpSpPr>
            <xdr:grpSp>
              <xdr:nvGrpSpPr>
                <xdr:cNvPr id="9" name="그룹 168">
                  <a:extLst>
                    <a:ext uri="{FF2B5EF4-FFF2-40B4-BE49-F238E27FC236}">
                      <a16:creationId xmlns:a16="http://schemas.microsoft.com/office/drawing/2014/main" id="{FD7FAAD5-F7BC-4656-9342-2B869DA4F4B5}"/>
                    </a:ext>
                  </a:extLst>
                </xdr:cNvPr>
                <xdr:cNvGrpSpPr/>
              </xdr:nvGrpSpPr>
              <xdr:grpSpPr>
                <a:xfrm>
                  <a:off x="2824053" y="12840754"/>
                  <a:ext cx="1459379" cy="1675746"/>
                  <a:chOff x="4829506" y="6053432"/>
                  <a:chExt cx="1459379" cy="1598219"/>
                </a:xfrm>
              </xdr:grpSpPr>
              <xdr:grpSp>
                <xdr:nvGrpSpPr>
                  <xdr:cNvPr id="13" name="그룹 75">
                    <a:extLst>
                      <a:ext uri="{FF2B5EF4-FFF2-40B4-BE49-F238E27FC236}">
                        <a16:creationId xmlns:a16="http://schemas.microsoft.com/office/drawing/2014/main" id="{6C13917C-8EB7-4B1E-81E0-1A8D7DCBD853}"/>
                      </a:ext>
                    </a:extLst>
                  </xdr:cNvPr>
                  <xdr:cNvGrpSpPr/>
                </xdr:nvGrpSpPr>
                <xdr:grpSpPr>
                  <a:xfrm>
                    <a:off x="4839016" y="6053432"/>
                    <a:ext cx="1260487" cy="1598219"/>
                    <a:chOff x="5030532" y="1143545"/>
                    <a:chExt cx="1263341" cy="1582315"/>
                  </a:xfrm>
                </xdr:grpSpPr>
                <xdr:sp macro="" textlink="">
                  <xdr:nvSpPr>
                    <xdr:cNvPr id="32" name="TextBox 31">
                      <a:extLst>
                        <a:ext uri="{FF2B5EF4-FFF2-40B4-BE49-F238E27FC236}">
                          <a16:creationId xmlns:a16="http://schemas.microsoft.com/office/drawing/2014/main" id="{F61F8849-EE96-4699-95BE-1E932652CB69}"/>
                        </a:ext>
                      </a:extLst>
                    </xdr:cNvPr>
                    <xdr:cNvSpPr txBox="1"/>
                  </xdr:nvSpPr>
                  <xdr:spPr>
                    <a:xfrm>
                      <a:off x="5553876" y="2502935"/>
                      <a:ext cx="739997" cy="22292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Bracket</a:t>
                      </a:r>
                      <a:endParaRPr lang="en-US" sz="900"/>
                    </a:p>
                  </xdr:txBody>
                </xdr:sp>
                <xdr:grpSp>
                  <xdr:nvGrpSpPr>
                    <xdr:cNvPr id="33" name="그룹 77">
                      <a:extLst>
                        <a:ext uri="{FF2B5EF4-FFF2-40B4-BE49-F238E27FC236}">
                          <a16:creationId xmlns:a16="http://schemas.microsoft.com/office/drawing/2014/main" id="{B25D33D2-57CE-4EB8-855F-B82401C0DA42}"/>
                        </a:ext>
                      </a:extLst>
                    </xdr:cNvPr>
                    <xdr:cNvGrpSpPr/>
                  </xdr:nvGrpSpPr>
                  <xdr:grpSpPr>
                    <a:xfrm>
                      <a:off x="5030532" y="1143545"/>
                      <a:ext cx="1236467" cy="1578507"/>
                      <a:chOff x="5019107" y="1152841"/>
                      <a:chExt cx="1233246" cy="1594372"/>
                    </a:xfrm>
                  </xdr:grpSpPr>
                  <xdr:grpSp>
                    <xdr:nvGrpSpPr>
                      <xdr:cNvPr id="34" name="그룹 78">
                        <a:extLst>
                          <a:ext uri="{FF2B5EF4-FFF2-40B4-BE49-F238E27FC236}">
                            <a16:creationId xmlns:a16="http://schemas.microsoft.com/office/drawing/2014/main" id="{3D58D090-01FC-4166-B515-001273E9DF3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19107" y="1152841"/>
                        <a:ext cx="1104144" cy="1594372"/>
                        <a:chOff x="5014983" y="1172949"/>
                        <a:chExt cx="1103104" cy="1628692"/>
                      </a:xfrm>
                    </xdr:grpSpPr>
                    <xdr:grpSp>
                      <xdr:nvGrpSpPr>
                        <xdr:cNvPr id="42" name="그룹 117">
                          <a:extLst>
                            <a:ext uri="{FF2B5EF4-FFF2-40B4-BE49-F238E27FC236}">
                              <a16:creationId xmlns:a16="http://schemas.microsoft.com/office/drawing/2014/main" id="{2B1F1847-4E03-4483-9FF7-5DD847987E4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014983" y="1716932"/>
                          <a:ext cx="857016" cy="1084709"/>
                          <a:chOff x="5268953" y="313952"/>
                          <a:chExt cx="745542" cy="1069110"/>
                        </a:xfrm>
                      </xdr:grpSpPr>
                      <xdr:grpSp>
                        <xdr:nvGrpSpPr>
                          <xdr:cNvPr id="45" name="그룹 124">
                            <a:extLst>
                              <a:ext uri="{FF2B5EF4-FFF2-40B4-BE49-F238E27FC236}">
                                <a16:creationId xmlns:a16="http://schemas.microsoft.com/office/drawing/2014/main" id="{0CFE47B3-C9B8-4FE3-9601-245CBD530F1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68953" y="334363"/>
                            <a:ext cx="596578" cy="1048699"/>
                            <a:chOff x="3797063" y="399805"/>
                            <a:chExt cx="597076" cy="1042482"/>
                          </a:xfrm>
                        </xdr:grpSpPr>
                        <xdr:cxnSp macro="">
                          <xdr:nvCxnSpPr>
                            <xdr:cNvPr id="47" name="직선 연결선 137">
                              <a:extLst>
                                <a:ext uri="{FF2B5EF4-FFF2-40B4-BE49-F238E27FC236}">
                                  <a16:creationId xmlns:a16="http://schemas.microsoft.com/office/drawing/2014/main" id="{C37EB6F1-71BC-4821-B557-ACE7BED4E1C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797063" y="1442287"/>
                              <a:ext cx="521564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8" name="직선 연결선 139">
                              <a:extLst>
                                <a:ext uri="{FF2B5EF4-FFF2-40B4-BE49-F238E27FC236}">
                                  <a16:creationId xmlns:a16="http://schemas.microsoft.com/office/drawing/2014/main" id="{14F9978B-F8B1-49C1-9A4A-7C81AA74F8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V="1">
                              <a:off x="4166565" y="399805"/>
                              <a:ext cx="227574" cy="103615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46" name="직선 연결선 123">
                            <a:extLst>
                              <a:ext uri="{FF2B5EF4-FFF2-40B4-BE49-F238E27FC236}">
                                <a16:creationId xmlns:a16="http://schemas.microsoft.com/office/drawing/2014/main" id="{A5919699-8242-4FED-B651-2937C53BB24A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651145" y="313952"/>
                            <a:ext cx="363350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3" name="직선 화살표 연결선 107">
                          <a:extLst>
                            <a:ext uri="{FF2B5EF4-FFF2-40B4-BE49-F238E27FC236}">
                              <a16:creationId xmlns:a16="http://schemas.microsoft.com/office/drawing/2014/main" id="{5E267DB4-93BF-4D1D-BAAB-32EEA68DB8B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6018" y="1239453"/>
                          <a:ext cx="0" cy="364057"/>
                        </a:xfrm>
                        <a:prstGeom prst="straightConnector1">
                          <a:avLst/>
                        </a:prstGeom>
                        <a:ln w="28575">
                          <a:solidFill>
                            <a:srgbClr val="FF0000"/>
                          </a:solidFill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" name="TextBox 43">
                          <a:extLst>
                            <a:ext uri="{FF2B5EF4-FFF2-40B4-BE49-F238E27FC236}">
                              <a16:creationId xmlns:a16="http://schemas.microsoft.com/office/drawing/2014/main" id="{DA06CF4A-FE92-429E-A356-7425D28F531F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470545" y="1172949"/>
                          <a:ext cx="647542" cy="234294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F</a:t>
                          </a:r>
                          <a:r>
                            <a:rPr lang="en-US" altLang="ko-KR" sz="900" baseline="-25000"/>
                            <a:t>wet con'c</a:t>
                          </a:r>
                          <a:endParaRPr lang="en-US" sz="900" baseline="-25000"/>
                        </a:p>
                      </xdr:txBody>
                    </xdr:sp>
                  </xdr:grpSp>
                  <xdr:grpSp>
                    <xdr:nvGrpSpPr>
                      <xdr:cNvPr id="35" name="그룹 79">
                        <a:extLst>
                          <a:ext uri="{FF2B5EF4-FFF2-40B4-BE49-F238E27FC236}">
                            <a16:creationId xmlns:a16="http://schemas.microsoft.com/office/drawing/2014/main" id="{D0AD3C46-5BED-46AF-ABE1-A254C96CF52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481638" y="1588294"/>
                        <a:ext cx="770715" cy="1126331"/>
                        <a:chOff x="5481638" y="1588294"/>
                        <a:chExt cx="770715" cy="1126331"/>
                      </a:xfrm>
                    </xdr:grpSpPr>
                    <xdr:grpSp>
                      <xdr:nvGrpSpPr>
                        <xdr:cNvPr id="36" name="그룹 94">
                          <a:extLst>
                            <a:ext uri="{FF2B5EF4-FFF2-40B4-BE49-F238E27FC236}">
                              <a16:creationId xmlns:a16="http://schemas.microsoft.com/office/drawing/2014/main" id="{FB186B1D-FB08-427D-A4E2-C862473213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481638" y="1628569"/>
                          <a:ext cx="770715" cy="1086056"/>
                          <a:chOff x="5481638" y="1628569"/>
                          <a:chExt cx="770715" cy="1086056"/>
                        </a:xfrm>
                      </xdr:grpSpPr>
                      <xdr:cxnSp macro="">
                        <xdr:nvCxnSpPr>
                          <xdr:cNvPr id="39" name="직선 연결선 103">
                            <a:extLst>
                              <a:ext uri="{FF2B5EF4-FFF2-40B4-BE49-F238E27FC236}">
                                <a16:creationId xmlns:a16="http://schemas.microsoft.com/office/drawing/2014/main" id="{A2078295-8A4B-4C56-928E-83B386EFA78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33315" y="1726834"/>
                            <a:ext cx="514350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0" name="직선 연결선 104">
                            <a:extLst>
                              <a:ext uri="{FF2B5EF4-FFF2-40B4-BE49-F238E27FC236}">
                                <a16:creationId xmlns:a16="http://schemas.microsoft.com/office/drawing/2014/main" id="{D9EFF6FF-51AD-4FE7-B501-BCA767CF4A3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81638" y="1716280"/>
                            <a:ext cx="770715" cy="998345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41" name="자유형 105">
                            <a:extLst>
                              <a:ext uri="{FF2B5EF4-FFF2-40B4-BE49-F238E27FC236}">
                                <a16:creationId xmlns:a16="http://schemas.microsoft.com/office/drawing/2014/main" id="{96F83F21-6D8E-409B-9AFB-30CF6180D1D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5869782" y="1628569"/>
                            <a:ext cx="381000" cy="82531"/>
                          </a:xfrm>
                          <a:custGeom>
                            <a:avLst/>
                            <a:gdLst>
                              <a:gd name="connsiteX0" fmla="*/ 78581 w 381000"/>
                              <a:gd name="connsiteY0" fmla="*/ 0 h 88107"/>
                              <a:gd name="connsiteX1" fmla="*/ 381000 w 381000"/>
                              <a:gd name="connsiteY1" fmla="*/ 0 h 88107"/>
                              <a:gd name="connsiteX2" fmla="*/ 381000 w 381000"/>
                              <a:gd name="connsiteY2" fmla="*/ 88107 h 88107"/>
                              <a:gd name="connsiteX3" fmla="*/ 0 w 381000"/>
                              <a:gd name="connsiteY3" fmla="*/ 88107 h 88107"/>
                              <a:gd name="connsiteX4" fmla="*/ 78581 w 381000"/>
                              <a:gd name="connsiteY4" fmla="*/ 0 h 88107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381000" h="88107">
                                <a:moveTo>
                                  <a:pt x="78581" y="0"/>
                                </a:moveTo>
                                <a:lnTo>
                                  <a:pt x="381000" y="0"/>
                                </a:lnTo>
                                <a:lnTo>
                                  <a:pt x="381000" y="88107"/>
                                </a:lnTo>
                                <a:lnTo>
                                  <a:pt x="0" y="88107"/>
                                </a:lnTo>
                                <a:lnTo>
                                  <a:pt x="78581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n w="3175">
                            <a:solidFill>
                              <a:schemeClr val="accent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US" sz="1100"/>
                          </a:p>
                        </xdr:txBody>
                      </xdr:sp>
                    </xdr:grpSp>
                    <xdr:sp macro="" textlink="">
                      <xdr:nvSpPr>
                        <xdr:cNvPr id="37" name="원호 95">
                          <a:extLst>
                            <a:ext uri="{FF2B5EF4-FFF2-40B4-BE49-F238E27FC236}">
                              <a16:creationId xmlns:a16="http://schemas.microsoft.com/office/drawing/2014/main" id="{E686D267-0C6C-4F19-ADB4-8BEE3C08A5C0}"/>
                            </a:ext>
                          </a:extLst>
                        </xdr:cNvPr>
                        <xdr:cNvSpPr/>
                      </xdr:nvSpPr>
                      <xdr:spPr>
                        <a:xfrm rot="11444375">
                          <a:off x="5995988" y="1588294"/>
                          <a:ext cx="250031" cy="326232"/>
                        </a:xfrm>
                        <a:prstGeom prst="arc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US" sz="1100"/>
                        </a:p>
                      </xdr:txBody>
                    </xdr:sp>
                    <xdr:sp macro="" textlink="">
                      <xdr:nvSpPr>
                        <xdr:cNvPr id="38" name="TextBox 37">
                          <a:extLst>
                            <a:ext uri="{FF2B5EF4-FFF2-40B4-BE49-F238E27FC236}">
                              <a16:creationId xmlns:a16="http://schemas.microsoft.com/office/drawing/2014/main" id="{4AF07CFE-C878-48F8-81E7-6AFCD18C6EF4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80117" y="1763467"/>
                          <a:ext cx="240508" cy="20032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>
                              <a:sym typeface="Symbol"/>
                            </a:rPr>
                            <a:t></a:t>
                          </a:r>
                          <a:endParaRPr lang="en-US" sz="900"/>
                        </a:p>
                      </xdr:txBody>
                    </xdr:sp>
                  </xdr:grpSp>
                </xdr:grpSp>
              </xdr:grpSp>
              <xdr:cxnSp macro="">
                <xdr:nvCxnSpPr>
                  <xdr:cNvPr id="14" name="직선 화살표 연결선 150">
                    <a:extLst>
                      <a:ext uri="{FF2B5EF4-FFF2-40B4-BE49-F238E27FC236}">
                        <a16:creationId xmlns:a16="http://schemas.microsoft.com/office/drawing/2014/main" id="{959C0C26-07DD-4EFF-A481-477C991E9239}"/>
                      </a:ext>
                    </a:extLst>
                  </xdr:cNvPr>
                  <xdr:cNvCxnSpPr/>
                </xdr:nvCxnSpPr>
                <xdr:spPr>
                  <a:xfrm>
                    <a:off x="6072615" y="6131881"/>
                    <a:ext cx="0" cy="405884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5" name="그룹 167">
                    <a:extLst>
                      <a:ext uri="{FF2B5EF4-FFF2-40B4-BE49-F238E27FC236}">
                        <a16:creationId xmlns:a16="http://schemas.microsoft.com/office/drawing/2014/main" id="{BF4E8934-BD98-405E-AE99-7DFFF902711E}"/>
                      </a:ext>
                    </a:extLst>
                  </xdr:cNvPr>
                  <xdr:cNvGrpSpPr/>
                </xdr:nvGrpSpPr>
                <xdr:grpSpPr>
                  <a:xfrm>
                    <a:off x="4829506" y="6603321"/>
                    <a:ext cx="1459379" cy="812501"/>
                    <a:chOff x="4829506" y="6603321"/>
                    <a:chExt cx="1459379" cy="812501"/>
                  </a:xfrm>
                </xdr:grpSpPr>
                <xdr:sp macro="" textlink="">
                  <xdr:nvSpPr>
                    <xdr:cNvPr id="16" name="TextBox 15">
                      <a:extLst>
                        <a:ext uri="{FF2B5EF4-FFF2-40B4-BE49-F238E27FC236}">
                          <a16:creationId xmlns:a16="http://schemas.microsoft.com/office/drawing/2014/main" id="{E4B3BBFD-99F2-419D-A5A0-FA54C33798E2}"/>
                        </a:ext>
                      </a:extLst>
                    </xdr:cNvPr>
                    <xdr:cNvSpPr txBox="1"/>
                  </xdr:nvSpPr>
                  <xdr:spPr>
                    <a:xfrm>
                      <a:off x="5017707" y="6603321"/>
                      <a:ext cx="359139" cy="22516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V</a:t>
                      </a:r>
                      <a:endParaRPr lang="en-US" sz="900"/>
                    </a:p>
                  </xdr:txBody>
                </xdr:sp>
                <xdr:grpSp>
                  <xdr:nvGrpSpPr>
                    <xdr:cNvPr id="17" name="그룹 166">
                      <a:extLst>
                        <a:ext uri="{FF2B5EF4-FFF2-40B4-BE49-F238E27FC236}">
                          <a16:creationId xmlns:a16="http://schemas.microsoft.com/office/drawing/2014/main" id="{A1319D83-DABE-49EE-BCDC-023ABFC5D871}"/>
                        </a:ext>
                      </a:extLst>
                    </xdr:cNvPr>
                    <xdr:cNvGrpSpPr/>
                  </xdr:nvGrpSpPr>
                  <xdr:grpSpPr>
                    <a:xfrm>
                      <a:off x="4829506" y="6708622"/>
                      <a:ext cx="1459379" cy="707200"/>
                      <a:chOff x="4829506" y="6708622"/>
                      <a:chExt cx="1459379" cy="707200"/>
                    </a:xfrm>
                  </xdr:grpSpPr>
                  <xdr:grpSp>
                    <xdr:nvGrpSpPr>
                      <xdr:cNvPr id="18" name="그룹 63">
                        <a:extLst>
                          <a:ext uri="{FF2B5EF4-FFF2-40B4-BE49-F238E27FC236}">
                            <a16:creationId xmlns:a16="http://schemas.microsoft.com/office/drawing/2014/main" id="{8B73EFD1-34FF-42C7-BC32-D77A2196BA0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79204" y="6708622"/>
                        <a:ext cx="255599" cy="413813"/>
                        <a:chOff x="4867273" y="6713385"/>
                        <a:chExt cx="255599" cy="413813"/>
                      </a:xfrm>
                    </xdr:grpSpPr>
                    <xdr:cxnSp macro="">
                      <xdr:nvCxnSpPr>
                        <xdr:cNvPr id="27" name="직선 화살표 연결선 147">
                          <a:extLst>
                            <a:ext uri="{FF2B5EF4-FFF2-40B4-BE49-F238E27FC236}">
                              <a16:creationId xmlns:a16="http://schemas.microsoft.com/office/drawing/2014/main" id="{FF6A6361-B4B2-43AF-976F-4D045FFB2577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010955" y="6724766"/>
                          <a:ext cx="111917" cy="402432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headEnd w="sm" len="sm"/>
                          <a:tailEnd type="triangle" w="med" len="med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8" name="직선 화살표 연결선 33">
                          <a:extLst>
                            <a:ext uri="{FF2B5EF4-FFF2-40B4-BE49-F238E27FC236}">
                              <a16:creationId xmlns:a16="http://schemas.microsoft.com/office/drawing/2014/main" id="{AF6CB0E3-352E-440B-97C4-15B3AB2BC6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67273" y="7120574"/>
                          <a:ext cx="145257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" name="직선 연결선 55">
                          <a:extLst>
                            <a:ext uri="{FF2B5EF4-FFF2-40B4-BE49-F238E27FC236}">
                              <a16:creationId xmlns:a16="http://schemas.microsoft.com/office/drawing/2014/main" id="{2BCDF8DD-3397-44FD-A197-D2FC0930BEA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7848" y="6718147"/>
                          <a:ext cx="112712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0" name="직선 연결선 58">
                          <a:extLst>
                            <a:ext uri="{FF2B5EF4-FFF2-40B4-BE49-F238E27FC236}">
                              <a16:creationId xmlns:a16="http://schemas.microsoft.com/office/drawing/2014/main" id="{3788FA52-529B-482C-860A-09D8695203A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5862" y="6713385"/>
                          <a:ext cx="0" cy="402431"/>
                        </a:xfrm>
                        <a:prstGeom prst="line">
                          <a:avLst/>
                        </a:prstGeom>
                        <a:ln>
                          <a:prstDash val="sysDot"/>
                          <a:tailEnd type="non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1" name="직선 연결선 60">
                          <a:extLst>
                            <a:ext uri="{FF2B5EF4-FFF2-40B4-BE49-F238E27FC236}">
                              <a16:creationId xmlns:a16="http://schemas.microsoft.com/office/drawing/2014/main" id="{FE535BA1-DD74-4E75-A23E-5D7EF5E8ED8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876811" y="6725292"/>
                          <a:ext cx="116670" cy="388145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19" name="TextBox 18">
                        <a:extLst>
                          <a:ext uri="{FF2B5EF4-FFF2-40B4-BE49-F238E27FC236}">
                            <a16:creationId xmlns:a16="http://schemas.microsoft.com/office/drawing/2014/main" id="{312C00B4-CA60-41EB-B32D-71D21FE8F79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829506" y="6988495"/>
                        <a:ext cx="359139" cy="22516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V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  <xdr:grpSp>
                    <xdr:nvGrpSpPr>
                      <xdr:cNvPr id="20" name="그룹 162">
                        <a:extLst>
                          <a:ext uri="{FF2B5EF4-FFF2-40B4-BE49-F238E27FC236}">
                            <a16:creationId xmlns:a16="http://schemas.microsoft.com/office/drawing/2014/main" id="{C7280DCF-1436-4F42-9E57-33C5E84443D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672138" y="6838956"/>
                        <a:ext cx="616747" cy="414338"/>
                        <a:chOff x="5710234" y="6898481"/>
                        <a:chExt cx="616747" cy="414338"/>
                      </a:xfrm>
                    </xdr:grpSpPr>
                    <xdr:cxnSp macro="">
                      <xdr:nvCxnSpPr>
                        <xdr:cNvPr id="22" name="직선 화살표 연결선 68">
                          <a:extLst>
                            <a:ext uri="{FF2B5EF4-FFF2-40B4-BE49-F238E27FC236}">
                              <a16:creationId xmlns:a16="http://schemas.microsoft.com/office/drawing/2014/main" id="{DB9462D4-A8AF-49CB-93F4-F0928ACE083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710234" y="7310437"/>
                          <a:ext cx="319090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" name="직선 연결선 71">
                          <a:extLst>
                            <a:ext uri="{FF2B5EF4-FFF2-40B4-BE49-F238E27FC236}">
                              <a16:creationId xmlns:a16="http://schemas.microsoft.com/office/drawing/2014/main" id="{388C736E-750A-4BC2-AB09-E880E001CE8F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710234" y="6900863"/>
                          <a:ext cx="309566" cy="40718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" name="직선 화살표 연결선 156">
                          <a:extLst>
                            <a:ext uri="{FF2B5EF4-FFF2-40B4-BE49-F238E27FC236}">
                              <a16:creationId xmlns:a16="http://schemas.microsoft.com/office/drawing/2014/main" id="{1506BB11-7CC5-4745-9C9D-542355C056BC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6022181" y="6898481"/>
                          <a:ext cx="298915" cy="414338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5" name="직선 연결선 158">
                          <a:extLst>
                            <a:ext uri="{FF2B5EF4-FFF2-40B4-BE49-F238E27FC236}">
                              <a16:creationId xmlns:a16="http://schemas.microsoft.com/office/drawing/2014/main" id="{27156166-E673-47FC-A822-238BD167CE4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9325" y="6900863"/>
                          <a:ext cx="297656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" name="직선 연결선 161">
                          <a:extLst>
                            <a:ext uri="{FF2B5EF4-FFF2-40B4-BE49-F238E27FC236}">
                              <a16:creationId xmlns:a16="http://schemas.microsoft.com/office/drawing/2014/main" id="{1656F803-6DB9-4575-986A-25B37CCABBE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4563" y="6898481"/>
                          <a:ext cx="0" cy="41195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TextBox 20">
                        <a:extLst>
                          <a:ext uri="{FF2B5EF4-FFF2-40B4-BE49-F238E27FC236}">
                            <a16:creationId xmlns:a16="http://schemas.microsoft.com/office/drawing/2014/main" id="{F3284632-2D0E-4877-B2AF-2A38C2FD01A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32280" y="7259033"/>
                        <a:ext cx="437192" cy="15678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F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</xdr:grpSp>
              </xdr:grpSp>
            </xdr:grpSp>
            <xdr:cxnSp macro="">
              <xdr:nvCxnSpPr>
                <xdr:cNvPr id="10" name="직선 연결선 58">
                  <a:extLst>
                    <a:ext uri="{FF2B5EF4-FFF2-40B4-BE49-F238E27FC236}">
                      <a16:creationId xmlns:a16="http://schemas.microsoft.com/office/drawing/2014/main" id="{C63E79C8-331B-4A71-81EC-2895626772FA}"/>
                    </a:ext>
                  </a:extLst>
                </xdr:cNvPr>
                <xdr:cNvCxnSpPr/>
              </xdr:nvCxnSpPr>
              <xdr:spPr>
                <a:xfrm>
                  <a:off x="3233790" y="14073864"/>
                  <a:ext cx="0" cy="421952"/>
                </a:xfrm>
                <a:prstGeom prst="line">
                  <a:avLst/>
                </a:prstGeom>
                <a:ln>
                  <a:prstDash val="sysDot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" name="원호 95">
                  <a:extLst>
                    <a:ext uri="{FF2B5EF4-FFF2-40B4-BE49-F238E27FC236}">
                      <a16:creationId xmlns:a16="http://schemas.microsoft.com/office/drawing/2014/main" id="{43ED9DBE-F653-4E76-B24A-640E52135817}"/>
                    </a:ext>
                  </a:extLst>
                </xdr:cNvPr>
                <xdr:cNvSpPr/>
              </xdr:nvSpPr>
              <xdr:spPr>
                <a:xfrm rot="20183720">
                  <a:off x="3176790" y="14180035"/>
                  <a:ext cx="250118" cy="325667"/>
                </a:xfrm>
                <a:prstGeom prst="arc">
                  <a:avLst>
                    <a:gd name="adj1" fmla="val 16200000"/>
                    <a:gd name="adj2" fmla="val 18250166"/>
                  </a:avLst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11019D51-C595-491C-AA3C-683036C307D7}"/>
                    </a:ext>
                  </a:extLst>
                </xdr:cNvPr>
                <xdr:cNvSpPr txBox="1"/>
              </xdr:nvSpPr>
              <xdr:spPr>
                <a:xfrm>
                  <a:off x="3139424" y="13978180"/>
                  <a:ext cx="359139" cy="23608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l-GR" altLang="ko-KR" sz="900">
                      <a:ea typeface="맑은 고딕" panose="020B0503020000020004" pitchFamily="50" charset="-127"/>
                    </a:rPr>
                    <a:t>θ</a:t>
                  </a:r>
                  <a:endParaRPr lang="en-US" sz="9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309537</xdr:colOff>
      <xdr:row>52</xdr:row>
      <xdr:rowOff>162652</xdr:rowOff>
    </xdr:from>
    <xdr:to>
      <xdr:col>8</xdr:col>
      <xdr:colOff>4604</xdr:colOff>
      <xdr:row>61</xdr:row>
      <xdr:rowOff>171514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2719619F-75D3-4A18-A593-24F273710151}"/>
            </a:ext>
          </a:extLst>
        </xdr:cNvPr>
        <xdr:cNvGrpSpPr/>
      </xdr:nvGrpSpPr>
      <xdr:grpSpPr>
        <a:xfrm>
          <a:off x="1109637" y="10297252"/>
          <a:ext cx="2095367" cy="1723362"/>
          <a:chOff x="970564" y="11686932"/>
          <a:chExt cx="2578985" cy="1723860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42A3FB9C-D732-4161-BEE7-C1A9B0A30A69}"/>
              </a:ext>
            </a:extLst>
          </xdr:cNvPr>
          <xdr:cNvGrpSpPr/>
        </xdr:nvGrpSpPr>
        <xdr:grpSpPr>
          <a:xfrm>
            <a:off x="970564" y="11686932"/>
            <a:ext cx="2578985" cy="1723860"/>
            <a:chOff x="1065826" y="10766266"/>
            <a:chExt cx="2977806" cy="2118679"/>
          </a:xfrm>
        </xdr:grpSpPr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A6A5840A-DFCC-460B-AAC8-195F6E76AD7C}"/>
                </a:ext>
              </a:extLst>
            </xdr:cNvPr>
            <xdr:cNvCxnSpPr/>
          </xdr:nvCxnSpPr>
          <xdr:spPr>
            <a:xfrm>
              <a:off x="3731281" y="12288354"/>
              <a:ext cx="0" cy="2027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3" name="Group 62">
              <a:extLst>
                <a:ext uri="{FF2B5EF4-FFF2-40B4-BE49-F238E27FC236}">
                  <a16:creationId xmlns:a16="http://schemas.microsoft.com/office/drawing/2014/main" id="{DAAE453A-6EC2-4027-B50C-20323054CFC0}"/>
                </a:ext>
              </a:extLst>
            </xdr:cNvPr>
            <xdr:cNvGrpSpPr/>
          </xdr:nvGrpSpPr>
          <xdr:grpSpPr>
            <a:xfrm>
              <a:off x="1065826" y="10766266"/>
              <a:ext cx="2977806" cy="2118679"/>
              <a:chOff x="1083798" y="10593550"/>
              <a:chExt cx="3031721" cy="2080779"/>
            </a:xfrm>
          </xdr:grpSpPr>
          <xdr:cxnSp macro="">
            <xdr:nvCxnSpPr>
              <xdr:cNvPr id="64" name="Straight Connector 63">
                <a:extLst>
                  <a:ext uri="{FF2B5EF4-FFF2-40B4-BE49-F238E27FC236}">
                    <a16:creationId xmlns:a16="http://schemas.microsoft.com/office/drawing/2014/main" id="{EC1C96BD-BBA8-4D68-95DF-57D4EB3E69A6}"/>
                  </a:ext>
                </a:extLst>
              </xdr:cNvPr>
              <xdr:cNvCxnSpPr/>
            </xdr:nvCxnSpPr>
            <xdr:spPr>
              <a:xfrm>
                <a:off x="1628890" y="12075141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Straight Connector 64">
                <a:extLst>
                  <a:ext uri="{FF2B5EF4-FFF2-40B4-BE49-F238E27FC236}">
                    <a16:creationId xmlns:a16="http://schemas.microsoft.com/office/drawing/2014/main" id="{B4784B41-5784-4983-BC59-CD4BE728DDFB}"/>
                  </a:ext>
                </a:extLst>
              </xdr:cNvPr>
              <xdr:cNvCxnSpPr/>
            </xdr:nvCxnSpPr>
            <xdr:spPr>
              <a:xfrm>
                <a:off x="2712262" y="12083259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6" name="Group 65">
                <a:extLst>
                  <a:ext uri="{FF2B5EF4-FFF2-40B4-BE49-F238E27FC236}">
                    <a16:creationId xmlns:a16="http://schemas.microsoft.com/office/drawing/2014/main" id="{84318446-3E86-405B-A1E1-FBB9FCB4BB4F}"/>
                  </a:ext>
                </a:extLst>
              </xdr:cNvPr>
              <xdr:cNvGrpSpPr/>
            </xdr:nvGrpSpPr>
            <xdr:grpSpPr>
              <a:xfrm>
                <a:off x="1083798" y="10593550"/>
                <a:ext cx="3031721" cy="2080779"/>
                <a:chOff x="1083798" y="10593550"/>
                <a:chExt cx="3031721" cy="2080779"/>
              </a:xfrm>
            </xdr:grpSpPr>
            <xdr:grpSp>
              <xdr:nvGrpSpPr>
                <xdr:cNvPr id="67" name="Group 66">
                  <a:extLst>
                    <a:ext uri="{FF2B5EF4-FFF2-40B4-BE49-F238E27FC236}">
                      <a16:creationId xmlns:a16="http://schemas.microsoft.com/office/drawing/2014/main" id="{C3BBAF81-6F12-4315-A3A0-D37A27DD49A3}"/>
                    </a:ext>
                  </a:extLst>
                </xdr:cNvPr>
                <xdr:cNvGrpSpPr/>
              </xdr:nvGrpSpPr>
              <xdr:grpSpPr>
                <a:xfrm>
                  <a:off x="1133916" y="10593550"/>
                  <a:ext cx="2903515" cy="423185"/>
                  <a:chOff x="1121850" y="10663805"/>
                  <a:chExt cx="2866025" cy="426328"/>
                </a:xfrm>
              </xdr:grpSpPr>
              <xdr:grpSp>
                <xdr:nvGrpSpPr>
                  <xdr:cNvPr id="99" name="Group 98">
                    <a:extLst>
                      <a:ext uri="{FF2B5EF4-FFF2-40B4-BE49-F238E27FC236}">
                        <a16:creationId xmlns:a16="http://schemas.microsoft.com/office/drawing/2014/main" id="{E3FD2737-36B6-4CB9-B96E-EB42CA03DFFB}"/>
                      </a:ext>
                    </a:extLst>
                  </xdr:cNvPr>
                  <xdr:cNvGrpSpPr/>
                </xdr:nvGrpSpPr>
                <xdr:grpSpPr>
                  <a:xfrm>
                    <a:off x="1121850" y="10860368"/>
                    <a:ext cx="2866025" cy="229765"/>
                    <a:chOff x="1084049" y="10957694"/>
                    <a:chExt cx="2849468" cy="229012"/>
                  </a:xfrm>
                </xdr:grpSpPr>
                <xdr:cxnSp macro="">
                  <xdr:nvCxnSpPr>
                    <xdr:cNvPr id="101" name="Straight Connector 100">
                      <a:extLst>
                        <a:ext uri="{FF2B5EF4-FFF2-40B4-BE49-F238E27FC236}">
                          <a16:creationId xmlns:a16="http://schemas.microsoft.com/office/drawing/2014/main" id="{DF7B59BD-7E2E-4228-B6E2-4E7BABA16E69}"/>
                        </a:ext>
                      </a:extLst>
                    </xdr:cNvPr>
                    <xdr:cNvCxnSpPr/>
                  </xdr:nvCxnSpPr>
                  <xdr:spPr>
                    <a:xfrm>
                      <a:off x="1091819" y="11179700"/>
                      <a:ext cx="2841698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2" name="Straight Connector 101">
                      <a:extLst>
                        <a:ext uri="{FF2B5EF4-FFF2-40B4-BE49-F238E27FC236}">
                          <a16:creationId xmlns:a16="http://schemas.microsoft.com/office/drawing/2014/main" id="{D9A616E9-4FB0-494A-8642-C5F22AFDEBCC}"/>
                        </a:ext>
                      </a:extLst>
                    </xdr:cNvPr>
                    <xdr:cNvCxnSpPr/>
                  </xdr:nvCxnSpPr>
                  <xdr:spPr>
                    <a:xfrm flipV="1">
                      <a:off x="1095570" y="10957694"/>
                      <a:ext cx="0" cy="223593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3" name="Straight Connector 102">
                      <a:extLst>
                        <a:ext uri="{FF2B5EF4-FFF2-40B4-BE49-F238E27FC236}">
                          <a16:creationId xmlns:a16="http://schemas.microsoft.com/office/drawing/2014/main" id="{F6330CEF-B533-4DE2-A2EE-6BE6C20D7B68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78721" y="10967708"/>
                      <a:ext cx="0" cy="21358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4" name="Straight Connector 103">
                      <a:extLst>
                        <a:ext uri="{FF2B5EF4-FFF2-40B4-BE49-F238E27FC236}">
                          <a16:creationId xmlns:a16="http://schemas.microsoft.com/office/drawing/2014/main" id="{2FF43AE1-D440-4AF8-BA7B-977C2B45F0F2}"/>
                        </a:ext>
                      </a:extLst>
                    </xdr:cNvPr>
                    <xdr:cNvCxnSpPr/>
                  </xdr:nvCxnSpPr>
                  <xdr:spPr>
                    <a:xfrm>
                      <a:off x="1084049" y="10959875"/>
                      <a:ext cx="2841263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5" name="Straight Connector 104">
                      <a:extLst>
                        <a:ext uri="{FF2B5EF4-FFF2-40B4-BE49-F238E27FC236}">
                          <a16:creationId xmlns:a16="http://schemas.microsoft.com/office/drawing/2014/main" id="{BBFA14EF-2B7A-43D5-820C-B4100237D5D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662848" y="10967708"/>
                      <a:ext cx="0" cy="21899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6" name="Straight Connector 105">
                      <a:extLst>
                        <a:ext uri="{FF2B5EF4-FFF2-40B4-BE49-F238E27FC236}">
                          <a16:creationId xmlns:a16="http://schemas.microsoft.com/office/drawing/2014/main" id="{B55413B6-99C9-4C86-A35E-65D8AC74A4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1945999" y="10961294"/>
                      <a:ext cx="0" cy="2254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7" name="Straight Connector 106">
                      <a:extLst>
                        <a:ext uri="{FF2B5EF4-FFF2-40B4-BE49-F238E27FC236}">
                          <a16:creationId xmlns:a16="http://schemas.microsoft.com/office/drawing/2014/main" id="{4012F454-1B85-4D24-B2B2-215271E2510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230126" y="10964500"/>
                      <a:ext cx="0" cy="219498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8" name="Straight Connector 107">
                      <a:extLst>
                        <a:ext uri="{FF2B5EF4-FFF2-40B4-BE49-F238E27FC236}">
                          <a16:creationId xmlns:a16="http://schemas.microsoft.com/office/drawing/2014/main" id="{B1A6988A-6170-4B7A-A365-88B87534A552}"/>
                        </a:ext>
                      </a:extLst>
                    </xdr:cNvPr>
                    <xdr:cNvCxnSpPr/>
                  </xdr:nvCxnSpPr>
                  <xdr:spPr>
                    <a:xfrm flipV="1">
                      <a:off x="2514254" y="10964500"/>
                      <a:ext cx="0" cy="2222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9" name="Straight Connector 108">
                      <a:extLst>
                        <a:ext uri="{FF2B5EF4-FFF2-40B4-BE49-F238E27FC236}">
                          <a16:creationId xmlns:a16="http://schemas.microsoft.com/office/drawing/2014/main" id="{1B842C47-5625-43B8-A95C-41D1AC62CE3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797405" y="10964500"/>
                      <a:ext cx="0" cy="222204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0" name="Straight Connector 109">
                      <a:extLst>
                        <a:ext uri="{FF2B5EF4-FFF2-40B4-BE49-F238E27FC236}">
                          <a16:creationId xmlns:a16="http://schemas.microsoft.com/office/drawing/2014/main" id="{025E5C66-4488-43D7-8D62-EE331947529A}"/>
                        </a:ext>
                      </a:extLst>
                    </xdr:cNvPr>
                    <xdr:cNvCxnSpPr/>
                  </xdr:nvCxnSpPr>
                  <xdr:spPr>
                    <a:xfrm flipV="1">
                      <a:off x="3079801" y="10958086"/>
                      <a:ext cx="0" cy="220499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1" name="Straight Connector 110">
                      <a:extLst>
                        <a:ext uri="{FF2B5EF4-FFF2-40B4-BE49-F238E27FC236}">
                          <a16:creationId xmlns:a16="http://schemas.microsoft.com/office/drawing/2014/main" id="{AD018E4A-3362-4329-B62E-61060AF60935}"/>
                        </a:ext>
                      </a:extLst>
                    </xdr:cNvPr>
                    <xdr:cNvCxnSpPr/>
                  </xdr:nvCxnSpPr>
                  <xdr:spPr>
                    <a:xfrm flipV="1">
                      <a:off x="3363927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2" name="Straight Connector 111">
                      <a:extLst>
                        <a:ext uri="{FF2B5EF4-FFF2-40B4-BE49-F238E27FC236}">
                          <a16:creationId xmlns:a16="http://schemas.microsoft.com/office/drawing/2014/main" id="{2BA7DDA6-BB53-4ADD-843E-639F670A4649}"/>
                        </a:ext>
                      </a:extLst>
                    </xdr:cNvPr>
                    <xdr:cNvCxnSpPr/>
                  </xdr:nvCxnSpPr>
                  <xdr:spPr>
                    <a:xfrm flipV="1">
                      <a:off x="3647079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3" name="Straight Connector 112">
                      <a:extLst>
                        <a:ext uri="{FF2B5EF4-FFF2-40B4-BE49-F238E27FC236}">
                          <a16:creationId xmlns:a16="http://schemas.microsoft.com/office/drawing/2014/main" id="{468126D8-662F-400E-A3BF-24CCE995C9EE}"/>
                        </a:ext>
                      </a:extLst>
                    </xdr:cNvPr>
                    <xdr:cNvCxnSpPr/>
                  </xdr:nvCxnSpPr>
                  <xdr:spPr>
                    <a:xfrm flipV="1">
                      <a:off x="3931205" y="10958089"/>
                      <a:ext cx="0" cy="223207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100" name="TextBox 99">
                    <a:extLst>
                      <a:ext uri="{FF2B5EF4-FFF2-40B4-BE49-F238E27FC236}">
                        <a16:creationId xmlns:a16="http://schemas.microsoft.com/office/drawing/2014/main" id="{449AD5DF-23CD-44FB-9699-51CAC360C658}"/>
                      </a:ext>
                    </a:extLst>
                  </xdr:cNvPr>
                  <xdr:cNvSpPr txBox="1"/>
                </xdr:nvSpPr>
                <xdr:spPr>
                  <a:xfrm>
                    <a:off x="1569240" y="10663805"/>
                    <a:ext cx="2171309" cy="24827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Lateral uniformly</a:t>
                    </a:r>
                    <a:r>
                      <a:rPr lang="en-US" sz="900" baseline="0"/>
                      <a:t> distributed load w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68" name="Group 67">
                  <a:extLst>
                    <a:ext uri="{FF2B5EF4-FFF2-40B4-BE49-F238E27FC236}">
                      <a16:creationId xmlns:a16="http://schemas.microsoft.com/office/drawing/2014/main" id="{864F8D3A-695E-417F-AB06-63D4B362B33C}"/>
                    </a:ext>
                  </a:extLst>
                </xdr:cNvPr>
                <xdr:cNvGrpSpPr/>
              </xdr:nvGrpSpPr>
              <xdr:grpSpPr>
                <a:xfrm>
                  <a:off x="1115769" y="11879312"/>
                  <a:ext cx="2992135" cy="795017"/>
                  <a:chOff x="1115769" y="11879312"/>
                  <a:chExt cx="2992135" cy="795017"/>
                </a:xfrm>
              </xdr:grpSpPr>
              <xdr:grpSp>
                <xdr:nvGrpSpPr>
                  <xdr:cNvPr id="80" name="Group 79">
                    <a:extLst>
                      <a:ext uri="{FF2B5EF4-FFF2-40B4-BE49-F238E27FC236}">
                        <a16:creationId xmlns:a16="http://schemas.microsoft.com/office/drawing/2014/main" id="{DE755C98-2689-44B7-B67D-CDE3CDED1077}"/>
                      </a:ext>
                    </a:extLst>
                  </xdr:cNvPr>
                  <xdr:cNvGrpSpPr/>
                </xdr:nvGrpSpPr>
                <xdr:grpSpPr>
                  <a:xfrm>
                    <a:off x="1115769" y="12067645"/>
                    <a:ext cx="2992135" cy="606684"/>
                    <a:chOff x="1103303" y="12150040"/>
                    <a:chExt cx="2954737" cy="611670"/>
                  </a:xfrm>
                </xdr:grpSpPr>
                <xdr:grpSp>
                  <xdr:nvGrpSpPr>
                    <xdr:cNvPr id="83" name="Group 82">
                      <a:extLst>
                        <a:ext uri="{FF2B5EF4-FFF2-40B4-BE49-F238E27FC236}">
                          <a16:creationId xmlns:a16="http://schemas.microsoft.com/office/drawing/2014/main" id="{644411FE-8888-4060-BB03-99A2EDAC710E}"/>
                        </a:ext>
                      </a:extLst>
                    </xdr:cNvPr>
                    <xdr:cNvGrpSpPr/>
                  </xdr:nvGrpSpPr>
                  <xdr:grpSpPr>
                    <a:xfrm>
                      <a:off x="1124367" y="12150040"/>
                      <a:ext cx="2916423" cy="366862"/>
                      <a:chOff x="1118861" y="12117153"/>
                      <a:chExt cx="2899906" cy="365798"/>
                    </a:xfrm>
                  </xdr:grpSpPr>
                  <xdr:cxnSp macro="">
                    <xdr:nvCxnSpPr>
                      <xdr:cNvPr id="91" name="Straight Connector 90">
                        <a:extLst>
                          <a:ext uri="{FF2B5EF4-FFF2-40B4-BE49-F238E27FC236}">
                            <a16:creationId xmlns:a16="http://schemas.microsoft.com/office/drawing/2014/main" id="{5EE8F724-1B55-4964-9DA3-8C50339D7BC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36506" y="12318803"/>
                        <a:ext cx="2862912" cy="0"/>
                      </a:xfrm>
                      <a:prstGeom prst="line">
                        <a:avLst/>
                      </a:prstGeom>
                      <a:ln w="19050">
                        <a:solidFill>
                          <a:schemeClr val="tx2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92" name="Isosceles Triangle 91">
                        <a:extLst>
                          <a:ext uri="{FF2B5EF4-FFF2-40B4-BE49-F238E27FC236}">
                            <a16:creationId xmlns:a16="http://schemas.microsoft.com/office/drawing/2014/main" id="{1A469B9E-6C4D-4F9A-8748-D2D57D6910E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36989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3" name="Freeform 63">
                        <a:extLst>
                          <a:ext uri="{FF2B5EF4-FFF2-40B4-BE49-F238E27FC236}">
                            <a16:creationId xmlns:a16="http://schemas.microsoft.com/office/drawing/2014/main" id="{CD5BC945-FD8D-4934-8BD5-CA27746772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98373" y="12117153"/>
                        <a:ext cx="1063408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4" name="Freeform 288">
                        <a:extLst>
                          <a:ext uri="{FF2B5EF4-FFF2-40B4-BE49-F238E27FC236}">
                            <a16:creationId xmlns:a16="http://schemas.microsoft.com/office/drawing/2014/main" id="{ACAB04E8-448F-4C2E-AC33-80A5132DEACD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58518" y="12126939"/>
                        <a:ext cx="1076455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5" name="Freeform 64">
                        <a:extLst>
                          <a:ext uri="{FF2B5EF4-FFF2-40B4-BE49-F238E27FC236}">
                            <a16:creationId xmlns:a16="http://schemas.microsoft.com/office/drawing/2014/main" id="{DF152E09-241A-4144-8952-B4BE282E853C}"/>
                          </a:ext>
                        </a:extLst>
                      </xdr:cNvPr>
                      <xdr:cNvSpPr/>
                    </xdr:nvSpPr>
                    <xdr:spPr>
                      <a:xfrm>
                        <a:off x="3725188" y="12130200"/>
                        <a:ext cx="293579" cy="267928"/>
                      </a:xfrm>
                      <a:custGeom>
                        <a:avLst/>
                        <a:gdLst>
                          <a:gd name="connsiteX0" fmla="*/ 0 w 293579"/>
                          <a:gd name="connsiteY0" fmla="*/ 0 h 267483"/>
                          <a:gd name="connsiteX1" fmla="*/ 172886 w 293579"/>
                          <a:gd name="connsiteY1" fmla="*/ 176147 h 267483"/>
                          <a:gd name="connsiteX2" fmla="*/ 293579 w 293579"/>
                          <a:gd name="connsiteY2" fmla="*/ 267483 h 267483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293579" h="267483">
                            <a:moveTo>
                              <a:pt x="0" y="0"/>
                            </a:moveTo>
                            <a:cubicBezTo>
                              <a:pt x="61978" y="65783"/>
                              <a:pt x="123956" y="131567"/>
                              <a:pt x="172886" y="176147"/>
                            </a:cubicBezTo>
                            <a:cubicBezTo>
                              <a:pt x="221816" y="220728"/>
                              <a:pt x="262047" y="240300"/>
                              <a:pt x="293579" y="267483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6" name="Freeform 65">
                        <a:extLst>
                          <a:ext uri="{FF2B5EF4-FFF2-40B4-BE49-F238E27FC236}">
                            <a16:creationId xmlns:a16="http://schemas.microsoft.com/office/drawing/2014/main" id="{D6FC2216-DBA2-4872-B828-90C5992A19D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18861" y="12126939"/>
                        <a:ext cx="486036" cy="336430"/>
                      </a:xfrm>
                      <a:custGeom>
                        <a:avLst/>
                        <a:gdLst>
                          <a:gd name="connsiteX0" fmla="*/ 486036 w 486036"/>
                          <a:gd name="connsiteY0" fmla="*/ 0 h 335985"/>
                          <a:gd name="connsiteX1" fmla="*/ 306627 w 486036"/>
                          <a:gd name="connsiteY1" fmla="*/ 169623 h 335985"/>
                          <a:gd name="connsiteX2" fmla="*/ 166362 w 486036"/>
                          <a:gd name="connsiteY2" fmla="*/ 270745 h 335985"/>
                          <a:gd name="connsiteX3" fmla="*/ 65240 w 486036"/>
                          <a:gd name="connsiteY3" fmla="*/ 316413 h 335985"/>
                          <a:gd name="connsiteX4" fmla="*/ 0 w 486036"/>
                          <a:gd name="connsiteY4" fmla="*/ 335985 h 33598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486036" h="335985">
                            <a:moveTo>
                              <a:pt x="486036" y="0"/>
                            </a:moveTo>
                            <a:cubicBezTo>
                              <a:pt x="422971" y="62249"/>
                              <a:pt x="359906" y="124499"/>
                              <a:pt x="306627" y="169623"/>
                            </a:cubicBezTo>
                            <a:cubicBezTo>
                              <a:pt x="253348" y="214747"/>
                              <a:pt x="206593" y="246280"/>
                              <a:pt x="166362" y="270745"/>
                            </a:cubicBezTo>
                            <a:cubicBezTo>
                              <a:pt x="126131" y="295210"/>
                              <a:pt x="92967" y="305540"/>
                              <a:pt x="65240" y="316413"/>
                            </a:cubicBezTo>
                            <a:cubicBezTo>
                              <a:pt x="37513" y="327286"/>
                              <a:pt x="5437" y="326199"/>
                              <a:pt x="0" y="335985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7" name="Isosceles Triangle 96">
                        <a:extLst>
                          <a:ext uri="{FF2B5EF4-FFF2-40B4-BE49-F238E27FC236}">
                            <a16:creationId xmlns:a16="http://schemas.microsoft.com/office/drawing/2014/main" id="{080CC2B0-8EEA-4709-AE0B-D5CDA65107EE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01781" y="123260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8" name="Isosceles Triangle 97">
                        <a:extLst>
                          <a:ext uri="{FF2B5EF4-FFF2-40B4-BE49-F238E27FC236}">
                            <a16:creationId xmlns:a16="http://schemas.microsoft.com/office/drawing/2014/main" id="{9DA72B9D-302F-462C-A1AD-F3E22D92AE9A}"/>
                          </a:ext>
                        </a:extLst>
                      </xdr:cNvPr>
                      <xdr:cNvSpPr/>
                    </xdr:nvSpPr>
                    <xdr:spPr>
                      <a:xfrm>
                        <a:off x="3670638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</xdr:grpSp>
                <xdr:grpSp>
                  <xdr:nvGrpSpPr>
                    <xdr:cNvPr id="84" name="Group 83">
                      <a:extLst>
                        <a:ext uri="{FF2B5EF4-FFF2-40B4-BE49-F238E27FC236}">
                          <a16:creationId xmlns:a16="http://schemas.microsoft.com/office/drawing/2014/main" id="{4EE90B4A-EB92-438B-8124-5D69DF06D5EA}"/>
                        </a:ext>
                      </a:extLst>
                    </xdr:cNvPr>
                    <xdr:cNvGrpSpPr/>
                  </xdr:nvGrpSpPr>
                  <xdr:grpSpPr>
                    <a:xfrm>
                      <a:off x="1103303" y="12539761"/>
                      <a:ext cx="2954737" cy="153555"/>
                      <a:chOff x="1103303" y="12539761"/>
                      <a:chExt cx="2954737" cy="153555"/>
                    </a:xfrm>
                  </xdr:grpSpPr>
                  <xdr:cxnSp macro="">
                    <xdr:nvCxnSpPr>
                      <xdr:cNvPr id="87" name="Straight Connector 86">
                        <a:extLst>
                          <a:ext uri="{FF2B5EF4-FFF2-40B4-BE49-F238E27FC236}">
                            <a16:creationId xmlns:a16="http://schemas.microsoft.com/office/drawing/2014/main" id="{2DB3EB30-0632-48FF-B332-7ABC32FB5856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03303" y="12693316"/>
                        <a:ext cx="2954737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8" name="Straight Connector 87">
                        <a:extLst>
                          <a:ext uri="{FF2B5EF4-FFF2-40B4-BE49-F238E27FC236}">
                            <a16:creationId xmlns:a16="http://schemas.microsoft.com/office/drawing/2014/main" id="{B2B8E03B-AC5B-4586-B3F2-6889A32059A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601390" y="12541164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9" name="Straight Connector 88">
                        <a:extLst>
                          <a:ext uri="{FF2B5EF4-FFF2-40B4-BE49-F238E27FC236}">
                            <a16:creationId xmlns:a16="http://schemas.microsoft.com/office/drawing/2014/main" id="{FAE251F2-53F5-452F-9E4C-4578ADE313C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75809" y="12539762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0" name="Straight Connector 89">
                        <a:extLst>
                          <a:ext uri="{FF2B5EF4-FFF2-40B4-BE49-F238E27FC236}">
                            <a16:creationId xmlns:a16="http://schemas.microsoft.com/office/drawing/2014/main" id="{E257C91A-6985-411C-AEC0-04B692093216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3754942" y="12539761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85" name="TextBox 84">
                      <a:extLst>
                        <a:ext uri="{FF2B5EF4-FFF2-40B4-BE49-F238E27FC236}">
                          <a16:creationId xmlns:a16="http://schemas.microsoft.com/office/drawing/2014/main" id="{4C24C565-1908-4EF2-B4B2-A3E09C59C5F4}"/>
                        </a:ext>
                      </a:extLst>
                    </xdr:cNvPr>
                    <xdr:cNvSpPr txBox="1"/>
                  </xdr:nvSpPr>
                  <xdr:spPr>
                    <a:xfrm>
                      <a:off x="1976575" y="12525998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  <xdr:sp macro="" textlink="">
                  <xdr:nvSpPr>
                    <xdr:cNvPr id="86" name="TextBox 85">
                      <a:extLst>
                        <a:ext uri="{FF2B5EF4-FFF2-40B4-BE49-F238E27FC236}">
                          <a16:creationId xmlns:a16="http://schemas.microsoft.com/office/drawing/2014/main" id="{C5ED6B39-C5EA-40C1-AA0B-4DA45915537F}"/>
                        </a:ext>
                      </a:extLst>
                    </xdr:cNvPr>
                    <xdr:cNvSpPr txBox="1"/>
                  </xdr:nvSpPr>
                  <xdr:spPr>
                    <a:xfrm>
                      <a:off x="3083236" y="12520491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</xdr:grpSp>
              <xdr:sp macro="" textlink="">
                <xdr:nvSpPr>
                  <xdr:cNvPr id="81" name="TextBox 80">
                    <a:extLst>
                      <a:ext uri="{FF2B5EF4-FFF2-40B4-BE49-F238E27FC236}">
                        <a16:creationId xmlns:a16="http://schemas.microsoft.com/office/drawing/2014/main" id="{347578D5-6FAA-4F41-A134-A791D83FAE02}"/>
                      </a:ext>
                    </a:extLst>
                  </xdr:cNvPr>
                  <xdr:cNvSpPr txBox="1"/>
                </xdr:nvSpPr>
                <xdr:spPr>
                  <a:xfrm>
                    <a:off x="1374834" y="11879312"/>
                    <a:ext cx="1124338" cy="22899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  <xdr:sp macro="" textlink="">
                <xdr:nvSpPr>
                  <xdr:cNvPr id="82" name="TextBox 81">
                    <a:extLst>
                      <a:ext uri="{FF2B5EF4-FFF2-40B4-BE49-F238E27FC236}">
                        <a16:creationId xmlns:a16="http://schemas.microsoft.com/office/drawing/2014/main" id="{6A33C765-6EF4-4AA3-89C3-3074777FF38F}"/>
                      </a:ext>
                    </a:extLst>
                  </xdr:cNvPr>
                  <xdr:cNvSpPr txBox="1"/>
                </xdr:nvSpPr>
                <xdr:spPr>
                  <a:xfrm>
                    <a:off x="2408209" y="11889771"/>
                    <a:ext cx="1164205" cy="21853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</xdr:grpSp>
            <xdr:grpSp>
              <xdr:nvGrpSpPr>
                <xdr:cNvPr id="69" name="Group 68">
                  <a:extLst>
                    <a:ext uri="{FF2B5EF4-FFF2-40B4-BE49-F238E27FC236}">
                      <a16:creationId xmlns:a16="http://schemas.microsoft.com/office/drawing/2014/main" id="{1DD77CE1-5D1B-41C9-B1CC-4A5D4F754399}"/>
                    </a:ext>
                  </a:extLst>
                </xdr:cNvPr>
                <xdr:cNvGrpSpPr/>
              </xdr:nvGrpSpPr>
              <xdr:grpSpPr>
                <a:xfrm>
                  <a:off x="1083798" y="11138253"/>
                  <a:ext cx="3031721" cy="575632"/>
                  <a:chOff x="1083798" y="11138253"/>
                  <a:chExt cx="3031721" cy="575632"/>
                </a:xfrm>
              </xdr:grpSpPr>
              <xdr:cxnSp macro="">
                <xdr:nvCxnSpPr>
                  <xdr:cNvPr id="70" name="Straight Connector 69">
                    <a:extLst>
                      <a:ext uri="{FF2B5EF4-FFF2-40B4-BE49-F238E27FC236}">
                        <a16:creationId xmlns:a16="http://schemas.microsoft.com/office/drawing/2014/main" id="{E9C10959-598D-4951-8943-72E135460548}"/>
                      </a:ext>
                    </a:extLst>
                  </xdr:cNvPr>
                  <xdr:cNvCxnSpPr/>
                </xdr:nvCxnSpPr>
                <xdr:spPr>
                  <a:xfrm>
                    <a:off x="1644410" y="11202059"/>
                    <a:ext cx="1069316" cy="494222"/>
                  </a:xfrm>
                  <a:prstGeom prst="line">
                    <a:avLst/>
                  </a:prstGeom>
                  <a:ln w="66675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Straight Connector 70">
                    <a:extLst>
                      <a:ext uri="{FF2B5EF4-FFF2-40B4-BE49-F238E27FC236}">
                        <a16:creationId xmlns:a16="http://schemas.microsoft.com/office/drawing/2014/main" id="{D279FAAA-DF83-4532-8A8A-82BC4ECEE226}"/>
                      </a:ext>
                    </a:extLst>
                  </xdr:cNvPr>
                  <xdr:cNvCxnSpPr/>
                </xdr:nvCxnSpPr>
                <xdr:spPr>
                  <a:xfrm>
                    <a:off x="3836956" y="11202060"/>
                    <a:ext cx="278563" cy="128747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2" name="Straight Connector 71">
                    <a:extLst>
                      <a:ext uri="{FF2B5EF4-FFF2-40B4-BE49-F238E27FC236}">
                        <a16:creationId xmlns:a16="http://schemas.microsoft.com/office/drawing/2014/main" id="{5C811A1B-CC8B-48C6-8107-636390FAF434}"/>
                      </a:ext>
                    </a:extLst>
                  </xdr:cNvPr>
                  <xdr:cNvCxnSpPr/>
                </xdr:nvCxnSpPr>
                <xdr:spPr>
                  <a:xfrm flipV="1">
                    <a:off x="2722712" y="11193072"/>
                    <a:ext cx="1096274" cy="503208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Straight Connector 72">
                    <a:extLst>
                      <a:ext uri="{FF2B5EF4-FFF2-40B4-BE49-F238E27FC236}">
                        <a16:creationId xmlns:a16="http://schemas.microsoft.com/office/drawing/2014/main" id="{4C29B11A-9F42-45BC-B01D-DDE354823C98}"/>
                      </a:ext>
                    </a:extLst>
                  </xdr:cNvPr>
                  <xdr:cNvCxnSpPr/>
                </xdr:nvCxnSpPr>
                <xdr:spPr>
                  <a:xfrm flipV="1">
                    <a:off x="1087288" y="11193073"/>
                    <a:ext cx="512193" cy="235105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74" name="Group 73">
                    <a:extLst>
                      <a:ext uri="{FF2B5EF4-FFF2-40B4-BE49-F238E27FC236}">
                        <a16:creationId xmlns:a16="http://schemas.microsoft.com/office/drawing/2014/main" id="{A2DB5093-DD80-44B7-BD23-D1DC59624146}"/>
                      </a:ext>
                    </a:extLst>
                  </xdr:cNvPr>
                  <xdr:cNvGrpSpPr/>
                </xdr:nvGrpSpPr>
                <xdr:grpSpPr>
                  <a:xfrm>
                    <a:off x="1083798" y="11138253"/>
                    <a:ext cx="3021635" cy="575632"/>
                    <a:chOff x="1085265" y="11346627"/>
                    <a:chExt cx="3026036" cy="592688"/>
                  </a:xfrm>
                </xdr:grpSpPr>
                <xdr:cxnSp macro="">
                  <xdr:nvCxnSpPr>
                    <xdr:cNvPr id="75" name="Straight Connector 74">
                      <a:extLst>
                        <a:ext uri="{FF2B5EF4-FFF2-40B4-BE49-F238E27FC236}">
                          <a16:creationId xmlns:a16="http://schemas.microsoft.com/office/drawing/2014/main" id="{F0A26C37-86B2-4AC4-A17F-488BF1360A21}"/>
                        </a:ext>
                      </a:extLst>
                    </xdr:cNvPr>
                    <xdr:cNvCxnSpPr/>
                  </xdr:nvCxnSpPr>
                  <xdr:spPr>
                    <a:xfrm>
                      <a:off x="1607976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" name="Straight Connector 75">
                      <a:extLst>
                        <a:ext uri="{FF2B5EF4-FFF2-40B4-BE49-F238E27FC236}">
                          <a16:creationId xmlns:a16="http://schemas.microsoft.com/office/drawing/2014/main" id="{1FE22D0F-2DF5-46F5-A0F6-C6264F3FCD8F}"/>
                        </a:ext>
                      </a:extLst>
                    </xdr:cNvPr>
                    <xdr:cNvCxnSpPr/>
                  </xdr:nvCxnSpPr>
                  <xdr:spPr>
                    <a:xfrm>
                      <a:off x="3807668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7" name="Straight Connector 76">
                      <a:extLst>
                        <a:ext uri="{FF2B5EF4-FFF2-40B4-BE49-F238E27FC236}">
                          <a16:creationId xmlns:a16="http://schemas.microsoft.com/office/drawing/2014/main" id="{DC3D2FE3-EA51-46B8-971F-6E40261513A2}"/>
                        </a:ext>
                      </a:extLst>
                    </xdr:cNvPr>
                    <xdr:cNvCxnSpPr/>
                  </xdr:nvCxnSpPr>
                  <xdr:spPr>
                    <a:xfrm>
                      <a:off x="2717152" y="11394252"/>
                      <a:ext cx="0" cy="535538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8" name="Straight Connector 77">
                      <a:extLst>
                        <a:ext uri="{FF2B5EF4-FFF2-40B4-BE49-F238E27FC236}">
                          <a16:creationId xmlns:a16="http://schemas.microsoft.com/office/drawing/2014/main" id="{948CA58B-D4C9-434D-A916-B24B4C5B16E5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346627"/>
                      <a:ext cx="3016317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9" name="Straight Connector 78">
                      <a:extLst>
                        <a:ext uri="{FF2B5EF4-FFF2-40B4-BE49-F238E27FC236}">
                          <a16:creationId xmlns:a16="http://schemas.microsoft.com/office/drawing/2014/main" id="{1D543C24-5EC2-4AD5-B04E-2DB5A8D6644B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939315"/>
                      <a:ext cx="3026036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</xdr:grp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904F4863-6E4B-49BA-B289-66A4C1BB25C4}"/>
              </a:ext>
            </a:extLst>
          </xdr:cNvPr>
          <xdr:cNvGrpSpPr/>
        </xdr:nvGrpSpPr>
        <xdr:grpSpPr>
          <a:xfrm>
            <a:off x="1150071" y="11848970"/>
            <a:ext cx="2212498" cy="188595"/>
            <a:chOff x="1753345" y="11568352"/>
            <a:chExt cx="2212498" cy="189659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E96DE8A9-1299-468D-8CF6-F0BD9ECA6749}"/>
                </a:ext>
              </a:extLst>
            </xdr:cNvPr>
            <xdr:cNvCxnSpPr/>
          </xdr:nvCxnSpPr>
          <xdr:spPr>
            <a:xfrm flipV="1">
              <a:off x="1753345" y="11576334"/>
              <a:ext cx="0" cy="17718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52">
              <a:extLst>
                <a:ext uri="{FF2B5EF4-FFF2-40B4-BE49-F238E27FC236}">
                  <a16:creationId xmlns:a16="http://schemas.microsoft.com/office/drawing/2014/main" id="{A84854A8-0D77-455B-ABE4-FCEA91431898}"/>
                </a:ext>
              </a:extLst>
            </xdr:cNvPr>
            <xdr:cNvCxnSpPr/>
          </xdr:nvCxnSpPr>
          <xdr:spPr>
            <a:xfrm flipV="1">
              <a:off x="1999627" y="11576334"/>
              <a:ext cx="0" cy="18167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53">
              <a:extLst>
                <a:ext uri="{FF2B5EF4-FFF2-40B4-BE49-F238E27FC236}">
                  <a16:creationId xmlns:a16="http://schemas.microsoft.com/office/drawing/2014/main" id="{BF0BBB92-1FFC-4519-8B77-252F349431CA}"/>
                </a:ext>
              </a:extLst>
            </xdr:cNvPr>
            <xdr:cNvCxnSpPr/>
          </xdr:nvCxnSpPr>
          <xdr:spPr>
            <a:xfrm flipV="1">
              <a:off x="2245063" y="11571013"/>
              <a:ext cx="0" cy="186993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>
              <a:extLst>
                <a:ext uri="{FF2B5EF4-FFF2-40B4-BE49-F238E27FC236}">
                  <a16:creationId xmlns:a16="http://schemas.microsoft.com/office/drawing/2014/main" id="{AC29525B-E7FF-4264-A7C8-BED16047A4EA}"/>
                </a:ext>
              </a:extLst>
            </xdr:cNvPr>
            <xdr:cNvCxnSpPr/>
          </xdr:nvCxnSpPr>
          <xdr:spPr>
            <a:xfrm flipV="1">
              <a:off x="2491345" y="11573673"/>
              <a:ext cx="0" cy="182091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>
              <a:extLst>
                <a:ext uri="{FF2B5EF4-FFF2-40B4-BE49-F238E27FC236}">
                  <a16:creationId xmlns:a16="http://schemas.microsoft.com/office/drawing/2014/main" id="{65344FCF-19B6-4F75-B85A-9BECC8BCFCBC}"/>
                </a:ext>
              </a:extLst>
            </xdr:cNvPr>
            <xdr:cNvCxnSpPr/>
          </xdr:nvCxnSpPr>
          <xdr:spPr>
            <a:xfrm flipV="1">
              <a:off x="2737627" y="11573673"/>
              <a:ext cx="0" cy="18433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2C46BBE1-8366-45E5-88B5-9840F86B005B}"/>
                </a:ext>
              </a:extLst>
            </xdr:cNvPr>
            <xdr:cNvCxnSpPr/>
          </xdr:nvCxnSpPr>
          <xdr:spPr>
            <a:xfrm flipV="1">
              <a:off x="2983063" y="11573673"/>
              <a:ext cx="0" cy="184336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>
              <a:extLst>
                <a:ext uri="{FF2B5EF4-FFF2-40B4-BE49-F238E27FC236}">
                  <a16:creationId xmlns:a16="http://schemas.microsoft.com/office/drawing/2014/main" id="{5AAB4C7B-1D0B-40A7-B447-BB1935BEF1DD}"/>
                </a:ext>
              </a:extLst>
            </xdr:cNvPr>
            <xdr:cNvCxnSpPr/>
          </xdr:nvCxnSpPr>
          <xdr:spPr>
            <a:xfrm flipV="1">
              <a:off x="3227844" y="11568352"/>
              <a:ext cx="0" cy="18292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EA0D440A-4272-4230-B28A-5DA4845C1DF9}"/>
                </a:ext>
              </a:extLst>
            </xdr:cNvPr>
            <xdr:cNvCxnSpPr/>
          </xdr:nvCxnSpPr>
          <xdr:spPr>
            <a:xfrm flipV="1">
              <a:off x="3474125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BCEE2450-D53E-4BF0-BC62-731124DA0D6D}"/>
                </a:ext>
              </a:extLst>
            </xdr:cNvPr>
            <xdr:cNvCxnSpPr/>
          </xdr:nvCxnSpPr>
          <xdr:spPr>
            <a:xfrm flipV="1">
              <a:off x="3719562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42ED4854-389B-4AB1-A5B6-351FBED87EE1}"/>
                </a:ext>
              </a:extLst>
            </xdr:cNvPr>
            <xdr:cNvCxnSpPr/>
          </xdr:nvCxnSpPr>
          <xdr:spPr>
            <a:xfrm flipV="1">
              <a:off x="3965843" y="11568355"/>
              <a:ext cx="0" cy="18516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291873</xdr:colOff>
      <xdr:row>291</xdr:row>
      <xdr:rowOff>121103</xdr:rowOff>
    </xdr:from>
    <xdr:to>
      <xdr:col>13</xdr:col>
      <xdr:colOff>376918</xdr:colOff>
      <xdr:row>297</xdr:row>
      <xdr:rowOff>78879</xdr:rowOff>
    </xdr:to>
    <xdr:grpSp>
      <xdr:nvGrpSpPr>
        <xdr:cNvPr id="156" name="그룹 59">
          <a:extLst>
            <a:ext uri="{FF2B5EF4-FFF2-40B4-BE49-F238E27FC236}">
              <a16:creationId xmlns:a16="http://schemas.microsoft.com/office/drawing/2014/main" id="{B0D04693-19D2-4D25-A973-617476D379F1}"/>
            </a:ext>
          </a:extLst>
        </xdr:cNvPr>
        <xdr:cNvGrpSpPr/>
      </xdr:nvGrpSpPr>
      <xdr:grpSpPr>
        <a:xfrm>
          <a:off x="3492273" y="57899753"/>
          <a:ext cx="2085295" cy="1100776"/>
          <a:chOff x="538689" y="21665334"/>
          <a:chExt cx="2549636" cy="1147041"/>
        </a:xfrm>
      </xdr:grpSpPr>
      <xdr:grpSp>
        <xdr:nvGrpSpPr>
          <xdr:cNvPr id="157" name="그룹 17">
            <a:extLst>
              <a:ext uri="{FF2B5EF4-FFF2-40B4-BE49-F238E27FC236}">
                <a16:creationId xmlns:a16="http://schemas.microsoft.com/office/drawing/2014/main" id="{766AC1ED-BFC5-48B6-8A03-7FAEB1A6CF46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159" name="그룹 112">
              <a:extLst>
                <a:ext uri="{FF2B5EF4-FFF2-40B4-BE49-F238E27FC236}">
                  <a16:creationId xmlns:a16="http://schemas.microsoft.com/office/drawing/2014/main" id="{67EEE9FE-D32C-478F-BB87-967A343F6B93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164" name="그룹 176">
                <a:extLst>
                  <a:ext uri="{FF2B5EF4-FFF2-40B4-BE49-F238E27FC236}">
                    <a16:creationId xmlns:a16="http://schemas.microsoft.com/office/drawing/2014/main" id="{32CA1D79-CC7D-4069-B468-A4FB5EB6FAEA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173" name="자유형 179">
                  <a:extLst>
                    <a:ext uri="{FF2B5EF4-FFF2-40B4-BE49-F238E27FC236}">
                      <a16:creationId xmlns:a16="http://schemas.microsoft.com/office/drawing/2014/main" id="{615C5C26-F3AB-4C49-9F1A-834A718207E8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74" name="그룹 180">
                  <a:extLst>
                    <a:ext uri="{FF2B5EF4-FFF2-40B4-BE49-F238E27FC236}">
                      <a16:creationId xmlns:a16="http://schemas.microsoft.com/office/drawing/2014/main" id="{23CD907B-EB15-45DB-A0DD-0D18A5379C66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75" name="그룹 181">
                    <a:extLst>
                      <a:ext uri="{FF2B5EF4-FFF2-40B4-BE49-F238E27FC236}">
                        <a16:creationId xmlns:a16="http://schemas.microsoft.com/office/drawing/2014/main" id="{0CD68B9B-8958-4D2D-A2B2-B1D713EE9610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77" name="직선 연결선 183">
                      <a:extLst>
                        <a:ext uri="{FF2B5EF4-FFF2-40B4-BE49-F238E27FC236}">
                          <a16:creationId xmlns:a16="http://schemas.microsoft.com/office/drawing/2014/main" id="{D96F38F9-6F5E-47C5-8119-E55E28AB387C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직선 연결선 184">
                      <a:extLst>
                        <a:ext uri="{FF2B5EF4-FFF2-40B4-BE49-F238E27FC236}">
                          <a16:creationId xmlns:a16="http://schemas.microsoft.com/office/drawing/2014/main" id="{E6FC1A61-3930-484B-900A-785056427982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직선 연결선 185">
                      <a:extLst>
                        <a:ext uri="{FF2B5EF4-FFF2-40B4-BE49-F238E27FC236}">
                          <a16:creationId xmlns:a16="http://schemas.microsoft.com/office/drawing/2014/main" id="{F8794B26-85FC-473E-8EC3-84ACA64BD5D2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0" name="직선 연결선 186">
                      <a:extLst>
                        <a:ext uri="{FF2B5EF4-FFF2-40B4-BE49-F238E27FC236}">
                          <a16:creationId xmlns:a16="http://schemas.microsoft.com/office/drawing/2014/main" id="{AC4B2E08-140E-486F-8E0E-08D9F795F1FC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76" name="직선 연결선 182">
                    <a:extLst>
                      <a:ext uri="{FF2B5EF4-FFF2-40B4-BE49-F238E27FC236}">
                        <a16:creationId xmlns:a16="http://schemas.microsoft.com/office/drawing/2014/main" id="{A7739701-46C4-45C8-9FAA-F6982B7CE6C1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165" name="그룹 122">
                <a:extLst>
                  <a:ext uri="{FF2B5EF4-FFF2-40B4-BE49-F238E27FC236}">
                    <a16:creationId xmlns:a16="http://schemas.microsoft.com/office/drawing/2014/main" id="{5E88FD87-30D4-4DF7-9910-BA119E7979CD}"/>
                  </a:ext>
                </a:extLst>
              </xdr:cNvPr>
              <xdr:cNvGrpSpPr/>
            </xdr:nvGrpSpPr>
            <xdr:grpSpPr>
              <a:xfrm>
                <a:off x="4913150" y="6654079"/>
                <a:ext cx="848704" cy="797165"/>
                <a:chOff x="4913150" y="6654079"/>
                <a:chExt cx="848704" cy="797165"/>
              </a:xfrm>
            </xdr:grpSpPr>
            <xdr:sp macro="" textlink="">
              <xdr:nvSpPr>
                <xdr:cNvPr id="166" name="TextBox 165">
                  <a:extLst>
                    <a:ext uri="{FF2B5EF4-FFF2-40B4-BE49-F238E27FC236}">
                      <a16:creationId xmlns:a16="http://schemas.microsoft.com/office/drawing/2014/main" id="{BA78EE0A-EE94-4519-AED2-3C18AD4CA53B}"/>
                    </a:ext>
                  </a:extLst>
                </xdr:cNvPr>
                <xdr:cNvSpPr txBox="1"/>
              </xdr:nvSpPr>
              <xdr:spPr>
                <a:xfrm>
                  <a:off x="4913150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167" name="그룹 135">
                  <a:extLst>
                    <a:ext uri="{FF2B5EF4-FFF2-40B4-BE49-F238E27FC236}">
                      <a16:creationId xmlns:a16="http://schemas.microsoft.com/office/drawing/2014/main" id="{6F9D44AF-CB40-415F-BB4C-5068F70F212C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168" name="직선 화살표 연결선 153">
                    <a:extLst>
                      <a:ext uri="{FF2B5EF4-FFF2-40B4-BE49-F238E27FC236}">
                        <a16:creationId xmlns:a16="http://schemas.microsoft.com/office/drawing/2014/main" id="{73F8D46B-61A3-4863-9B66-448462530EDA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9" name="직선 화살표 연결선 154">
                    <a:extLst>
                      <a:ext uri="{FF2B5EF4-FFF2-40B4-BE49-F238E27FC236}">
                        <a16:creationId xmlns:a16="http://schemas.microsoft.com/office/drawing/2014/main" id="{05F05444-5155-42BC-9C82-9A55118241E4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0" name="직선 연결선 155">
                    <a:extLst>
                      <a:ext uri="{FF2B5EF4-FFF2-40B4-BE49-F238E27FC236}">
                        <a16:creationId xmlns:a16="http://schemas.microsoft.com/office/drawing/2014/main" id="{6D605516-8267-4E0E-8FB1-1E0E75D364F2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1" name="직선 연결선 157">
                    <a:extLst>
                      <a:ext uri="{FF2B5EF4-FFF2-40B4-BE49-F238E27FC236}">
                        <a16:creationId xmlns:a16="http://schemas.microsoft.com/office/drawing/2014/main" id="{E476B2DA-72C5-4434-B4AA-814C8B3C127A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2" name="직선 연결선 159">
                    <a:extLst>
                      <a:ext uri="{FF2B5EF4-FFF2-40B4-BE49-F238E27FC236}">
                        <a16:creationId xmlns:a16="http://schemas.microsoft.com/office/drawing/2014/main" id="{A37EBBFB-0DEB-498A-991D-DD3FC031B9B0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160" name="그룹 16">
              <a:extLst>
                <a:ext uri="{FF2B5EF4-FFF2-40B4-BE49-F238E27FC236}">
                  <a16:creationId xmlns:a16="http://schemas.microsoft.com/office/drawing/2014/main" id="{EA1C17EE-AFE1-4465-A2D2-30B06159A2C3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161" name="직선 연결선 8">
                <a:extLst>
                  <a:ext uri="{FF2B5EF4-FFF2-40B4-BE49-F238E27FC236}">
                    <a16:creationId xmlns:a16="http://schemas.microsoft.com/office/drawing/2014/main" id="{D28FA547-D635-4AE2-B44F-6FF50B8F4570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2" name="TextBox 161">
                <a:extLst>
                  <a:ext uri="{FF2B5EF4-FFF2-40B4-BE49-F238E27FC236}">
                    <a16:creationId xmlns:a16="http://schemas.microsoft.com/office/drawing/2014/main" id="{8EC4A338-D28D-4B9A-B091-BD04E866C496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163" name="원호 13">
                <a:extLst>
                  <a:ext uri="{FF2B5EF4-FFF2-40B4-BE49-F238E27FC236}">
                    <a16:creationId xmlns:a16="http://schemas.microsoft.com/office/drawing/2014/main" id="{CD1B60E4-09F0-4628-B8CB-76C8D5A267C3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158" name="직선 화살표 연결선 56">
            <a:extLst>
              <a:ext uri="{FF2B5EF4-FFF2-40B4-BE49-F238E27FC236}">
                <a16:creationId xmlns:a16="http://schemas.microsoft.com/office/drawing/2014/main" id="{091B173A-EE89-4BE1-85A6-7A57FD116D01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25</xdr:row>
      <xdr:rowOff>152436</xdr:rowOff>
    </xdr:from>
    <xdr:to>
      <xdr:col>9</xdr:col>
      <xdr:colOff>76883</xdr:colOff>
      <xdr:row>34</xdr:row>
      <xdr:rowOff>114370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AB7D6275-B448-443B-AF5F-EB68DCACBA7C}"/>
            </a:ext>
          </a:extLst>
        </xdr:cNvPr>
        <xdr:cNvGrpSpPr/>
      </xdr:nvGrpSpPr>
      <xdr:grpSpPr>
        <a:xfrm>
          <a:off x="619125" y="4914936"/>
          <a:ext cx="3058208" cy="1676434"/>
          <a:chOff x="457200" y="4632221"/>
          <a:chExt cx="3585662" cy="1681145"/>
        </a:xfrm>
      </xdr:grpSpPr>
      <xdr:grpSp>
        <xdr:nvGrpSpPr>
          <xdr:cNvPr id="144" name="Group 143">
            <a:extLst>
              <a:ext uri="{FF2B5EF4-FFF2-40B4-BE49-F238E27FC236}">
                <a16:creationId xmlns:a16="http://schemas.microsoft.com/office/drawing/2014/main" id="{CFEC9E2B-FC76-4B94-B859-8FFDF7ADF057}"/>
              </a:ext>
            </a:extLst>
          </xdr:cNvPr>
          <xdr:cNvGrpSpPr/>
        </xdr:nvGrpSpPr>
        <xdr:grpSpPr>
          <a:xfrm>
            <a:off x="457200" y="4632221"/>
            <a:ext cx="3585662" cy="1681145"/>
            <a:chOff x="605339" y="111137667"/>
            <a:chExt cx="3585662" cy="1676434"/>
          </a:xfrm>
        </xdr:grpSpPr>
        <xdr:grpSp>
          <xdr:nvGrpSpPr>
            <xdr:cNvPr id="146" name="Group 145">
              <a:extLst>
                <a:ext uri="{FF2B5EF4-FFF2-40B4-BE49-F238E27FC236}">
                  <a16:creationId xmlns:a16="http://schemas.microsoft.com/office/drawing/2014/main" id="{8DDC5419-7A30-47E1-8011-A230AFBCDC46}"/>
                </a:ext>
              </a:extLst>
            </xdr:cNvPr>
            <xdr:cNvGrpSpPr/>
          </xdr:nvGrpSpPr>
          <xdr:grpSpPr>
            <a:xfrm>
              <a:off x="605339" y="111137667"/>
              <a:ext cx="3585662" cy="1676434"/>
              <a:chOff x="605339" y="111137667"/>
              <a:chExt cx="3585662" cy="1676434"/>
            </a:xfrm>
          </xdr:grpSpPr>
          <xdr:grpSp>
            <xdr:nvGrpSpPr>
              <xdr:cNvPr id="148" name="Group 147">
                <a:extLst>
                  <a:ext uri="{FF2B5EF4-FFF2-40B4-BE49-F238E27FC236}">
                    <a16:creationId xmlns:a16="http://schemas.microsoft.com/office/drawing/2014/main" id="{D4AD78DD-632F-4F99-AAB2-8E2A319F2FD0}"/>
                  </a:ext>
                </a:extLst>
              </xdr:cNvPr>
              <xdr:cNvGrpSpPr/>
            </xdr:nvGrpSpPr>
            <xdr:grpSpPr>
              <a:xfrm>
                <a:off x="605339" y="111137667"/>
                <a:ext cx="3585662" cy="1640532"/>
                <a:chOff x="1312044" y="110405058"/>
                <a:chExt cx="3605385" cy="1631014"/>
              </a:xfrm>
            </xdr:grpSpPr>
            <xdr:sp macro="" textlink="">
              <xdr:nvSpPr>
                <xdr:cNvPr id="164" name="Freeform 778">
                  <a:extLst>
                    <a:ext uri="{FF2B5EF4-FFF2-40B4-BE49-F238E27FC236}">
                      <a16:creationId xmlns:a16="http://schemas.microsoft.com/office/drawing/2014/main" id="{1AB8423A-C7FC-4BB6-ABDB-73EB92F9088A}"/>
                    </a:ext>
                  </a:extLst>
                </xdr:cNvPr>
                <xdr:cNvSpPr/>
              </xdr:nvSpPr>
              <xdr:spPr>
                <a:xfrm>
                  <a:off x="1912652" y="111591730"/>
                  <a:ext cx="435194" cy="263266"/>
                </a:xfrm>
                <a:custGeom>
                  <a:avLst/>
                  <a:gdLst>
                    <a:gd name="connsiteX0" fmla="*/ 0 w 404812"/>
                    <a:gd name="connsiteY0" fmla="*/ 0 h 264319"/>
                    <a:gd name="connsiteX1" fmla="*/ 404812 w 404812"/>
                    <a:gd name="connsiteY1" fmla="*/ 0 h 264319"/>
                    <a:gd name="connsiteX2" fmla="*/ 404812 w 404812"/>
                    <a:gd name="connsiteY2" fmla="*/ 264319 h 264319"/>
                    <a:gd name="connsiteX3" fmla="*/ 73819 w 404812"/>
                    <a:gd name="connsiteY3" fmla="*/ 264319 h 264319"/>
                    <a:gd name="connsiteX4" fmla="*/ 0 w 404812"/>
                    <a:gd name="connsiteY4" fmla="*/ 0 h 264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04812" h="264319">
                      <a:moveTo>
                        <a:pt x="0" y="0"/>
                      </a:moveTo>
                      <a:lnTo>
                        <a:pt x="404812" y="0"/>
                      </a:lnTo>
                      <a:lnTo>
                        <a:pt x="404812" y="264319"/>
                      </a:lnTo>
                      <a:lnTo>
                        <a:pt x="73819" y="264319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cxnSp macro="">
              <xdr:nvCxnSpPr>
                <xdr:cNvPr id="165" name="Straight Connector 164">
                  <a:extLst>
                    <a:ext uri="{FF2B5EF4-FFF2-40B4-BE49-F238E27FC236}">
                      <a16:creationId xmlns:a16="http://schemas.microsoft.com/office/drawing/2014/main" id="{F1D2F943-C22E-4A14-B0F7-73CC12EAE367}"/>
                    </a:ext>
                  </a:extLst>
                </xdr:cNvPr>
                <xdr:cNvCxnSpPr/>
              </xdr:nvCxnSpPr>
              <xdr:spPr>
                <a:xfrm>
                  <a:off x="1581900" y="111446165"/>
                  <a:ext cx="2863842" cy="0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  <a:prstDash val="sys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66" name="Group 165">
                  <a:extLst>
                    <a:ext uri="{FF2B5EF4-FFF2-40B4-BE49-F238E27FC236}">
                      <a16:creationId xmlns:a16="http://schemas.microsoft.com/office/drawing/2014/main" id="{32437EFF-842E-4496-827E-A2680F50A643}"/>
                    </a:ext>
                  </a:extLst>
                </xdr:cNvPr>
                <xdr:cNvGrpSpPr/>
              </xdr:nvGrpSpPr>
              <xdr:grpSpPr>
                <a:xfrm>
                  <a:off x="1312044" y="110405058"/>
                  <a:ext cx="3605385" cy="1631014"/>
                  <a:chOff x="1312044" y="110405058"/>
                  <a:chExt cx="3605385" cy="1631014"/>
                </a:xfrm>
              </xdr:grpSpPr>
              <xdr:grpSp>
                <xdr:nvGrpSpPr>
                  <xdr:cNvPr id="167" name="Group 166">
                    <a:extLst>
                      <a:ext uri="{FF2B5EF4-FFF2-40B4-BE49-F238E27FC236}">
                        <a16:creationId xmlns:a16="http://schemas.microsoft.com/office/drawing/2014/main" id="{67294A15-7879-4E32-A600-6CE0DB3AAC90}"/>
                      </a:ext>
                    </a:extLst>
                  </xdr:cNvPr>
                  <xdr:cNvGrpSpPr/>
                </xdr:nvGrpSpPr>
                <xdr:grpSpPr>
                  <a:xfrm>
                    <a:off x="1312044" y="110405058"/>
                    <a:ext cx="3605385" cy="1631014"/>
                    <a:chOff x="1305466" y="111018111"/>
                    <a:chExt cx="3585824" cy="1639995"/>
                  </a:xfrm>
                </xdr:grpSpPr>
                <xdr:grpSp>
                  <xdr:nvGrpSpPr>
                    <xdr:cNvPr id="203" name="Group 202">
                      <a:extLst>
                        <a:ext uri="{FF2B5EF4-FFF2-40B4-BE49-F238E27FC236}">
                          <a16:creationId xmlns:a16="http://schemas.microsoft.com/office/drawing/2014/main" id="{790939ED-C050-433B-BB6C-4C9305A84BC5}"/>
                        </a:ext>
                      </a:extLst>
                    </xdr:cNvPr>
                    <xdr:cNvGrpSpPr/>
                  </xdr:nvGrpSpPr>
                  <xdr:grpSpPr>
                    <a:xfrm>
                      <a:off x="1305466" y="111018111"/>
                      <a:ext cx="3585824" cy="1639995"/>
                      <a:chOff x="4455319" y="111901820"/>
                      <a:chExt cx="4372486" cy="1963538"/>
                    </a:xfrm>
                  </xdr:grpSpPr>
                  <xdr:sp macro="" textlink="">
                    <xdr:nvSpPr>
                      <xdr:cNvPr id="206" name="Freeform 819">
                        <a:extLst>
                          <a:ext uri="{FF2B5EF4-FFF2-40B4-BE49-F238E27FC236}">
                            <a16:creationId xmlns:a16="http://schemas.microsoft.com/office/drawing/2014/main" id="{E5FE192C-9960-4699-8681-29EC53D5D0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5634037" y="112206541"/>
                        <a:ext cx="152837" cy="1658817"/>
                      </a:xfrm>
                      <a:custGeom>
                        <a:avLst/>
                        <a:gdLst>
                          <a:gd name="connsiteX0" fmla="*/ 73478 w 155121"/>
                          <a:gd name="connsiteY0" fmla="*/ 0 h 1687286"/>
                          <a:gd name="connsiteX1" fmla="*/ 73478 w 155121"/>
                          <a:gd name="connsiteY1" fmla="*/ 767443 h 1687286"/>
                          <a:gd name="connsiteX2" fmla="*/ 155121 w 155121"/>
                          <a:gd name="connsiteY2" fmla="*/ 767443 h 1687286"/>
                          <a:gd name="connsiteX3" fmla="*/ 0 w 155121"/>
                          <a:gd name="connsiteY3" fmla="*/ 808265 h 1687286"/>
                          <a:gd name="connsiteX4" fmla="*/ 78921 w 155121"/>
                          <a:gd name="connsiteY4" fmla="*/ 808265 h 1687286"/>
                          <a:gd name="connsiteX5" fmla="*/ 78921 w 155121"/>
                          <a:gd name="connsiteY5" fmla="*/ 1687286 h 1687286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</a:cxnLst>
                        <a:rect l="l" t="t" r="r" b="b"/>
                        <a:pathLst>
                          <a:path w="155121" h="1687286">
                            <a:moveTo>
                              <a:pt x="73478" y="0"/>
                            </a:moveTo>
                            <a:lnTo>
                              <a:pt x="73478" y="767443"/>
                            </a:lnTo>
                            <a:lnTo>
                              <a:pt x="155121" y="767443"/>
                            </a:lnTo>
                            <a:lnTo>
                              <a:pt x="0" y="808265"/>
                            </a:lnTo>
                            <a:lnTo>
                              <a:pt x="78921" y="808265"/>
                            </a:lnTo>
                            <a:lnTo>
                              <a:pt x="78921" y="1687286"/>
                            </a:lnTo>
                          </a:path>
                        </a:pathLst>
                      </a:custGeom>
                      <a:noFill/>
                      <a:ln w="3175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grpSp>
                    <xdr:nvGrpSpPr>
                      <xdr:cNvPr id="207" name="Group 206">
                        <a:extLst>
                          <a:ext uri="{FF2B5EF4-FFF2-40B4-BE49-F238E27FC236}">
                            <a16:creationId xmlns:a16="http://schemas.microsoft.com/office/drawing/2014/main" id="{01D4D8A2-7723-457B-BEBE-8F1DB78245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55319" y="111901820"/>
                        <a:ext cx="4372486" cy="1781015"/>
                        <a:chOff x="4455319" y="113931566"/>
                        <a:chExt cx="4372486" cy="1809057"/>
                      </a:xfrm>
                    </xdr:grpSpPr>
                    <xdr:sp macro="" textlink="">
                      <xdr:nvSpPr>
                        <xdr:cNvPr id="208" name="Freeform 821">
                          <a:extLst>
                            <a:ext uri="{FF2B5EF4-FFF2-40B4-BE49-F238E27FC236}">
                              <a16:creationId xmlns:a16="http://schemas.microsoft.com/office/drawing/2014/main" id="{01B08659-51EB-4914-8CDF-99801C85F99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4455319" y="114423825"/>
                          <a:ext cx="1254919" cy="278606"/>
                        </a:xfrm>
                        <a:custGeom>
                          <a:avLst/>
                          <a:gdLst>
                            <a:gd name="connsiteX0" fmla="*/ 373856 w 1254919"/>
                            <a:gd name="connsiteY0" fmla="*/ 278606 h 278606"/>
                            <a:gd name="connsiteX1" fmla="*/ 1254919 w 1254919"/>
                            <a:gd name="connsiteY1" fmla="*/ 278606 h 278606"/>
                            <a:gd name="connsiteX2" fmla="*/ 1254919 w 1254919"/>
                            <a:gd name="connsiteY2" fmla="*/ 0 h 278606"/>
                            <a:gd name="connsiteX3" fmla="*/ 0 w 1254919"/>
                            <a:gd name="connsiteY3" fmla="*/ 0 h 278606"/>
                            <a:gd name="connsiteX4" fmla="*/ 0 w 1254919"/>
                            <a:gd name="connsiteY4" fmla="*/ 202406 h 278606"/>
                            <a:gd name="connsiteX5" fmla="*/ 297656 w 1254919"/>
                            <a:gd name="connsiteY5" fmla="*/ 202406 h 278606"/>
                            <a:gd name="connsiteX6" fmla="*/ 373856 w 1254919"/>
                            <a:gd name="connsiteY6" fmla="*/ 278606 h 278606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  <a:cxn ang="0">
                              <a:pos x="connsiteX6" y="connsiteY6"/>
                            </a:cxn>
                          </a:cxnLst>
                          <a:rect l="l" t="t" r="r" b="b"/>
                          <a:pathLst>
                            <a:path w="1254919" h="278606">
                              <a:moveTo>
                                <a:pt x="373856" y="278606"/>
                              </a:moveTo>
                              <a:lnTo>
                                <a:pt x="1254919" y="278606"/>
                              </a:lnTo>
                              <a:lnTo>
                                <a:pt x="1254919" y="0"/>
                              </a:lnTo>
                              <a:lnTo>
                                <a:pt x="0" y="0"/>
                              </a:lnTo>
                              <a:lnTo>
                                <a:pt x="0" y="202406"/>
                              </a:lnTo>
                              <a:lnTo>
                                <a:pt x="297656" y="202406"/>
                              </a:lnTo>
                              <a:lnTo>
                                <a:pt x="373856" y="278606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n w="127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grpSp>
                      <xdr:nvGrpSpPr>
                        <xdr:cNvPr id="209" name="그룹 26">
                          <a:extLst>
                            <a:ext uri="{FF2B5EF4-FFF2-40B4-BE49-F238E27FC236}">
                              <a16:creationId xmlns:a16="http://schemas.microsoft.com/office/drawing/2014/main" id="{051F7208-0C1D-4B61-AE7F-707D1883D50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822940" y="113931566"/>
                          <a:ext cx="4004865" cy="1809057"/>
                          <a:chOff x="2971800" y="-369065"/>
                          <a:chExt cx="3482750" cy="1811352"/>
                        </a:xfrm>
                      </xdr:grpSpPr>
                      <xdr:grpSp>
                        <xdr:nvGrpSpPr>
                          <xdr:cNvPr id="210" name="그룹 7">
                            <a:extLst>
                              <a:ext uri="{FF2B5EF4-FFF2-40B4-BE49-F238E27FC236}">
                                <a16:creationId xmlns:a16="http://schemas.microsoft.com/office/drawing/2014/main" id="{D396DD8C-16B6-4B31-A7C9-8E94C6A20DB9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971800" y="381000"/>
                            <a:ext cx="773686" cy="1061287"/>
                            <a:chOff x="2971800" y="381000"/>
                            <a:chExt cx="773686" cy="1061287"/>
                          </a:xfrm>
                        </xdr:grpSpPr>
                        <xdr:cxnSp macro="">
                          <xdr:nvCxnSpPr>
                            <xdr:cNvPr id="212" name="직선 연결선 3">
                              <a:extLst>
                                <a:ext uri="{FF2B5EF4-FFF2-40B4-BE49-F238E27FC236}">
                                  <a16:creationId xmlns:a16="http://schemas.microsoft.com/office/drawing/2014/main" id="{2C550F79-19B3-471E-9163-92A04CCA1469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207515" y="1442287"/>
                              <a:ext cx="537971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13" name="직선 연결선 4">
                              <a:extLst>
                                <a:ext uri="{FF2B5EF4-FFF2-40B4-BE49-F238E27FC236}">
                                  <a16:creationId xmlns:a16="http://schemas.microsoft.com/office/drawing/2014/main" id="{FF15850B-6DC6-42F3-B3FC-01A4ADE3D5D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 flipV="1">
                              <a:off x="3121216" y="388272"/>
                              <a:ext cx="247294" cy="1050604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14" name="직선 연결선 6">
                              <a:extLst>
                                <a:ext uri="{FF2B5EF4-FFF2-40B4-BE49-F238E27FC236}">
                                  <a16:creationId xmlns:a16="http://schemas.microsoft.com/office/drawing/2014/main" id="{FD9DA0EB-CC6B-48BB-8CC2-3D1FD5A732C3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2971800" y="381000"/>
                              <a:ext cx="363653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211" name="TextBox 210">
                            <a:extLst>
                              <a:ext uri="{FF2B5EF4-FFF2-40B4-BE49-F238E27FC236}">
                                <a16:creationId xmlns:a16="http://schemas.microsoft.com/office/drawing/2014/main" id="{1B11C50C-9689-461B-BC1E-43AEDB8B8A1E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163767" y="-369065"/>
                            <a:ext cx="2290783" cy="285098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ko-KR" altLang="en-US" sz="900"/>
                              <a:t>정모멘트                      부모멘트</a:t>
                            </a:r>
                            <a:endParaRPr lang="en-US" sz="900"/>
                          </a:p>
                        </xdr:txBody>
                      </xdr:sp>
                    </xdr:grpSp>
                  </xdr:grpSp>
                </xdr:grpSp>
                <xdr:cxnSp macro="">
                  <xdr:nvCxnSpPr>
                    <xdr:cNvPr id="204" name="Straight Connector 203">
                      <a:extLst>
                        <a:ext uri="{FF2B5EF4-FFF2-40B4-BE49-F238E27FC236}">
                          <a16:creationId xmlns:a16="http://schemas.microsoft.com/office/drawing/2014/main" id="{8D7AB07B-B491-42A8-9E21-73B073F74D3A}"/>
                        </a:ext>
                      </a:extLst>
                    </xdr:cNvPr>
                    <xdr:cNvCxnSpPr/>
                  </xdr:nvCxnSpPr>
                  <xdr:spPr>
                    <a:xfrm>
                      <a:off x="1318569" y="111473457"/>
                      <a:ext cx="1009511" cy="0"/>
                    </a:xfrm>
                    <a:prstGeom prst="line">
                      <a:avLst/>
                    </a:prstGeom>
                    <a:ln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5" name="Straight Connector 204">
                      <a:extLst>
                        <a:ext uri="{FF2B5EF4-FFF2-40B4-BE49-F238E27FC236}">
                          <a16:creationId xmlns:a16="http://schemas.microsoft.com/office/drawing/2014/main" id="{E3FFE88B-E87D-43F5-A199-BCBEF119A230}"/>
                        </a:ext>
                      </a:extLst>
                    </xdr:cNvPr>
                    <xdr:cNvCxnSpPr/>
                  </xdr:nvCxnSpPr>
                  <xdr:spPr>
                    <a:xfrm>
                      <a:off x="1316831" y="111540132"/>
                      <a:ext cx="1009511" cy="0"/>
                    </a:xfrm>
                    <a:prstGeom prst="line">
                      <a:avLst/>
                    </a:prstGeom>
                    <a:ln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68" name="Group 167">
                    <a:extLst>
                      <a:ext uri="{FF2B5EF4-FFF2-40B4-BE49-F238E27FC236}">
                        <a16:creationId xmlns:a16="http://schemas.microsoft.com/office/drawing/2014/main" id="{F2386827-C5E3-4F74-9BC5-2FDAB8BE991D}"/>
                      </a:ext>
                    </a:extLst>
                  </xdr:cNvPr>
                  <xdr:cNvGrpSpPr/>
                </xdr:nvGrpSpPr>
                <xdr:grpSpPr>
                  <a:xfrm>
                    <a:off x="1956245" y="110808798"/>
                    <a:ext cx="2636208" cy="1106721"/>
                    <a:chOff x="1956245" y="110808798"/>
                    <a:chExt cx="2636208" cy="1106721"/>
                  </a:xfrm>
                </xdr:grpSpPr>
                <xdr:grpSp>
                  <xdr:nvGrpSpPr>
                    <xdr:cNvPr id="169" name="Group 168">
                      <a:extLst>
                        <a:ext uri="{FF2B5EF4-FFF2-40B4-BE49-F238E27FC236}">
                          <a16:creationId xmlns:a16="http://schemas.microsoft.com/office/drawing/2014/main" id="{93F986E3-4643-4717-AF25-EBEECE5D915E}"/>
                        </a:ext>
                      </a:extLst>
                    </xdr:cNvPr>
                    <xdr:cNvGrpSpPr/>
                  </xdr:nvGrpSpPr>
                  <xdr:grpSpPr>
                    <a:xfrm>
                      <a:off x="2563376" y="110808798"/>
                      <a:ext cx="608230" cy="1106721"/>
                      <a:chOff x="2549129" y="111423449"/>
                      <a:chExt cx="606512" cy="1113069"/>
                    </a:xfrm>
                  </xdr:grpSpPr>
                  <xdr:cxnSp macro="">
                    <xdr:nvCxnSpPr>
                      <xdr:cNvPr id="191" name="Straight Connector 190">
                        <a:extLst>
                          <a:ext uri="{FF2B5EF4-FFF2-40B4-BE49-F238E27FC236}">
                            <a16:creationId xmlns:a16="http://schemas.microsoft.com/office/drawing/2014/main" id="{C96B1A3F-4807-41FC-87E0-95662C67D1E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62263" y="111423450"/>
                        <a:ext cx="0" cy="1109204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2" name="Straight Connector 191">
                        <a:extLst>
                          <a:ext uri="{FF2B5EF4-FFF2-40B4-BE49-F238E27FC236}">
                            <a16:creationId xmlns:a16="http://schemas.microsoft.com/office/drawing/2014/main" id="{C2F94A1C-9D45-4329-9C7E-2D047CBF1FC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62263" y="111604425"/>
                        <a:ext cx="293378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3" name="Straight Connector 192">
                        <a:extLst>
                          <a:ext uri="{FF2B5EF4-FFF2-40B4-BE49-F238E27FC236}">
                            <a16:creationId xmlns:a16="http://schemas.microsoft.com/office/drawing/2014/main" id="{C00BA93F-CAE6-424B-8ACE-00E14C77D32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549129" y="112531047"/>
                        <a:ext cx="32181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4" name="Straight Connector 193">
                        <a:extLst>
                          <a:ext uri="{FF2B5EF4-FFF2-40B4-BE49-F238E27FC236}">
                            <a16:creationId xmlns:a16="http://schemas.microsoft.com/office/drawing/2014/main" id="{1706C635-01FA-491B-BA90-A18F4844AE37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549129" y="111610002"/>
                        <a:ext cx="604125" cy="926516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5" name="Straight Connector 194">
                        <a:extLst>
                          <a:ext uri="{FF2B5EF4-FFF2-40B4-BE49-F238E27FC236}">
                            <a16:creationId xmlns:a16="http://schemas.microsoft.com/office/drawing/2014/main" id="{2A6F721C-ED2B-4446-B12E-8BB38514F49C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983706" y="111423450"/>
                        <a:ext cx="91914" cy="183357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6" name="Straight Connector 195">
                        <a:extLst>
                          <a:ext uri="{FF2B5EF4-FFF2-40B4-BE49-F238E27FC236}">
                            <a16:creationId xmlns:a16="http://schemas.microsoft.com/office/drawing/2014/main" id="{26095A72-E0D6-4424-893F-E45B64DD944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54877" y="111423449"/>
                        <a:ext cx="228935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97" name="Group 196">
                        <a:extLst>
                          <a:ext uri="{FF2B5EF4-FFF2-40B4-BE49-F238E27FC236}">
                            <a16:creationId xmlns:a16="http://schemas.microsoft.com/office/drawing/2014/main" id="{18EAA156-57C8-4C3D-A9CD-6BB27AAA47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718174" y="112342031"/>
                        <a:ext cx="100013" cy="100013"/>
                        <a:chOff x="2718174" y="112342031"/>
                        <a:chExt cx="100013" cy="100013"/>
                      </a:xfrm>
                    </xdr:grpSpPr>
                    <xdr:sp macro="" textlink="">
                      <xdr:nvSpPr>
                        <xdr:cNvPr id="201" name="Plus 814">
                          <a:extLst>
                            <a:ext uri="{FF2B5EF4-FFF2-40B4-BE49-F238E27FC236}">
                              <a16:creationId xmlns:a16="http://schemas.microsoft.com/office/drawing/2014/main" id="{1258096F-2088-486C-ACD7-5412959B36C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25319" y="112349170"/>
                          <a:ext cx="88106" cy="88106"/>
                        </a:xfrm>
                        <a:prstGeom prst="mathPlus">
                          <a:avLst>
                            <a:gd name="adj1" fmla="val 26462"/>
                          </a:avLst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202" name="Oval 201">
                          <a:extLst>
                            <a:ext uri="{FF2B5EF4-FFF2-40B4-BE49-F238E27FC236}">
                              <a16:creationId xmlns:a16="http://schemas.microsoft.com/office/drawing/2014/main" id="{A0788391-A4F8-45B6-AF36-F512D928133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18174" y="112342031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  <xdr:grpSp>
                    <xdr:nvGrpSpPr>
                      <xdr:cNvPr id="198" name="Group 197">
                        <a:extLst>
                          <a:ext uri="{FF2B5EF4-FFF2-40B4-BE49-F238E27FC236}">
                            <a16:creationId xmlns:a16="http://schemas.microsoft.com/office/drawing/2014/main" id="{E2EDAEFC-BCB9-4403-A064-A1AB7C9EE2F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913726" y="111687893"/>
                        <a:ext cx="100013" cy="107156"/>
                        <a:chOff x="2913726" y="111685512"/>
                        <a:chExt cx="100013" cy="107156"/>
                      </a:xfrm>
                    </xdr:grpSpPr>
                    <xdr:sp macro="" textlink="">
                      <xdr:nvSpPr>
                        <xdr:cNvPr id="199" name="Oval 198">
                          <a:extLst>
                            <a:ext uri="{FF2B5EF4-FFF2-40B4-BE49-F238E27FC236}">
                              <a16:creationId xmlns:a16="http://schemas.microsoft.com/office/drawing/2014/main" id="{4F71ABAC-E9D5-436E-9CB3-4F102B51C66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913726" y="111685512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200" name="Minus 813">
                          <a:extLst>
                            <a:ext uri="{FF2B5EF4-FFF2-40B4-BE49-F238E27FC236}">
                              <a16:creationId xmlns:a16="http://schemas.microsoft.com/office/drawing/2014/main" id="{27479F83-01ED-4150-BA52-417D7D323DE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930394" y="111685512"/>
                          <a:ext cx="69055" cy="107156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grpSp>
                  <xdr:nvGrpSpPr>
                    <xdr:cNvPr id="170" name="Group 169">
                      <a:extLst>
                        <a:ext uri="{FF2B5EF4-FFF2-40B4-BE49-F238E27FC236}">
                          <a16:creationId xmlns:a16="http://schemas.microsoft.com/office/drawing/2014/main" id="{3F4B4B10-BA81-47AA-9E0E-2467C53AAF3D}"/>
                        </a:ext>
                      </a:extLst>
                    </xdr:cNvPr>
                    <xdr:cNvGrpSpPr/>
                  </xdr:nvGrpSpPr>
                  <xdr:grpSpPr>
                    <a:xfrm>
                      <a:off x="3911486" y="110852167"/>
                      <a:ext cx="680967" cy="1060954"/>
                      <a:chOff x="3097452" y="111465489"/>
                      <a:chExt cx="677594" cy="1066262"/>
                    </a:xfrm>
                  </xdr:grpSpPr>
                  <xdr:cxnSp macro="">
                    <xdr:nvCxnSpPr>
                      <xdr:cNvPr id="180" name="Straight Connector 179">
                        <a:extLst>
                          <a:ext uri="{FF2B5EF4-FFF2-40B4-BE49-F238E27FC236}">
                            <a16:creationId xmlns:a16="http://schemas.microsoft.com/office/drawing/2014/main" id="{D5B62F7F-068D-4221-92D1-8E207A52EE6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74576" y="111471074"/>
                        <a:ext cx="0" cy="1057276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1" name="Straight Connector 180">
                        <a:extLst>
                          <a:ext uri="{FF2B5EF4-FFF2-40B4-BE49-F238E27FC236}">
                            <a16:creationId xmlns:a16="http://schemas.microsoft.com/office/drawing/2014/main" id="{DFEA7F32-37DA-4069-A1E7-69AD50DFDC2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187997" y="111604425"/>
                        <a:ext cx="28657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2" name="Straight Connector 181">
                        <a:extLst>
                          <a:ext uri="{FF2B5EF4-FFF2-40B4-BE49-F238E27FC236}">
                            <a16:creationId xmlns:a16="http://schemas.microsoft.com/office/drawing/2014/main" id="{C2CFD6EB-6E15-40FE-9C19-A019BE7EF96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72167" y="112525968"/>
                        <a:ext cx="299578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3" name="Straight Connector 182">
                        <a:extLst>
                          <a:ext uri="{FF2B5EF4-FFF2-40B4-BE49-F238E27FC236}">
                            <a16:creationId xmlns:a16="http://schemas.microsoft.com/office/drawing/2014/main" id="{A10958EB-5C5E-4933-80C6-A7AC7DB47EA5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097452" y="111465489"/>
                        <a:ext cx="677594" cy="1066262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4" name="Straight Connector 183">
                        <a:extLst>
                          <a:ext uri="{FF2B5EF4-FFF2-40B4-BE49-F238E27FC236}">
                            <a16:creationId xmlns:a16="http://schemas.microsoft.com/office/drawing/2014/main" id="{363962CB-EBD1-4232-B3FC-9506C3984C7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099852" y="111471074"/>
                        <a:ext cx="374737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85" name="Group 184">
                        <a:extLst>
                          <a:ext uri="{FF2B5EF4-FFF2-40B4-BE49-F238E27FC236}">
                            <a16:creationId xmlns:a16="http://schemas.microsoft.com/office/drawing/2014/main" id="{F0099D11-83B9-49A5-A709-D25C90CAE39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35984" y="111680284"/>
                        <a:ext cx="100013" cy="100013"/>
                        <a:chOff x="3335984" y="111680284"/>
                        <a:chExt cx="100013" cy="100013"/>
                      </a:xfrm>
                    </xdr:grpSpPr>
                    <xdr:sp macro="" textlink="">
                      <xdr:nvSpPr>
                        <xdr:cNvPr id="189" name="Plus 802">
                          <a:extLst>
                            <a:ext uri="{FF2B5EF4-FFF2-40B4-BE49-F238E27FC236}">
                              <a16:creationId xmlns:a16="http://schemas.microsoft.com/office/drawing/2014/main" id="{3DE8675C-EF3B-4F37-848D-A3E89C951B3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343136" y="111687429"/>
                          <a:ext cx="88106" cy="88106"/>
                        </a:xfrm>
                        <a:prstGeom prst="mathPlus">
                          <a:avLst>
                            <a:gd name="adj1" fmla="val 26462"/>
                          </a:avLst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90" name="Oval 189">
                          <a:extLst>
                            <a:ext uri="{FF2B5EF4-FFF2-40B4-BE49-F238E27FC236}">
                              <a16:creationId xmlns:a16="http://schemas.microsoft.com/office/drawing/2014/main" id="{0956DDBD-6FF9-47ED-9179-41A8AD0FD19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335984" y="111680284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  <xdr:grpSp>
                    <xdr:nvGrpSpPr>
                      <xdr:cNvPr id="186" name="Group 185">
                        <a:extLst>
                          <a:ext uri="{FF2B5EF4-FFF2-40B4-BE49-F238E27FC236}">
                            <a16:creationId xmlns:a16="http://schemas.microsoft.com/office/drawing/2014/main" id="{89961AAE-347E-4EB3-A939-AF63494F001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491247" y="112340241"/>
                        <a:ext cx="100013" cy="107156"/>
                        <a:chOff x="3491247" y="112337860"/>
                        <a:chExt cx="100013" cy="107156"/>
                      </a:xfrm>
                    </xdr:grpSpPr>
                    <xdr:sp macro="" textlink="">
                      <xdr:nvSpPr>
                        <xdr:cNvPr id="187" name="Oval 186">
                          <a:extLst>
                            <a:ext uri="{FF2B5EF4-FFF2-40B4-BE49-F238E27FC236}">
                              <a16:creationId xmlns:a16="http://schemas.microsoft.com/office/drawing/2014/main" id="{F423020B-2501-47F1-84D9-97234B8B0168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491247" y="112337860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88" name="Minus 801">
                          <a:extLst>
                            <a:ext uri="{FF2B5EF4-FFF2-40B4-BE49-F238E27FC236}">
                              <a16:creationId xmlns:a16="http://schemas.microsoft.com/office/drawing/2014/main" id="{C78B5A67-CF4E-496D-A7CB-3FF084C4170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507928" y="112337860"/>
                          <a:ext cx="69055" cy="107156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cxnSp macro="">
                  <xdr:nvCxnSpPr>
                    <xdr:cNvPr id="171" name="Straight Connector 170">
                      <a:extLst>
                        <a:ext uri="{FF2B5EF4-FFF2-40B4-BE49-F238E27FC236}">
                          <a16:creationId xmlns:a16="http://schemas.microsoft.com/office/drawing/2014/main" id="{9153374C-9967-46AA-8F73-3B85D881EAD0}"/>
                        </a:ext>
                      </a:extLst>
                    </xdr:cNvPr>
                    <xdr:cNvCxnSpPr/>
                  </xdr:nvCxnSpPr>
                  <xdr:spPr>
                    <a:xfrm>
                      <a:off x="2350477" y="111912701"/>
                      <a:ext cx="1930056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2" name="Straight Connector 171">
                      <a:extLst>
                        <a:ext uri="{FF2B5EF4-FFF2-40B4-BE49-F238E27FC236}">
                          <a16:creationId xmlns:a16="http://schemas.microsoft.com/office/drawing/2014/main" id="{B3D7A210-16FB-403F-9961-FCA8CB8486E1}"/>
                        </a:ext>
                      </a:extLst>
                    </xdr:cNvPr>
                    <xdr:cNvCxnSpPr/>
                  </xdr:nvCxnSpPr>
                  <xdr:spPr>
                    <a:xfrm>
                      <a:off x="1956245" y="110991349"/>
                      <a:ext cx="204175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3" name="Straight Connector 172">
                      <a:extLst>
                        <a:ext uri="{FF2B5EF4-FFF2-40B4-BE49-F238E27FC236}">
                          <a16:creationId xmlns:a16="http://schemas.microsoft.com/office/drawing/2014/main" id="{D3755BDA-8A7F-49B8-AA12-89516AF4D3E6}"/>
                        </a:ext>
                      </a:extLst>
                    </xdr:cNvPr>
                    <xdr:cNvCxnSpPr/>
                  </xdr:nvCxnSpPr>
                  <xdr:spPr>
                    <a:xfrm>
                      <a:off x="2333559" y="110857753"/>
                      <a:ext cx="1580637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4" name="Straight Connector 173">
                      <a:extLst>
                        <a:ext uri="{FF2B5EF4-FFF2-40B4-BE49-F238E27FC236}">
                          <a16:creationId xmlns:a16="http://schemas.microsoft.com/office/drawing/2014/main" id="{35A1D541-CAC2-4793-8890-D3E16FB3EFF0}"/>
                        </a:ext>
                      </a:extLst>
                    </xdr:cNvPr>
                    <xdr:cNvCxnSpPr/>
                  </xdr:nvCxnSpPr>
                  <xdr:spPr>
                    <a:xfrm>
                      <a:off x="2347846" y="110811179"/>
                      <a:ext cx="53070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Straight Connector 174">
                      <a:extLst>
                        <a:ext uri="{FF2B5EF4-FFF2-40B4-BE49-F238E27FC236}">
                          <a16:creationId xmlns:a16="http://schemas.microsoft.com/office/drawing/2014/main" id="{1F50DDE8-0AAB-4F62-873E-D89429676E75}"/>
                        </a:ext>
                      </a:extLst>
                    </xdr:cNvPr>
                    <xdr:cNvCxnSpPr/>
                  </xdr:nvCxnSpPr>
                  <xdr:spPr>
                    <a:xfrm>
                      <a:off x="2338321" y="111591730"/>
                      <a:ext cx="1942211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Straight Connector 175">
                      <a:extLst>
                        <a:ext uri="{FF2B5EF4-FFF2-40B4-BE49-F238E27FC236}">
                          <a16:creationId xmlns:a16="http://schemas.microsoft.com/office/drawing/2014/main" id="{2BCFADDC-4D57-4036-9DA7-BB8C6C6910A5}"/>
                        </a:ext>
                      </a:extLst>
                    </xdr:cNvPr>
                    <xdr:cNvCxnSpPr/>
                  </xdr:nvCxnSpPr>
                  <xdr:spPr>
                    <a:xfrm>
                      <a:off x="2328796" y="111852614"/>
                      <a:ext cx="1958919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Straight Connector 176">
                      <a:extLst>
                        <a:ext uri="{FF2B5EF4-FFF2-40B4-BE49-F238E27FC236}">
                          <a16:creationId xmlns:a16="http://schemas.microsoft.com/office/drawing/2014/main" id="{3667C6C6-AAE1-4DA7-BF1C-EF43766718A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4313765" y="111588707"/>
                      <a:ext cx="170017" cy="262871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Straight Connector 177">
                      <a:extLst>
                        <a:ext uri="{FF2B5EF4-FFF2-40B4-BE49-F238E27FC236}">
                          <a16:creationId xmlns:a16="http://schemas.microsoft.com/office/drawing/2014/main" id="{FDED5685-3653-46A9-9021-EAF13F0CB856}"/>
                        </a:ext>
                      </a:extLst>
                    </xdr:cNvPr>
                    <xdr:cNvCxnSpPr/>
                  </xdr:nvCxnSpPr>
                  <xdr:spPr>
                    <a:xfrm>
                      <a:off x="4287941" y="111852614"/>
                      <a:ext cx="203045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Straight Connector 178">
                      <a:extLst>
                        <a:ext uri="{FF2B5EF4-FFF2-40B4-BE49-F238E27FC236}">
                          <a16:creationId xmlns:a16="http://schemas.microsoft.com/office/drawing/2014/main" id="{8F3060A1-4855-4D7B-B65F-B772CF2A6535}"/>
                        </a:ext>
                      </a:extLst>
                    </xdr:cNvPr>
                    <xdr:cNvCxnSpPr/>
                  </xdr:nvCxnSpPr>
                  <xdr:spPr>
                    <a:xfrm>
                      <a:off x="4290322" y="111594111"/>
                      <a:ext cx="28575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  <xdr:grpSp>
            <xdr:nvGrpSpPr>
              <xdr:cNvPr id="149" name="Group 148">
                <a:extLst>
                  <a:ext uri="{FF2B5EF4-FFF2-40B4-BE49-F238E27FC236}">
                    <a16:creationId xmlns:a16="http://schemas.microsoft.com/office/drawing/2014/main" id="{75355588-0ED4-4742-B8AD-E3918F3966A6}"/>
                  </a:ext>
                </a:extLst>
              </xdr:cNvPr>
              <xdr:cNvGrpSpPr/>
            </xdr:nvGrpSpPr>
            <xdr:grpSpPr>
              <a:xfrm>
                <a:off x="1707358" y="111409163"/>
                <a:ext cx="2352674" cy="1404938"/>
                <a:chOff x="1707358" y="111409163"/>
                <a:chExt cx="2352674" cy="1404938"/>
              </a:xfrm>
            </xdr:grpSpPr>
            <xdr:sp macro="" textlink="">
              <xdr:nvSpPr>
                <xdr:cNvPr id="150" name="Oval 149">
                  <a:extLst>
                    <a:ext uri="{FF2B5EF4-FFF2-40B4-BE49-F238E27FC236}">
                      <a16:creationId xmlns:a16="http://schemas.microsoft.com/office/drawing/2014/main" id="{BB1068BC-A4DD-4A8A-8D83-533A5AB7EBB9}"/>
                    </a:ext>
                  </a:extLst>
                </xdr:cNvPr>
                <xdr:cNvSpPr/>
              </xdr:nvSpPr>
              <xdr:spPr>
                <a:xfrm>
                  <a:off x="3826669" y="112611220"/>
                  <a:ext cx="66675" cy="66675"/>
                </a:xfrm>
                <a:prstGeom prst="ellipse">
                  <a:avLst/>
                </a:prstGeom>
                <a:solidFill>
                  <a:srgbClr val="FF00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151" name="Group 150">
                  <a:extLst>
                    <a:ext uri="{FF2B5EF4-FFF2-40B4-BE49-F238E27FC236}">
                      <a16:creationId xmlns:a16="http://schemas.microsoft.com/office/drawing/2014/main" id="{55B03CC0-6BBB-4E7C-B4A1-98A9E6986178}"/>
                    </a:ext>
                  </a:extLst>
                </xdr:cNvPr>
                <xdr:cNvGrpSpPr/>
              </xdr:nvGrpSpPr>
              <xdr:grpSpPr>
                <a:xfrm>
                  <a:off x="1707358" y="111409163"/>
                  <a:ext cx="2352674" cy="1404938"/>
                  <a:chOff x="1707358" y="111409163"/>
                  <a:chExt cx="2352674" cy="1404938"/>
                </a:xfrm>
              </xdr:grpSpPr>
              <xdr:sp macro="" textlink="">
                <xdr:nvSpPr>
                  <xdr:cNvPr id="152" name="Oval 151">
                    <a:extLst>
                      <a:ext uri="{FF2B5EF4-FFF2-40B4-BE49-F238E27FC236}">
                        <a16:creationId xmlns:a16="http://schemas.microsoft.com/office/drawing/2014/main" id="{90175C1A-90F5-4D33-8ECC-3B84BD184E57}"/>
                      </a:ext>
                    </a:extLst>
                  </xdr:cNvPr>
                  <xdr:cNvSpPr/>
                </xdr:nvSpPr>
                <xdr:spPr>
                  <a:xfrm>
                    <a:off x="1828800" y="112611219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3" name="Oval 152">
                    <a:extLst>
                      <a:ext uri="{FF2B5EF4-FFF2-40B4-BE49-F238E27FC236}">
                        <a16:creationId xmlns:a16="http://schemas.microsoft.com/office/drawing/2014/main" id="{5270B688-A50C-45BB-895F-E13FC0E79706}"/>
                      </a:ext>
                    </a:extLst>
                  </xdr:cNvPr>
                  <xdr:cNvSpPr/>
                </xdr:nvSpPr>
                <xdr:spPr>
                  <a:xfrm>
                    <a:off x="2409825" y="111697294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4" name="Oval 153">
                    <a:extLst>
                      <a:ext uri="{FF2B5EF4-FFF2-40B4-BE49-F238E27FC236}">
                        <a16:creationId xmlns:a16="http://schemas.microsoft.com/office/drawing/2014/main" id="{4547DCEE-ED54-4687-B36F-DDBB426DD17E}"/>
                      </a:ext>
                    </a:extLst>
                  </xdr:cNvPr>
                  <xdr:cNvSpPr/>
                </xdr:nvSpPr>
                <xdr:spPr>
                  <a:xfrm>
                    <a:off x="2340769" y="111513463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5" name="Oval 154">
                    <a:extLst>
                      <a:ext uri="{FF2B5EF4-FFF2-40B4-BE49-F238E27FC236}">
                        <a16:creationId xmlns:a16="http://schemas.microsoft.com/office/drawing/2014/main" id="{A2AED2F6-D7FF-4936-84FD-B0B723B5EF11}"/>
                      </a:ext>
                    </a:extLst>
                  </xdr:cNvPr>
                  <xdr:cNvSpPr/>
                </xdr:nvSpPr>
                <xdr:spPr>
                  <a:xfrm>
                    <a:off x="3162301" y="111563470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6" name="Oval 155">
                    <a:extLst>
                      <a:ext uri="{FF2B5EF4-FFF2-40B4-BE49-F238E27FC236}">
                        <a16:creationId xmlns:a16="http://schemas.microsoft.com/office/drawing/2014/main" id="{779D8CFD-F2FA-4A6C-9312-58202C2B5E82}"/>
                      </a:ext>
                    </a:extLst>
                  </xdr:cNvPr>
                  <xdr:cNvSpPr/>
                </xdr:nvSpPr>
                <xdr:spPr>
                  <a:xfrm>
                    <a:off x="3717132" y="112554069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7" name="TextBox 156">
                    <a:extLst>
                      <a:ext uri="{FF2B5EF4-FFF2-40B4-BE49-F238E27FC236}">
                        <a16:creationId xmlns:a16="http://schemas.microsoft.com/office/drawing/2014/main" id="{E5048E94-8CAE-4ACA-A428-4A4EE742C397}"/>
                      </a:ext>
                    </a:extLst>
                  </xdr:cNvPr>
                  <xdr:cNvSpPr txBox="1"/>
                </xdr:nvSpPr>
                <xdr:spPr>
                  <a:xfrm>
                    <a:off x="1707358" y="112640270"/>
                    <a:ext cx="32146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①</a:t>
                    </a:r>
                    <a:endParaRPr lang="en-US" sz="900"/>
                  </a:p>
                </xdr:txBody>
              </xdr:sp>
              <xdr:sp macro="" textlink="">
                <xdr:nvSpPr>
                  <xdr:cNvPr id="158" name="TextBox 157">
                    <a:extLst>
                      <a:ext uri="{FF2B5EF4-FFF2-40B4-BE49-F238E27FC236}">
                        <a16:creationId xmlns:a16="http://schemas.microsoft.com/office/drawing/2014/main" id="{0F5B70DB-A65B-4590-ABF5-D9E72F4C7726}"/>
                      </a:ext>
                    </a:extLst>
                  </xdr:cNvPr>
                  <xdr:cNvSpPr txBox="1"/>
                </xdr:nvSpPr>
                <xdr:spPr>
                  <a:xfrm>
                    <a:off x="2357436" y="111697294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②</a:t>
                    </a:r>
                    <a:endParaRPr lang="en-US" sz="900"/>
                  </a:p>
                </xdr:txBody>
              </xdr:sp>
              <xdr:sp macro="" textlink="">
                <xdr:nvSpPr>
                  <xdr:cNvPr id="159" name="TextBox 158">
                    <a:extLst>
                      <a:ext uri="{FF2B5EF4-FFF2-40B4-BE49-F238E27FC236}">
                        <a16:creationId xmlns:a16="http://schemas.microsoft.com/office/drawing/2014/main" id="{BEC53669-867C-41E8-A3C3-C6A0FC7BD382}"/>
                      </a:ext>
                    </a:extLst>
                  </xdr:cNvPr>
                  <xdr:cNvSpPr txBox="1"/>
                </xdr:nvSpPr>
                <xdr:spPr>
                  <a:xfrm>
                    <a:off x="2319337" y="111409163"/>
                    <a:ext cx="32146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③</a:t>
                    </a:r>
                    <a:endParaRPr lang="en-US" sz="900"/>
                  </a:p>
                </xdr:txBody>
              </xdr:sp>
              <xdr:sp macro="" textlink="">
                <xdr:nvSpPr>
                  <xdr:cNvPr id="160" name="TextBox 159">
                    <a:extLst>
                      <a:ext uri="{FF2B5EF4-FFF2-40B4-BE49-F238E27FC236}">
                        <a16:creationId xmlns:a16="http://schemas.microsoft.com/office/drawing/2014/main" id="{57A5907B-7EC7-40BA-AE3F-24EDFA310A40}"/>
                      </a:ext>
                    </a:extLst>
                  </xdr:cNvPr>
                  <xdr:cNvSpPr txBox="1"/>
                </xdr:nvSpPr>
                <xdr:spPr>
                  <a:xfrm>
                    <a:off x="3050379" y="111683007"/>
                    <a:ext cx="242888" cy="1785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①</a:t>
                    </a:r>
                    <a:endParaRPr lang="en-US" sz="900"/>
                  </a:p>
                </xdr:txBody>
              </xdr:sp>
              <xdr:sp macro="" textlink="">
                <xdr:nvSpPr>
                  <xdr:cNvPr id="161" name="TextBox 160">
                    <a:extLst>
                      <a:ext uri="{FF2B5EF4-FFF2-40B4-BE49-F238E27FC236}">
                        <a16:creationId xmlns:a16="http://schemas.microsoft.com/office/drawing/2014/main" id="{D0BB723C-A5A1-4A93-94FA-81D299ED39D9}"/>
                      </a:ext>
                    </a:extLst>
                  </xdr:cNvPr>
                  <xdr:cNvSpPr txBox="1"/>
                </xdr:nvSpPr>
                <xdr:spPr>
                  <a:xfrm>
                    <a:off x="3798094" y="112592645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②</a:t>
                    </a:r>
                    <a:endParaRPr lang="en-US" sz="900"/>
                  </a:p>
                </xdr:txBody>
              </xdr:sp>
              <xdr:sp macro="" textlink="">
                <xdr:nvSpPr>
                  <xdr:cNvPr id="162" name="TextBox 161">
                    <a:extLst>
                      <a:ext uri="{FF2B5EF4-FFF2-40B4-BE49-F238E27FC236}">
                        <a16:creationId xmlns:a16="http://schemas.microsoft.com/office/drawing/2014/main" id="{59D365B3-F6C2-4D7F-BB75-6582ACF35125}"/>
                      </a:ext>
                    </a:extLst>
                  </xdr:cNvPr>
                  <xdr:cNvSpPr txBox="1"/>
                </xdr:nvSpPr>
                <xdr:spPr>
                  <a:xfrm>
                    <a:off x="3698082" y="112387856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④</a:t>
                    </a:r>
                    <a:endParaRPr lang="en-US" sz="900"/>
                  </a:p>
                </xdr:txBody>
              </xdr:sp>
              <xdr:sp macro="" textlink="">
                <xdr:nvSpPr>
                  <xdr:cNvPr id="163" name="TextBox 162">
                    <a:extLst>
                      <a:ext uri="{FF2B5EF4-FFF2-40B4-BE49-F238E27FC236}">
                        <a16:creationId xmlns:a16="http://schemas.microsoft.com/office/drawing/2014/main" id="{271CC478-8169-424A-BEC1-510729916B8F}"/>
                      </a:ext>
                    </a:extLst>
                  </xdr:cNvPr>
                  <xdr:cNvSpPr txBox="1"/>
                </xdr:nvSpPr>
                <xdr:spPr>
                  <a:xfrm>
                    <a:off x="2981325" y="111418688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⑤</a:t>
                    </a:r>
                    <a:endParaRPr lang="en-US" sz="900"/>
                  </a:p>
                </xdr:txBody>
              </xdr:sp>
            </xdr:grpSp>
          </xdr:grpSp>
        </xdr:grpSp>
        <xdr:sp macro="" textlink="">
          <xdr:nvSpPr>
            <xdr:cNvPr id="147" name="Oval 146">
              <a:extLst>
                <a:ext uri="{FF2B5EF4-FFF2-40B4-BE49-F238E27FC236}">
                  <a16:creationId xmlns:a16="http://schemas.microsoft.com/office/drawing/2014/main" id="{73950624-8B69-49EB-9A19-5F555E5AC596}"/>
                </a:ext>
              </a:extLst>
            </xdr:cNvPr>
            <xdr:cNvSpPr/>
          </xdr:nvSpPr>
          <xdr:spPr>
            <a:xfrm>
              <a:off x="3243262" y="111692531"/>
              <a:ext cx="66675" cy="66675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41" name="Group 140">
            <a:extLst>
              <a:ext uri="{FF2B5EF4-FFF2-40B4-BE49-F238E27FC236}">
                <a16:creationId xmlns:a16="http://schemas.microsoft.com/office/drawing/2014/main" id="{B9EDA5AA-ED8E-455C-A3BF-4BFFE765CFCA}"/>
              </a:ext>
            </a:extLst>
          </xdr:cNvPr>
          <xdr:cNvGrpSpPr/>
        </xdr:nvGrpSpPr>
        <xdr:grpSpPr>
          <a:xfrm>
            <a:off x="2043688" y="5094828"/>
            <a:ext cx="99748" cy="107468"/>
            <a:chOff x="2381250" y="5348654"/>
            <a:chExt cx="99748" cy="107468"/>
          </a:xfrm>
        </xdr:grpSpPr>
        <xdr:sp macro="" textlink="">
          <xdr:nvSpPr>
            <xdr:cNvPr id="142" name="Oval 141">
              <a:extLst>
                <a:ext uri="{FF2B5EF4-FFF2-40B4-BE49-F238E27FC236}">
                  <a16:creationId xmlns:a16="http://schemas.microsoft.com/office/drawing/2014/main" id="{63677972-0493-40F4-8ED9-3A840C6F373D}"/>
                </a:ext>
              </a:extLst>
            </xdr:cNvPr>
            <xdr:cNvSpPr/>
          </xdr:nvSpPr>
          <xdr:spPr>
            <a:xfrm>
              <a:off x="2381250" y="5348654"/>
              <a:ext cx="99748" cy="100304"/>
            </a:xfrm>
            <a:prstGeom prst="ellipse">
              <a:avLst/>
            </a:prstGeom>
            <a:noFill/>
            <a:ln w="63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3" name="Minus 574">
              <a:extLst>
                <a:ext uri="{FF2B5EF4-FFF2-40B4-BE49-F238E27FC236}">
                  <a16:creationId xmlns:a16="http://schemas.microsoft.com/office/drawing/2014/main" id="{4E287E00-7BDE-4F40-A673-A875E53B4DB0}"/>
                </a:ext>
              </a:extLst>
            </xdr:cNvPr>
            <xdr:cNvSpPr/>
          </xdr:nvSpPr>
          <xdr:spPr>
            <a:xfrm>
              <a:off x="2397874" y="5348654"/>
              <a:ext cx="68872" cy="107468"/>
            </a:xfrm>
            <a:prstGeom prst="mathMinus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0</xdr:col>
      <xdr:colOff>289717</xdr:colOff>
      <xdr:row>69</xdr:row>
      <xdr:rowOff>27334</xdr:rowOff>
    </xdr:from>
    <xdr:to>
      <xdr:col>5</xdr:col>
      <xdr:colOff>97227</xdr:colOff>
      <xdr:row>78</xdr:row>
      <xdr:rowOff>115117</xdr:rowOff>
    </xdr:to>
    <xdr:grpSp>
      <xdr:nvGrpSpPr>
        <xdr:cNvPr id="215" name="Group 214">
          <a:extLst>
            <a:ext uri="{FF2B5EF4-FFF2-40B4-BE49-F238E27FC236}">
              <a16:creationId xmlns:a16="http://schemas.microsoft.com/office/drawing/2014/main" id="{6D55D3C0-C8C2-45E0-A8E7-D0A7676ECFB1}"/>
            </a:ext>
          </a:extLst>
        </xdr:cNvPr>
        <xdr:cNvGrpSpPr/>
      </xdr:nvGrpSpPr>
      <xdr:grpSpPr>
        <a:xfrm>
          <a:off x="289717" y="13171834"/>
          <a:ext cx="1807760" cy="1802283"/>
          <a:chOff x="280192" y="12781422"/>
          <a:chExt cx="1900468" cy="1813660"/>
        </a:xfrm>
      </xdr:grpSpPr>
      <xdr:grpSp>
        <xdr:nvGrpSpPr>
          <xdr:cNvPr id="216" name="Group 215">
            <a:extLst>
              <a:ext uri="{FF2B5EF4-FFF2-40B4-BE49-F238E27FC236}">
                <a16:creationId xmlns:a16="http://schemas.microsoft.com/office/drawing/2014/main" id="{539F03C3-9DBE-4A4C-9D2C-6E9DBE07B08E}"/>
              </a:ext>
            </a:extLst>
          </xdr:cNvPr>
          <xdr:cNvGrpSpPr/>
        </xdr:nvGrpSpPr>
        <xdr:grpSpPr>
          <a:xfrm>
            <a:off x="280192" y="12781422"/>
            <a:ext cx="1900468" cy="1813660"/>
            <a:chOff x="280192" y="12716611"/>
            <a:chExt cx="1900468" cy="1804043"/>
          </a:xfrm>
        </xdr:grpSpPr>
        <xdr:sp macro="" textlink="">
          <xdr:nvSpPr>
            <xdr:cNvPr id="220" name="Freeform 394">
              <a:extLst>
                <a:ext uri="{FF2B5EF4-FFF2-40B4-BE49-F238E27FC236}">
                  <a16:creationId xmlns:a16="http://schemas.microsoft.com/office/drawing/2014/main" id="{22B52EEB-4C59-4D55-B61E-3E2676389F88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21" name="Group 220">
              <a:extLst>
                <a:ext uri="{FF2B5EF4-FFF2-40B4-BE49-F238E27FC236}">
                  <a16:creationId xmlns:a16="http://schemas.microsoft.com/office/drawing/2014/main" id="{949A158B-B3CB-44D6-9D35-301F7BA79D80}"/>
                </a:ext>
              </a:extLst>
            </xdr:cNvPr>
            <xdr:cNvGrpSpPr/>
          </xdr:nvGrpSpPr>
          <xdr:grpSpPr>
            <a:xfrm>
              <a:off x="280192" y="12716611"/>
              <a:ext cx="1900468" cy="1804043"/>
              <a:chOff x="280192" y="12716611"/>
              <a:chExt cx="1900468" cy="1804043"/>
            </a:xfrm>
          </xdr:grpSpPr>
          <xdr:grpSp>
            <xdr:nvGrpSpPr>
              <xdr:cNvPr id="222" name="Group 221">
                <a:extLst>
                  <a:ext uri="{FF2B5EF4-FFF2-40B4-BE49-F238E27FC236}">
                    <a16:creationId xmlns:a16="http://schemas.microsoft.com/office/drawing/2014/main" id="{434AD496-8752-4077-BDF3-5EB33159F070}"/>
                  </a:ext>
                </a:extLst>
              </xdr:cNvPr>
              <xdr:cNvGrpSpPr/>
            </xdr:nvGrpSpPr>
            <xdr:grpSpPr>
              <a:xfrm>
                <a:off x="280192" y="12716611"/>
                <a:ext cx="1900468" cy="1804043"/>
                <a:chOff x="280192" y="9668611"/>
                <a:chExt cx="1900468" cy="1804043"/>
              </a:xfrm>
            </xdr:grpSpPr>
            <xdr:sp macro="" textlink="">
              <xdr:nvSpPr>
                <xdr:cNvPr id="224" name="Freeform 101">
                  <a:extLst>
                    <a:ext uri="{FF2B5EF4-FFF2-40B4-BE49-F238E27FC236}">
                      <a16:creationId xmlns:a16="http://schemas.microsoft.com/office/drawing/2014/main" id="{469474D4-5725-41A3-A70A-C58DFA33CECC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25" name="Group 224">
                  <a:extLst>
                    <a:ext uri="{FF2B5EF4-FFF2-40B4-BE49-F238E27FC236}">
                      <a16:creationId xmlns:a16="http://schemas.microsoft.com/office/drawing/2014/main" id="{3C161343-AAC5-4DA7-8B02-6D3414A299B7}"/>
                    </a:ext>
                  </a:extLst>
                </xdr:cNvPr>
                <xdr:cNvGrpSpPr/>
              </xdr:nvGrpSpPr>
              <xdr:grpSpPr>
                <a:xfrm>
                  <a:off x="280192" y="9668611"/>
                  <a:ext cx="1900468" cy="1804043"/>
                  <a:chOff x="331475" y="5194697"/>
                  <a:chExt cx="1885333" cy="1753240"/>
                </a:xfrm>
              </xdr:grpSpPr>
              <xdr:grpSp>
                <xdr:nvGrpSpPr>
                  <xdr:cNvPr id="226" name="Group 225">
                    <a:extLst>
                      <a:ext uri="{FF2B5EF4-FFF2-40B4-BE49-F238E27FC236}">
                        <a16:creationId xmlns:a16="http://schemas.microsoft.com/office/drawing/2014/main" id="{EDFC03F2-3EDE-4D2E-A3E6-6EDAEFAEC2D0}"/>
                      </a:ext>
                    </a:extLst>
                  </xdr:cNvPr>
                  <xdr:cNvGrpSpPr/>
                </xdr:nvGrpSpPr>
                <xdr:grpSpPr>
                  <a:xfrm>
                    <a:off x="331475" y="5194697"/>
                    <a:ext cx="1654536" cy="1479550"/>
                    <a:chOff x="331475" y="5194697"/>
                    <a:chExt cx="1654536" cy="1479550"/>
                  </a:xfrm>
                </xdr:grpSpPr>
                <xdr:grpSp>
                  <xdr:nvGrpSpPr>
                    <xdr:cNvPr id="228" name="Group 227">
                      <a:extLst>
                        <a:ext uri="{FF2B5EF4-FFF2-40B4-BE49-F238E27FC236}">
                          <a16:creationId xmlns:a16="http://schemas.microsoft.com/office/drawing/2014/main" id="{C52C4E9B-1906-412E-AED9-3102F97DC92E}"/>
                        </a:ext>
                      </a:extLst>
                    </xdr:cNvPr>
                    <xdr:cNvGrpSpPr/>
                  </xdr:nvGrpSpPr>
                  <xdr:grpSpPr>
                    <a:xfrm>
                      <a:off x="331475" y="5371988"/>
                      <a:ext cx="1654536" cy="1168853"/>
                      <a:chOff x="331501" y="5331957"/>
                      <a:chExt cx="1659981" cy="1160623"/>
                    </a:xfrm>
                  </xdr:grpSpPr>
                  <xdr:grpSp>
                    <xdr:nvGrpSpPr>
                      <xdr:cNvPr id="230" name="Group 229">
                        <a:extLst>
                          <a:ext uri="{FF2B5EF4-FFF2-40B4-BE49-F238E27FC236}">
                            <a16:creationId xmlns:a16="http://schemas.microsoft.com/office/drawing/2014/main" id="{43967501-8BDC-45D0-B102-76F1A2B348F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331957"/>
                        <a:ext cx="1557511" cy="1160623"/>
                        <a:chOff x="331531" y="5428027"/>
                        <a:chExt cx="1563324" cy="1180376"/>
                      </a:xfrm>
                    </xdr:grpSpPr>
                    <xdr:grpSp>
                      <xdr:nvGrpSpPr>
                        <xdr:cNvPr id="233" name="Group 232">
                          <a:extLst>
                            <a:ext uri="{FF2B5EF4-FFF2-40B4-BE49-F238E27FC236}">
                              <a16:creationId xmlns:a16="http://schemas.microsoft.com/office/drawing/2014/main" id="{B608F523-A48C-4EA6-8AEA-B165642E2C2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37" name="Straight Connector 236">
                            <a:extLst>
                              <a:ext uri="{FF2B5EF4-FFF2-40B4-BE49-F238E27FC236}">
                                <a16:creationId xmlns:a16="http://schemas.microsoft.com/office/drawing/2014/main" id="{18FDCEEA-056E-49CA-ABC3-90DF420B1B76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38" name="Straight Connector 237">
                            <a:extLst>
                              <a:ext uri="{FF2B5EF4-FFF2-40B4-BE49-F238E27FC236}">
                                <a16:creationId xmlns:a16="http://schemas.microsoft.com/office/drawing/2014/main" id="{10B9F096-C812-4E59-B296-66EA477D7EB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39" name="직선 연결선 255">
                            <a:extLst>
                              <a:ext uri="{FF2B5EF4-FFF2-40B4-BE49-F238E27FC236}">
                                <a16:creationId xmlns:a16="http://schemas.microsoft.com/office/drawing/2014/main" id="{12E26E10-B78C-4BE3-9C49-5F16BD9E5C38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0" name="직선 연결선 251">
                            <a:extLst>
                              <a:ext uri="{FF2B5EF4-FFF2-40B4-BE49-F238E27FC236}">
                                <a16:creationId xmlns:a16="http://schemas.microsoft.com/office/drawing/2014/main" id="{912FBE19-D497-4E58-9F23-37E8F5D1B37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1" name="직선 연결선 238">
                            <a:extLst>
                              <a:ext uri="{FF2B5EF4-FFF2-40B4-BE49-F238E27FC236}">
                                <a16:creationId xmlns:a16="http://schemas.microsoft.com/office/drawing/2014/main" id="{7EC4DB38-AB4F-4C62-B045-A9B6436EE828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2" name="직선 연결선 239">
                            <a:extLst>
                              <a:ext uri="{FF2B5EF4-FFF2-40B4-BE49-F238E27FC236}">
                                <a16:creationId xmlns:a16="http://schemas.microsoft.com/office/drawing/2014/main" id="{183C9D14-D376-4B7D-A6FE-C279FC41ABD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3" name="Straight Connector 242">
                            <a:extLst>
                              <a:ext uri="{FF2B5EF4-FFF2-40B4-BE49-F238E27FC236}">
                                <a16:creationId xmlns:a16="http://schemas.microsoft.com/office/drawing/2014/main" id="{2CDBAC3F-3731-496B-9D42-2482A447A6B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4" name="Straight Connector 243">
                            <a:extLst>
                              <a:ext uri="{FF2B5EF4-FFF2-40B4-BE49-F238E27FC236}">
                                <a16:creationId xmlns:a16="http://schemas.microsoft.com/office/drawing/2014/main" id="{15BCBF5A-C70A-4128-A2D2-6AB0F542152B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34" name="Straight Connector 233">
                          <a:extLst>
                            <a:ext uri="{FF2B5EF4-FFF2-40B4-BE49-F238E27FC236}">
                              <a16:creationId xmlns:a16="http://schemas.microsoft.com/office/drawing/2014/main" id="{CCD26784-D361-431A-BB89-86E0EDDF1BB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43207" y="6118795"/>
                          <a:ext cx="1251648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5" name="Straight Connector 234">
                          <a:extLst>
                            <a:ext uri="{FF2B5EF4-FFF2-40B4-BE49-F238E27FC236}">
                              <a16:creationId xmlns:a16="http://schemas.microsoft.com/office/drawing/2014/main" id="{4908D0D5-2DBE-4A2D-9A5A-28E184B81FA5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13809" y="5646078"/>
                          <a:ext cx="188116" cy="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6" name="Straight Connector 235">
                          <a:extLst>
                            <a:ext uri="{FF2B5EF4-FFF2-40B4-BE49-F238E27FC236}">
                              <a16:creationId xmlns:a16="http://schemas.microsoft.com/office/drawing/2014/main" id="{F518808D-796F-453B-906F-639C15B4C72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645000"/>
                          <a:ext cx="0" cy="472431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31" name="TextBox 230">
                        <a:extLst>
                          <a:ext uri="{FF2B5EF4-FFF2-40B4-BE49-F238E27FC236}">
                            <a16:creationId xmlns:a16="http://schemas.microsoft.com/office/drawing/2014/main" id="{35480543-EE0E-401B-804F-56D9FC7966F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86807" y="5834063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32" name="TextBox 231">
                        <a:extLst>
                          <a:ext uri="{FF2B5EF4-FFF2-40B4-BE49-F238E27FC236}">
                            <a16:creationId xmlns:a16="http://schemas.microsoft.com/office/drawing/2014/main" id="{9793A6D4-E2EE-4E77-AC94-2E81F785DA8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27843" y="5663975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29" name="Freeform 331">
                      <a:extLst>
                        <a:ext uri="{FF2B5EF4-FFF2-40B4-BE49-F238E27FC236}">
                          <a16:creationId xmlns:a16="http://schemas.microsoft.com/office/drawing/2014/main" id="{282B1EB9-593A-4BCB-A16E-67E236BDDFD6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27" name="TextBox 226">
                    <a:extLst>
                      <a:ext uri="{FF2B5EF4-FFF2-40B4-BE49-F238E27FC236}">
                        <a16:creationId xmlns:a16="http://schemas.microsoft.com/office/drawing/2014/main" id="{1A7ADEF7-406B-4775-89CE-FA23ED8C0CEC}"/>
                      </a:ext>
                    </a:extLst>
                  </xdr:cNvPr>
                  <xdr:cNvSpPr txBox="1"/>
                </xdr:nvSpPr>
                <xdr:spPr>
                  <a:xfrm>
                    <a:off x="788058" y="6749499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Case 1, 8, a, b, c, d</a:t>
                    </a:r>
                    <a:endParaRPr lang="en-US" sz="600"/>
                  </a:p>
                </xdr:txBody>
              </xdr:sp>
            </xdr:grpSp>
          </xdr:grpSp>
          <xdr:cxnSp macro="">
            <xdr:nvCxnSpPr>
              <xdr:cNvPr id="223" name="직선 연결선 254">
                <a:extLst>
                  <a:ext uri="{FF2B5EF4-FFF2-40B4-BE49-F238E27FC236}">
                    <a16:creationId xmlns:a16="http://schemas.microsoft.com/office/drawing/2014/main" id="{33BB8B39-51EF-42FC-AEB8-E7060093B7CB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17" name="직선 연결선 239">
            <a:extLst>
              <a:ext uri="{FF2B5EF4-FFF2-40B4-BE49-F238E27FC236}">
                <a16:creationId xmlns:a16="http://schemas.microsoft.com/office/drawing/2014/main" id="{FBFA7FB7-6224-423F-8421-08C767D8A33C}"/>
              </a:ext>
            </a:extLst>
          </xdr:cNvPr>
          <xdr:cNvCxnSpPr/>
        </xdr:nvCxnSpPr>
        <xdr:spPr>
          <a:xfrm>
            <a:off x="1142998" y="13955770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직선 연결선 239">
            <a:extLst>
              <a:ext uri="{FF2B5EF4-FFF2-40B4-BE49-F238E27FC236}">
                <a16:creationId xmlns:a16="http://schemas.microsoft.com/office/drawing/2014/main" id="{B45DE14A-9222-4D91-B91D-7BBAAC8F9F0B}"/>
              </a:ext>
            </a:extLst>
          </xdr:cNvPr>
          <xdr:cNvCxnSpPr/>
        </xdr:nvCxnSpPr>
        <xdr:spPr>
          <a:xfrm>
            <a:off x="1154906" y="14021046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직선 연결선 239">
            <a:extLst>
              <a:ext uri="{FF2B5EF4-FFF2-40B4-BE49-F238E27FC236}">
                <a16:creationId xmlns:a16="http://schemas.microsoft.com/office/drawing/2014/main" id="{32090118-B1D9-4364-84A3-5951E7BE6B0E}"/>
              </a:ext>
            </a:extLst>
          </xdr:cNvPr>
          <xdr:cNvCxnSpPr/>
        </xdr:nvCxnSpPr>
        <xdr:spPr>
          <a:xfrm>
            <a:off x="1175365" y="14090102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436678</xdr:colOff>
      <xdr:row>69</xdr:row>
      <xdr:rowOff>3326</xdr:rowOff>
    </xdr:from>
    <xdr:to>
      <xdr:col>9</xdr:col>
      <xdr:colOff>435634</xdr:colOff>
      <xdr:row>78</xdr:row>
      <xdr:rowOff>129209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D6098CE2-3F78-49B0-8CBA-7AB98E700693}"/>
            </a:ext>
          </a:extLst>
        </xdr:cNvPr>
        <xdr:cNvGrpSpPr/>
      </xdr:nvGrpSpPr>
      <xdr:grpSpPr>
        <a:xfrm>
          <a:off x="1998778" y="13147826"/>
          <a:ext cx="1999206" cy="1840383"/>
          <a:chOff x="2271048" y="12776461"/>
          <a:chExt cx="2190846" cy="1852000"/>
        </a:xfrm>
      </xdr:grpSpPr>
      <xdr:grpSp>
        <xdr:nvGrpSpPr>
          <xdr:cNvPr id="246" name="Group 245">
            <a:extLst>
              <a:ext uri="{FF2B5EF4-FFF2-40B4-BE49-F238E27FC236}">
                <a16:creationId xmlns:a16="http://schemas.microsoft.com/office/drawing/2014/main" id="{51CD61EF-E29B-424D-81C6-4D4F145F228A}"/>
              </a:ext>
            </a:extLst>
          </xdr:cNvPr>
          <xdr:cNvGrpSpPr/>
        </xdr:nvGrpSpPr>
        <xdr:grpSpPr>
          <a:xfrm>
            <a:off x="2271048" y="12776461"/>
            <a:ext cx="2190846" cy="1852000"/>
            <a:chOff x="258096" y="12716611"/>
            <a:chExt cx="2190846" cy="1842180"/>
          </a:xfrm>
        </xdr:grpSpPr>
        <xdr:sp macro="" textlink="">
          <xdr:nvSpPr>
            <xdr:cNvPr id="250" name="Freeform 625">
              <a:extLst>
                <a:ext uri="{FF2B5EF4-FFF2-40B4-BE49-F238E27FC236}">
                  <a16:creationId xmlns:a16="http://schemas.microsoft.com/office/drawing/2014/main" id="{AB4CC2E4-C784-46D2-A75A-0CC20519E3E1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51" name="Group 250">
              <a:extLst>
                <a:ext uri="{FF2B5EF4-FFF2-40B4-BE49-F238E27FC236}">
                  <a16:creationId xmlns:a16="http://schemas.microsoft.com/office/drawing/2014/main" id="{55BA997A-7F78-4C59-B755-282E99144CF8}"/>
                </a:ext>
              </a:extLst>
            </xdr:cNvPr>
            <xdr:cNvGrpSpPr/>
          </xdr:nvGrpSpPr>
          <xdr:grpSpPr>
            <a:xfrm>
              <a:off x="258096" y="12716611"/>
              <a:ext cx="2190846" cy="1842180"/>
              <a:chOff x="258096" y="12716611"/>
              <a:chExt cx="2190846" cy="1842180"/>
            </a:xfrm>
          </xdr:grpSpPr>
          <xdr:grpSp>
            <xdr:nvGrpSpPr>
              <xdr:cNvPr id="252" name="Group 251">
                <a:extLst>
                  <a:ext uri="{FF2B5EF4-FFF2-40B4-BE49-F238E27FC236}">
                    <a16:creationId xmlns:a16="http://schemas.microsoft.com/office/drawing/2014/main" id="{53867BAC-E7F2-4343-839B-09A3C05C636F}"/>
                  </a:ext>
                </a:extLst>
              </xdr:cNvPr>
              <xdr:cNvGrpSpPr/>
            </xdr:nvGrpSpPr>
            <xdr:grpSpPr>
              <a:xfrm>
                <a:off x="258096" y="12716611"/>
                <a:ext cx="2190846" cy="1842180"/>
                <a:chOff x="258096" y="9668611"/>
                <a:chExt cx="2190846" cy="1842180"/>
              </a:xfrm>
            </xdr:grpSpPr>
            <xdr:sp macro="" textlink="">
              <xdr:nvSpPr>
                <xdr:cNvPr id="254" name="Freeform 629">
                  <a:extLst>
                    <a:ext uri="{FF2B5EF4-FFF2-40B4-BE49-F238E27FC236}">
                      <a16:creationId xmlns:a16="http://schemas.microsoft.com/office/drawing/2014/main" id="{9C3575F6-A534-4C9E-8753-F66E04CFEC32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55" name="Group 254">
                  <a:extLst>
                    <a:ext uri="{FF2B5EF4-FFF2-40B4-BE49-F238E27FC236}">
                      <a16:creationId xmlns:a16="http://schemas.microsoft.com/office/drawing/2014/main" id="{F4CDFF66-9746-4CF1-A89F-DEF991BAC10C}"/>
                    </a:ext>
                  </a:extLst>
                </xdr:cNvPr>
                <xdr:cNvGrpSpPr/>
              </xdr:nvGrpSpPr>
              <xdr:grpSpPr>
                <a:xfrm>
                  <a:off x="258096" y="9668611"/>
                  <a:ext cx="2190846" cy="1842180"/>
                  <a:chOff x="309555" y="5194697"/>
                  <a:chExt cx="2173398" cy="1790303"/>
                </a:xfrm>
              </xdr:grpSpPr>
              <xdr:grpSp>
                <xdr:nvGrpSpPr>
                  <xdr:cNvPr id="256" name="Group 255">
                    <a:extLst>
                      <a:ext uri="{FF2B5EF4-FFF2-40B4-BE49-F238E27FC236}">
                        <a16:creationId xmlns:a16="http://schemas.microsoft.com/office/drawing/2014/main" id="{87DBE54F-F8E9-40EF-BB4A-BFB6AB226DEA}"/>
                      </a:ext>
                    </a:extLst>
                  </xdr:cNvPr>
                  <xdr:cNvGrpSpPr/>
                </xdr:nvGrpSpPr>
                <xdr:grpSpPr>
                  <a:xfrm>
                    <a:off x="309555" y="5194697"/>
                    <a:ext cx="1685905" cy="1479550"/>
                    <a:chOff x="309555" y="5194697"/>
                    <a:chExt cx="1685905" cy="1479550"/>
                  </a:xfrm>
                </xdr:grpSpPr>
                <xdr:grpSp>
                  <xdr:nvGrpSpPr>
                    <xdr:cNvPr id="258" name="Group 257">
                      <a:extLst>
                        <a:ext uri="{FF2B5EF4-FFF2-40B4-BE49-F238E27FC236}">
                          <a16:creationId xmlns:a16="http://schemas.microsoft.com/office/drawing/2014/main" id="{3CF3CE8A-B796-4D8A-88EC-6EA60DCC505D}"/>
                        </a:ext>
                      </a:extLst>
                    </xdr:cNvPr>
                    <xdr:cNvGrpSpPr/>
                  </xdr:nvGrpSpPr>
                  <xdr:grpSpPr>
                    <a:xfrm>
                      <a:off x="309555" y="5289805"/>
                      <a:ext cx="1685905" cy="1251039"/>
                      <a:chOff x="309509" y="5250352"/>
                      <a:chExt cx="1691453" cy="1242230"/>
                    </a:xfrm>
                  </xdr:grpSpPr>
                  <xdr:grpSp>
                    <xdr:nvGrpSpPr>
                      <xdr:cNvPr id="260" name="Group 259">
                        <a:extLst>
                          <a:ext uri="{FF2B5EF4-FFF2-40B4-BE49-F238E27FC236}">
                            <a16:creationId xmlns:a16="http://schemas.microsoft.com/office/drawing/2014/main" id="{A6631734-7A67-4745-B3E2-625F3338CA2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275407"/>
                        <a:ext cx="1557511" cy="1217175"/>
                        <a:chOff x="331531" y="5370513"/>
                        <a:chExt cx="1563324" cy="1237890"/>
                      </a:xfrm>
                    </xdr:grpSpPr>
                    <xdr:grpSp>
                      <xdr:nvGrpSpPr>
                        <xdr:cNvPr id="263" name="Group 262">
                          <a:extLst>
                            <a:ext uri="{FF2B5EF4-FFF2-40B4-BE49-F238E27FC236}">
                              <a16:creationId xmlns:a16="http://schemas.microsoft.com/office/drawing/2014/main" id="{5EDD34F3-F66E-4776-80F7-9EB55B454D9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67" name="Straight Connector 266">
                            <a:extLst>
                              <a:ext uri="{FF2B5EF4-FFF2-40B4-BE49-F238E27FC236}">
                                <a16:creationId xmlns:a16="http://schemas.microsoft.com/office/drawing/2014/main" id="{7D3C3D5F-C08B-43E8-88D9-C7CB2028D45F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68" name="Straight Connector 267">
                            <a:extLst>
                              <a:ext uri="{FF2B5EF4-FFF2-40B4-BE49-F238E27FC236}">
                                <a16:creationId xmlns:a16="http://schemas.microsoft.com/office/drawing/2014/main" id="{96C44AD5-8B1F-4353-A37A-E302FDD5548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69" name="직선 연결선 255">
                            <a:extLst>
                              <a:ext uri="{FF2B5EF4-FFF2-40B4-BE49-F238E27FC236}">
                                <a16:creationId xmlns:a16="http://schemas.microsoft.com/office/drawing/2014/main" id="{9753EC96-A979-4A48-8A3E-DF82CD7BAF29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0" name="직선 연결선 251">
                            <a:extLst>
                              <a:ext uri="{FF2B5EF4-FFF2-40B4-BE49-F238E27FC236}">
                                <a16:creationId xmlns:a16="http://schemas.microsoft.com/office/drawing/2014/main" id="{870AA4D9-378E-4D5F-B001-A7E9475DFBD7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1" name="직선 연결선 238">
                            <a:extLst>
                              <a:ext uri="{FF2B5EF4-FFF2-40B4-BE49-F238E27FC236}">
                                <a16:creationId xmlns:a16="http://schemas.microsoft.com/office/drawing/2014/main" id="{BBCB0100-9C15-4A53-A327-8A70120A69F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2" name="직선 연결선 239">
                            <a:extLst>
                              <a:ext uri="{FF2B5EF4-FFF2-40B4-BE49-F238E27FC236}">
                                <a16:creationId xmlns:a16="http://schemas.microsoft.com/office/drawing/2014/main" id="{C2BEDB92-4E9C-4E53-BE4D-41CF472EF0C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3" name="Straight Connector 272">
                            <a:extLst>
                              <a:ext uri="{FF2B5EF4-FFF2-40B4-BE49-F238E27FC236}">
                                <a16:creationId xmlns:a16="http://schemas.microsoft.com/office/drawing/2014/main" id="{0A64D88E-8BE0-4C36-AC9B-4DC0E36165E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4" name="Straight Connector 273">
                            <a:extLst>
                              <a:ext uri="{FF2B5EF4-FFF2-40B4-BE49-F238E27FC236}">
                                <a16:creationId xmlns:a16="http://schemas.microsoft.com/office/drawing/2014/main" id="{45B45E23-976D-46DC-A664-DDD68E5A315E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64" name="Straight Connector 263">
                          <a:extLst>
                            <a:ext uri="{FF2B5EF4-FFF2-40B4-BE49-F238E27FC236}">
                              <a16:creationId xmlns:a16="http://schemas.microsoft.com/office/drawing/2014/main" id="{9BE76EEC-5EB5-4333-AC3B-1E2CAD000F3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1929" y="5623349"/>
                          <a:ext cx="1472926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5" name="Straight Connector 264">
                          <a:extLst>
                            <a:ext uri="{FF2B5EF4-FFF2-40B4-BE49-F238E27FC236}">
                              <a16:creationId xmlns:a16="http://schemas.microsoft.com/office/drawing/2014/main" id="{5372ABAD-4D99-482E-A4DC-58DD16BF6C33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09052" y="5557271"/>
                          <a:ext cx="188116" cy="0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6" name="Straight Connector 265">
                          <a:extLst>
                            <a:ext uri="{FF2B5EF4-FFF2-40B4-BE49-F238E27FC236}">
                              <a16:creationId xmlns:a16="http://schemas.microsoft.com/office/drawing/2014/main" id="{DCA37FDB-7AAC-4EF4-9817-513E0C8A49F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370513"/>
                          <a:ext cx="0" cy="252397"/>
                        </a:xfrm>
                        <a:prstGeom prst="line">
                          <a:avLst/>
                        </a:prstGeom>
                        <a:ln w="3175">
                          <a:headEnd type="none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61" name="TextBox 260">
                        <a:extLst>
                          <a:ext uri="{FF2B5EF4-FFF2-40B4-BE49-F238E27FC236}">
                            <a16:creationId xmlns:a16="http://schemas.microsoft.com/office/drawing/2014/main" id="{1399E8D0-7D91-4633-908C-AD4E0E9A385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09509" y="5507761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62" name="TextBox 261">
                        <a:extLst>
                          <a:ext uri="{FF2B5EF4-FFF2-40B4-BE49-F238E27FC236}">
                            <a16:creationId xmlns:a16="http://schemas.microsoft.com/office/drawing/2014/main" id="{9A1AD3F9-C587-47BD-B3CF-194451802E5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37323" y="5250352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59" name="Freeform 634">
                      <a:extLst>
                        <a:ext uri="{FF2B5EF4-FFF2-40B4-BE49-F238E27FC236}">
                          <a16:creationId xmlns:a16="http://schemas.microsoft.com/office/drawing/2014/main" id="{0B60790F-6FD2-4A0C-A8A7-C919B3AD3BAD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57" name="TextBox 256">
                    <a:extLst>
                      <a:ext uri="{FF2B5EF4-FFF2-40B4-BE49-F238E27FC236}">
                        <a16:creationId xmlns:a16="http://schemas.microsoft.com/office/drawing/2014/main" id="{1CDF86A1-AC79-4A27-9183-613411236310}"/>
                      </a:ext>
                    </a:extLst>
                  </xdr:cNvPr>
                  <xdr:cNvSpPr txBox="1"/>
                </xdr:nvSpPr>
                <xdr:spPr>
                  <a:xfrm>
                    <a:off x="1054203" y="6786562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Case 2, 9</a:t>
                    </a:r>
                    <a:endParaRPr lang="ko-KR" altLang="ko-KR" sz="600">
                      <a:effectLst/>
                    </a:endParaRPr>
                  </a:p>
                </xdr:txBody>
              </xdr:sp>
            </xdr:grpSp>
          </xdr:grpSp>
          <xdr:cxnSp macro="">
            <xdr:nvCxnSpPr>
              <xdr:cNvPr id="253" name="직선 연결선 254">
                <a:extLst>
                  <a:ext uri="{FF2B5EF4-FFF2-40B4-BE49-F238E27FC236}">
                    <a16:creationId xmlns:a16="http://schemas.microsoft.com/office/drawing/2014/main" id="{0E3A3845-4971-4C56-B898-5A44A9AA2726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47" name="직선 연결선 239">
            <a:extLst>
              <a:ext uri="{FF2B5EF4-FFF2-40B4-BE49-F238E27FC236}">
                <a16:creationId xmlns:a16="http://schemas.microsoft.com/office/drawing/2014/main" id="{0440162C-BFE7-4B88-9E14-026247E82714}"/>
              </a:ext>
            </a:extLst>
          </xdr:cNvPr>
          <xdr:cNvCxnSpPr/>
        </xdr:nvCxnSpPr>
        <xdr:spPr>
          <a:xfrm>
            <a:off x="3156998" y="13950427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직선 연결선 239">
            <a:extLst>
              <a:ext uri="{FF2B5EF4-FFF2-40B4-BE49-F238E27FC236}">
                <a16:creationId xmlns:a16="http://schemas.microsoft.com/office/drawing/2014/main" id="{41687CE1-781E-4AB4-BC2B-EFE1094E0188}"/>
              </a:ext>
            </a:extLst>
          </xdr:cNvPr>
          <xdr:cNvCxnSpPr/>
        </xdr:nvCxnSpPr>
        <xdr:spPr>
          <a:xfrm>
            <a:off x="3168906" y="14015703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" name="직선 연결선 239">
            <a:extLst>
              <a:ext uri="{FF2B5EF4-FFF2-40B4-BE49-F238E27FC236}">
                <a16:creationId xmlns:a16="http://schemas.microsoft.com/office/drawing/2014/main" id="{245A518C-AB7E-4B74-ABE3-3B957EF7B9D0}"/>
              </a:ext>
            </a:extLst>
          </xdr:cNvPr>
          <xdr:cNvCxnSpPr/>
        </xdr:nvCxnSpPr>
        <xdr:spPr>
          <a:xfrm>
            <a:off x="3189365" y="14084759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220325</xdr:colOff>
      <xdr:row>68</xdr:row>
      <xdr:rowOff>181735</xdr:rowOff>
    </xdr:from>
    <xdr:to>
      <xdr:col>14</xdr:col>
      <xdr:colOff>168575</xdr:colOff>
      <xdr:row>78</xdr:row>
      <xdr:rowOff>152482</xdr:rowOff>
    </xdr:to>
    <xdr:grpSp>
      <xdr:nvGrpSpPr>
        <xdr:cNvPr id="275" name="Group 274">
          <a:extLst>
            <a:ext uri="{FF2B5EF4-FFF2-40B4-BE49-F238E27FC236}">
              <a16:creationId xmlns:a16="http://schemas.microsoft.com/office/drawing/2014/main" id="{74C19D08-E959-49A4-BA9E-A47D751012EB}"/>
            </a:ext>
          </a:extLst>
        </xdr:cNvPr>
        <xdr:cNvGrpSpPr/>
      </xdr:nvGrpSpPr>
      <xdr:grpSpPr>
        <a:xfrm>
          <a:off x="3820775" y="13135735"/>
          <a:ext cx="1948500" cy="1875747"/>
          <a:chOff x="4355971" y="12747117"/>
          <a:chExt cx="1983307" cy="1885567"/>
        </a:xfrm>
      </xdr:grpSpPr>
      <xdr:grpSp>
        <xdr:nvGrpSpPr>
          <xdr:cNvPr id="276" name="Group 275">
            <a:extLst>
              <a:ext uri="{FF2B5EF4-FFF2-40B4-BE49-F238E27FC236}">
                <a16:creationId xmlns:a16="http://schemas.microsoft.com/office/drawing/2014/main" id="{348E79EA-B751-4034-A1F6-D27EBCDC320F}"/>
              </a:ext>
            </a:extLst>
          </xdr:cNvPr>
          <xdr:cNvGrpSpPr/>
        </xdr:nvGrpSpPr>
        <xdr:grpSpPr>
          <a:xfrm>
            <a:off x="4355971" y="12747117"/>
            <a:ext cx="1983307" cy="1885567"/>
            <a:chOff x="280192" y="12682715"/>
            <a:chExt cx="1983307" cy="1876078"/>
          </a:xfrm>
        </xdr:grpSpPr>
        <xdr:sp macro="" textlink="">
          <xdr:nvSpPr>
            <xdr:cNvPr id="280" name="Freeform 666">
              <a:extLst>
                <a:ext uri="{FF2B5EF4-FFF2-40B4-BE49-F238E27FC236}">
                  <a16:creationId xmlns:a16="http://schemas.microsoft.com/office/drawing/2014/main" id="{CB118F90-ADD5-456C-9888-818F9F728BEE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81" name="Group 280">
              <a:extLst>
                <a:ext uri="{FF2B5EF4-FFF2-40B4-BE49-F238E27FC236}">
                  <a16:creationId xmlns:a16="http://schemas.microsoft.com/office/drawing/2014/main" id="{44B2A514-2C46-4389-A465-195EFF4419DE}"/>
                </a:ext>
              </a:extLst>
            </xdr:cNvPr>
            <xdr:cNvGrpSpPr/>
          </xdr:nvGrpSpPr>
          <xdr:grpSpPr>
            <a:xfrm>
              <a:off x="280192" y="12682715"/>
              <a:ext cx="1983307" cy="1876078"/>
              <a:chOff x="280192" y="12682715"/>
              <a:chExt cx="1983307" cy="1876078"/>
            </a:xfrm>
          </xdr:grpSpPr>
          <xdr:grpSp>
            <xdr:nvGrpSpPr>
              <xdr:cNvPr id="282" name="Group 281">
                <a:extLst>
                  <a:ext uri="{FF2B5EF4-FFF2-40B4-BE49-F238E27FC236}">
                    <a16:creationId xmlns:a16="http://schemas.microsoft.com/office/drawing/2014/main" id="{4D72D186-4EB9-4D21-9371-07739507FA70}"/>
                  </a:ext>
                </a:extLst>
              </xdr:cNvPr>
              <xdr:cNvGrpSpPr/>
            </xdr:nvGrpSpPr>
            <xdr:grpSpPr>
              <a:xfrm>
                <a:off x="280192" y="12682715"/>
                <a:ext cx="1983307" cy="1876078"/>
                <a:chOff x="280192" y="9634715"/>
                <a:chExt cx="1983307" cy="1876078"/>
              </a:xfrm>
            </xdr:grpSpPr>
            <xdr:sp macro="" textlink="">
              <xdr:nvSpPr>
                <xdr:cNvPr id="284" name="Freeform 676">
                  <a:extLst>
                    <a:ext uri="{FF2B5EF4-FFF2-40B4-BE49-F238E27FC236}">
                      <a16:creationId xmlns:a16="http://schemas.microsoft.com/office/drawing/2014/main" id="{48FC89D7-7277-4ED8-B271-DDC8A1ED4E57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85" name="Group 284">
                  <a:extLst>
                    <a:ext uri="{FF2B5EF4-FFF2-40B4-BE49-F238E27FC236}">
                      <a16:creationId xmlns:a16="http://schemas.microsoft.com/office/drawing/2014/main" id="{F955319B-59F0-4FD3-A824-DE2F78345C11}"/>
                    </a:ext>
                  </a:extLst>
                </xdr:cNvPr>
                <xdr:cNvGrpSpPr/>
              </xdr:nvGrpSpPr>
              <xdr:grpSpPr>
                <a:xfrm>
                  <a:off x="280192" y="9634715"/>
                  <a:ext cx="1983307" cy="1876078"/>
                  <a:chOff x="331475" y="5161754"/>
                  <a:chExt cx="1967512" cy="1823246"/>
                </a:xfrm>
              </xdr:grpSpPr>
              <xdr:grpSp>
                <xdr:nvGrpSpPr>
                  <xdr:cNvPr id="286" name="Group 285">
                    <a:extLst>
                      <a:ext uri="{FF2B5EF4-FFF2-40B4-BE49-F238E27FC236}">
                        <a16:creationId xmlns:a16="http://schemas.microsoft.com/office/drawing/2014/main" id="{EBB20A1E-62A0-41B0-8007-7307AE687058}"/>
                      </a:ext>
                    </a:extLst>
                  </xdr:cNvPr>
                  <xdr:cNvGrpSpPr/>
                </xdr:nvGrpSpPr>
                <xdr:grpSpPr>
                  <a:xfrm>
                    <a:off x="331475" y="5161754"/>
                    <a:ext cx="1704803" cy="1512493"/>
                    <a:chOff x="331475" y="5161754"/>
                    <a:chExt cx="1704803" cy="1512493"/>
                  </a:xfrm>
                </xdr:grpSpPr>
                <xdr:grpSp>
                  <xdr:nvGrpSpPr>
                    <xdr:cNvPr id="288" name="Group 287">
                      <a:extLst>
                        <a:ext uri="{FF2B5EF4-FFF2-40B4-BE49-F238E27FC236}">
                          <a16:creationId xmlns:a16="http://schemas.microsoft.com/office/drawing/2014/main" id="{7267DB0F-5D47-41B1-A9C7-ABEA25C43605}"/>
                        </a:ext>
                      </a:extLst>
                    </xdr:cNvPr>
                    <xdr:cNvGrpSpPr/>
                  </xdr:nvGrpSpPr>
                  <xdr:grpSpPr>
                    <a:xfrm>
                      <a:off x="331475" y="5161754"/>
                      <a:ext cx="1704803" cy="1379088"/>
                      <a:chOff x="331501" y="5123204"/>
                      <a:chExt cx="1710413" cy="1369378"/>
                    </a:xfrm>
                  </xdr:grpSpPr>
                  <xdr:grpSp>
                    <xdr:nvGrpSpPr>
                      <xdr:cNvPr id="290" name="Group 289">
                        <a:extLst>
                          <a:ext uri="{FF2B5EF4-FFF2-40B4-BE49-F238E27FC236}">
                            <a16:creationId xmlns:a16="http://schemas.microsoft.com/office/drawing/2014/main" id="{15B1A526-3594-467B-AEBD-29B0AA8A80F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275407"/>
                        <a:ext cx="1557511" cy="1217175"/>
                        <a:chOff x="331531" y="5370513"/>
                        <a:chExt cx="1563324" cy="1237890"/>
                      </a:xfrm>
                    </xdr:grpSpPr>
                    <xdr:grpSp>
                      <xdr:nvGrpSpPr>
                        <xdr:cNvPr id="293" name="Group 292">
                          <a:extLst>
                            <a:ext uri="{FF2B5EF4-FFF2-40B4-BE49-F238E27FC236}">
                              <a16:creationId xmlns:a16="http://schemas.microsoft.com/office/drawing/2014/main" id="{14BFC252-725D-4154-B19C-F3036EE3ABE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97" name="Straight Connector 296">
                            <a:extLst>
                              <a:ext uri="{FF2B5EF4-FFF2-40B4-BE49-F238E27FC236}">
                                <a16:creationId xmlns:a16="http://schemas.microsoft.com/office/drawing/2014/main" id="{879F278A-08C7-4748-AC45-3984FCBED41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98" name="Straight Connector 297">
                            <a:extLst>
                              <a:ext uri="{FF2B5EF4-FFF2-40B4-BE49-F238E27FC236}">
                                <a16:creationId xmlns:a16="http://schemas.microsoft.com/office/drawing/2014/main" id="{BAD71324-E4EC-4262-A6CC-3A09AA4A9A4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99" name="직선 연결선 255">
                            <a:extLst>
                              <a:ext uri="{FF2B5EF4-FFF2-40B4-BE49-F238E27FC236}">
                                <a16:creationId xmlns:a16="http://schemas.microsoft.com/office/drawing/2014/main" id="{71E77D52-3E1F-422B-83CB-47430BF86D13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0" name="직선 연결선 251">
                            <a:extLst>
                              <a:ext uri="{FF2B5EF4-FFF2-40B4-BE49-F238E27FC236}">
                                <a16:creationId xmlns:a16="http://schemas.microsoft.com/office/drawing/2014/main" id="{7E84B0E1-A95F-4B6E-8828-64A13DE26EA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1" name="직선 연결선 238">
                            <a:extLst>
                              <a:ext uri="{FF2B5EF4-FFF2-40B4-BE49-F238E27FC236}">
                                <a16:creationId xmlns:a16="http://schemas.microsoft.com/office/drawing/2014/main" id="{1457A70F-5C47-45A7-A296-533E5F85657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2" name="직선 연결선 239">
                            <a:extLst>
                              <a:ext uri="{FF2B5EF4-FFF2-40B4-BE49-F238E27FC236}">
                                <a16:creationId xmlns:a16="http://schemas.microsoft.com/office/drawing/2014/main" id="{7D8D98E3-CAEC-4B13-8B31-B9E8D1C30E55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3" name="Straight Connector 302">
                            <a:extLst>
                              <a:ext uri="{FF2B5EF4-FFF2-40B4-BE49-F238E27FC236}">
                                <a16:creationId xmlns:a16="http://schemas.microsoft.com/office/drawing/2014/main" id="{FBBA1492-BE8E-4FD5-BA5C-40AA5A3618D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4" name="Straight Connector 303">
                            <a:extLst>
                              <a:ext uri="{FF2B5EF4-FFF2-40B4-BE49-F238E27FC236}">
                                <a16:creationId xmlns:a16="http://schemas.microsoft.com/office/drawing/2014/main" id="{E5297900-49B3-4044-98E8-33FCEF518C8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94" name="Straight Connector 293">
                          <a:extLst>
                            <a:ext uri="{FF2B5EF4-FFF2-40B4-BE49-F238E27FC236}">
                              <a16:creationId xmlns:a16="http://schemas.microsoft.com/office/drawing/2014/main" id="{240879CD-61E6-4268-AFFF-C2BFCA62E04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1929" y="5478455"/>
                          <a:ext cx="1472926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5" name="Straight Connector 294">
                          <a:extLst>
                            <a:ext uri="{FF2B5EF4-FFF2-40B4-BE49-F238E27FC236}">
                              <a16:creationId xmlns:a16="http://schemas.microsoft.com/office/drawing/2014/main" id="{B2103F0F-CE5C-4D2D-B2A3-9A78356501C2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09052" y="5377322"/>
                          <a:ext cx="188116" cy="0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6" name="Straight Connector 295">
                          <a:extLst>
                            <a:ext uri="{FF2B5EF4-FFF2-40B4-BE49-F238E27FC236}">
                              <a16:creationId xmlns:a16="http://schemas.microsoft.com/office/drawing/2014/main" id="{CF58650D-5928-49A2-B49D-85D3361964C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370513"/>
                          <a:ext cx="0" cy="107499"/>
                        </a:xfrm>
                        <a:prstGeom prst="line">
                          <a:avLst/>
                        </a:prstGeom>
                        <a:ln w="3175">
                          <a:headEnd type="none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91" name="TextBox 290">
                        <a:extLst>
                          <a:ext uri="{FF2B5EF4-FFF2-40B4-BE49-F238E27FC236}">
                            <a16:creationId xmlns:a16="http://schemas.microsoft.com/office/drawing/2014/main" id="{72D2AAAD-40C4-4556-BAC2-35C4C37E518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5588" y="5123204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92" name="TextBox 291">
                        <a:extLst>
                          <a:ext uri="{FF2B5EF4-FFF2-40B4-BE49-F238E27FC236}">
                            <a16:creationId xmlns:a16="http://schemas.microsoft.com/office/drawing/2014/main" id="{89069898-965B-4FCE-A5C4-68F90F1FBAC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78275" y="5223131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89" name="Freeform 681">
                      <a:extLst>
                        <a:ext uri="{FF2B5EF4-FFF2-40B4-BE49-F238E27FC236}">
                          <a16:creationId xmlns:a16="http://schemas.microsoft.com/office/drawing/2014/main" id="{2E2499DA-D198-48CA-94E8-710048F858A9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87" name="TextBox 286">
                    <a:extLst>
                      <a:ext uri="{FF2B5EF4-FFF2-40B4-BE49-F238E27FC236}">
                        <a16:creationId xmlns:a16="http://schemas.microsoft.com/office/drawing/2014/main" id="{8B474E1E-C945-4E2A-AFD2-CF9C968ACA49}"/>
                      </a:ext>
                    </a:extLst>
                  </xdr:cNvPr>
                  <xdr:cNvSpPr txBox="1"/>
                </xdr:nvSpPr>
                <xdr:spPr>
                  <a:xfrm>
                    <a:off x="870237" y="6786562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Case 3, 4, 5, 6, 7</a:t>
                    </a:r>
                    <a:endParaRPr lang="ko-KR" altLang="ko-KR" sz="600">
                      <a:effectLst/>
                    </a:endParaRPr>
                  </a:p>
                </xdr:txBody>
              </xdr:sp>
            </xdr:grpSp>
          </xdr:grpSp>
          <xdr:cxnSp macro="">
            <xdr:nvCxnSpPr>
              <xdr:cNvPr id="283" name="직선 연결선 254">
                <a:extLst>
                  <a:ext uri="{FF2B5EF4-FFF2-40B4-BE49-F238E27FC236}">
                    <a16:creationId xmlns:a16="http://schemas.microsoft.com/office/drawing/2014/main" id="{84195473-3A15-4D33-8F0B-D715A7685014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77" name="직선 연결선 239">
            <a:extLst>
              <a:ext uri="{FF2B5EF4-FFF2-40B4-BE49-F238E27FC236}">
                <a16:creationId xmlns:a16="http://schemas.microsoft.com/office/drawing/2014/main" id="{4E2A9A7F-AB07-4FA5-993A-80DBDFAD536C}"/>
              </a:ext>
            </a:extLst>
          </xdr:cNvPr>
          <xdr:cNvCxnSpPr/>
        </xdr:nvCxnSpPr>
        <xdr:spPr>
          <a:xfrm>
            <a:off x="5219111" y="13954951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직선 연결선 239">
            <a:extLst>
              <a:ext uri="{FF2B5EF4-FFF2-40B4-BE49-F238E27FC236}">
                <a16:creationId xmlns:a16="http://schemas.microsoft.com/office/drawing/2014/main" id="{BBCA18E5-CF27-4C44-836B-9FAC284CC78A}"/>
              </a:ext>
            </a:extLst>
          </xdr:cNvPr>
          <xdr:cNvCxnSpPr/>
        </xdr:nvCxnSpPr>
        <xdr:spPr>
          <a:xfrm>
            <a:off x="5231019" y="14020227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직선 연결선 239">
            <a:extLst>
              <a:ext uri="{FF2B5EF4-FFF2-40B4-BE49-F238E27FC236}">
                <a16:creationId xmlns:a16="http://schemas.microsoft.com/office/drawing/2014/main" id="{D21F56A0-6BA0-4AAA-A26A-911D7A49A080}"/>
              </a:ext>
            </a:extLst>
          </xdr:cNvPr>
          <xdr:cNvCxnSpPr/>
        </xdr:nvCxnSpPr>
        <xdr:spPr>
          <a:xfrm>
            <a:off x="5251478" y="14089283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97511</xdr:colOff>
      <xdr:row>38</xdr:row>
      <xdr:rowOff>157729</xdr:rowOff>
    </xdr:from>
    <xdr:to>
      <xdr:col>14</xdr:col>
      <xdr:colOff>135610</xdr:colOff>
      <xdr:row>49</xdr:row>
      <xdr:rowOff>4625</xdr:rowOff>
    </xdr:to>
    <xdr:grpSp>
      <xdr:nvGrpSpPr>
        <xdr:cNvPr id="305" name="Group 304">
          <a:extLst>
            <a:ext uri="{FF2B5EF4-FFF2-40B4-BE49-F238E27FC236}">
              <a16:creationId xmlns:a16="http://schemas.microsoft.com/office/drawing/2014/main" id="{4942C5B9-4025-4660-A3BC-82A6D12DC91D}"/>
            </a:ext>
          </a:extLst>
        </xdr:cNvPr>
        <xdr:cNvGrpSpPr/>
      </xdr:nvGrpSpPr>
      <xdr:grpSpPr>
        <a:xfrm>
          <a:off x="97511" y="7396729"/>
          <a:ext cx="5638799" cy="1942396"/>
          <a:chOff x="0" y="7414390"/>
          <a:chExt cx="6390550" cy="1782948"/>
        </a:xfrm>
      </xdr:grpSpPr>
      <xdr:grpSp>
        <xdr:nvGrpSpPr>
          <xdr:cNvPr id="306" name="Group 305">
            <a:extLst>
              <a:ext uri="{FF2B5EF4-FFF2-40B4-BE49-F238E27FC236}">
                <a16:creationId xmlns:a16="http://schemas.microsoft.com/office/drawing/2014/main" id="{227A1F43-D92E-47DB-A049-E9CD284A37C9}"/>
              </a:ext>
            </a:extLst>
          </xdr:cNvPr>
          <xdr:cNvGrpSpPr/>
        </xdr:nvGrpSpPr>
        <xdr:grpSpPr>
          <a:xfrm>
            <a:off x="4020" y="7414390"/>
            <a:ext cx="6386530" cy="1782948"/>
            <a:chOff x="4020" y="7414390"/>
            <a:chExt cx="6386530" cy="1782948"/>
          </a:xfrm>
        </xdr:grpSpPr>
        <xdr:grpSp>
          <xdr:nvGrpSpPr>
            <xdr:cNvPr id="309" name="Group 308">
              <a:extLst>
                <a:ext uri="{FF2B5EF4-FFF2-40B4-BE49-F238E27FC236}">
                  <a16:creationId xmlns:a16="http://schemas.microsoft.com/office/drawing/2014/main" id="{81B71AF6-899F-44AC-A9BE-118936DBABC1}"/>
                </a:ext>
              </a:extLst>
            </xdr:cNvPr>
            <xdr:cNvGrpSpPr/>
          </xdr:nvGrpSpPr>
          <xdr:grpSpPr>
            <a:xfrm>
              <a:off x="4020" y="7414390"/>
              <a:ext cx="6386530" cy="1782948"/>
              <a:chOff x="-19793" y="7414390"/>
              <a:chExt cx="6386530" cy="1782948"/>
            </a:xfrm>
          </xdr:grpSpPr>
          <xdr:grpSp>
            <xdr:nvGrpSpPr>
              <xdr:cNvPr id="313" name="Group 312">
                <a:extLst>
                  <a:ext uri="{FF2B5EF4-FFF2-40B4-BE49-F238E27FC236}">
                    <a16:creationId xmlns:a16="http://schemas.microsoft.com/office/drawing/2014/main" id="{84D8E9BF-FFEC-4DA4-B786-1B92D42419F3}"/>
                  </a:ext>
                </a:extLst>
              </xdr:cNvPr>
              <xdr:cNvGrpSpPr/>
            </xdr:nvGrpSpPr>
            <xdr:grpSpPr>
              <a:xfrm>
                <a:off x="-19793" y="7414390"/>
                <a:ext cx="6386530" cy="1782948"/>
                <a:chOff x="-19793" y="7414390"/>
                <a:chExt cx="6386530" cy="1782948"/>
              </a:xfrm>
            </xdr:grpSpPr>
            <xdr:cxnSp macro="">
              <xdr:nvCxnSpPr>
                <xdr:cNvPr id="318" name="Straight Connector 317">
                  <a:extLst>
                    <a:ext uri="{FF2B5EF4-FFF2-40B4-BE49-F238E27FC236}">
                      <a16:creationId xmlns:a16="http://schemas.microsoft.com/office/drawing/2014/main" id="{B8EC065A-194D-43CC-8B02-E6DB3BA52EB4}"/>
                    </a:ext>
                  </a:extLst>
                </xdr:cNvPr>
                <xdr:cNvCxnSpPr/>
              </xdr:nvCxnSpPr>
              <xdr:spPr>
                <a:xfrm>
                  <a:off x="1957387" y="8046245"/>
                  <a:ext cx="0" cy="103435"/>
                </a:xfrm>
                <a:prstGeom prst="line">
                  <a:avLst/>
                </a:prstGeom>
                <a:ln w="3810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19" name="Straight Connector 318">
                  <a:extLst>
                    <a:ext uri="{FF2B5EF4-FFF2-40B4-BE49-F238E27FC236}">
                      <a16:creationId xmlns:a16="http://schemas.microsoft.com/office/drawing/2014/main" id="{E1ACCF1B-6BFB-4F50-8762-E08EF1863029}"/>
                    </a:ext>
                  </a:extLst>
                </xdr:cNvPr>
                <xdr:cNvCxnSpPr/>
              </xdr:nvCxnSpPr>
              <xdr:spPr>
                <a:xfrm>
                  <a:off x="1719262" y="8048627"/>
                  <a:ext cx="0" cy="103435"/>
                </a:xfrm>
                <a:prstGeom prst="line">
                  <a:avLst/>
                </a:prstGeom>
                <a:ln w="3810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320" name="Group 319">
                  <a:extLst>
                    <a:ext uri="{FF2B5EF4-FFF2-40B4-BE49-F238E27FC236}">
                      <a16:creationId xmlns:a16="http://schemas.microsoft.com/office/drawing/2014/main" id="{440B6523-4E80-4512-B3B0-6F1C1A83E95E}"/>
                    </a:ext>
                  </a:extLst>
                </xdr:cNvPr>
                <xdr:cNvGrpSpPr/>
              </xdr:nvGrpSpPr>
              <xdr:grpSpPr>
                <a:xfrm>
                  <a:off x="-19793" y="7414390"/>
                  <a:ext cx="6386530" cy="1782948"/>
                  <a:chOff x="-19793" y="7414390"/>
                  <a:chExt cx="6386530" cy="1782948"/>
                </a:xfrm>
              </xdr:grpSpPr>
              <xdr:cxnSp macro="">
                <xdr:nvCxnSpPr>
                  <xdr:cNvPr id="321" name="Straight Connector 320">
                    <a:extLst>
                      <a:ext uri="{FF2B5EF4-FFF2-40B4-BE49-F238E27FC236}">
                        <a16:creationId xmlns:a16="http://schemas.microsoft.com/office/drawing/2014/main" id="{5B1728A2-894F-4F9D-82AB-7A45DD23FFB4}"/>
                      </a:ext>
                    </a:extLst>
                  </xdr:cNvPr>
                  <xdr:cNvCxnSpPr/>
                </xdr:nvCxnSpPr>
                <xdr:spPr>
                  <a:xfrm>
                    <a:off x="1478757" y="8046245"/>
                    <a:ext cx="0" cy="103435"/>
                  </a:xfrm>
                  <a:prstGeom prst="line">
                    <a:avLst/>
                  </a:prstGeom>
                  <a:ln w="38100">
                    <a:solidFill>
                      <a:srgbClr val="FF00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322" name="Group 321">
                    <a:extLst>
                      <a:ext uri="{FF2B5EF4-FFF2-40B4-BE49-F238E27FC236}">
                        <a16:creationId xmlns:a16="http://schemas.microsoft.com/office/drawing/2014/main" id="{51AA5E91-70B6-46A4-945A-9A33962649B5}"/>
                      </a:ext>
                    </a:extLst>
                  </xdr:cNvPr>
                  <xdr:cNvGrpSpPr/>
                </xdr:nvGrpSpPr>
                <xdr:grpSpPr>
                  <a:xfrm>
                    <a:off x="-19793" y="7414390"/>
                    <a:ext cx="6386530" cy="1782948"/>
                    <a:chOff x="186906" y="4839041"/>
                    <a:chExt cx="6382014" cy="1781128"/>
                  </a:xfrm>
                </xdr:grpSpPr>
                <xdr:grpSp>
                  <xdr:nvGrpSpPr>
                    <xdr:cNvPr id="323" name="Group 322">
                      <a:extLst>
                        <a:ext uri="{FF2B5EF4-FFF2-40B4-BE49-F238E27FC236}">
                          <a16:creationId xmlns:a16="http://schemas.microsoft.com/office/drawing/2014/main" id="{F31744CB-A91B-4343-9D0A-21575B23BEB4}"/>
                        </a:ext>
                      </a:extLst>
                    </xdr:cNvPr>
                    <xdr:cNvGrpSpPr/>
                  </xdr:nvGrpSpPr>
                  <xdr:grpSpPr>
                    <a:xfrm>
                      <a:off x="186906" y="4839041"/>
                      <a:ext cx="6042444" cy="1781128"/>
                      <a:chOff x="186906" y="450737"/>
                      <a:chExt cx="6042444" cy="1750142"/>
                    </a:xfrm>
                  </xdr:grpSpPr>
                  <xdr:grpSp>
                    <xdr:nvGrpSpPr>
                      <xdr:cNvPr id="331" name="Group 330">
                        <a:extLst>
                          <a:ext uri="{FF2B5EF4-FFF2-40B4-BE49-F238E27FC236}">
                            <a16:creationId xmlns:a16="http://schemas.microsoft.com/office/drawing/2014/main" id="{85EA7C06-5868-4731-B62C-897D22D8D7C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86906" y="662962"/>
                        <a:ext cx="6042444" cy="1537917"/>
                        <a:chOff x="33827" y="4685573"/>
                        <a:chExt cx="6042444" cy="1537917"/>
                      </a:xfrm>
                    </xdr:grpSpPr>
                    <xdr:grpSp>
                      <xdr:nvGrpSpPr>
                        <xdr:cNvPr id="334" name="Group 333">
                          <a:extLst>
                            <a:ext uri="{FF2B5EF4-FFF2-40B4-BE49-F238E27FC236}">
                              <a16:creationId xmlns:a16="http://schemas.microsoft.com/office/drawing/2014/main" id="{B83E9548-4662-4095-BF80-63C90EDB0BAB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827" y="4752573"/>
                          <a:ext cx="6042444" cy="1470917"/>
                          <a:chOff x="33827" y="4810559"/>
                          <a:chExt cx="6042444" cy="1489739"/>
                        </a:xfrm>
                      </xdr:grpSpPr>
                      <xdr:grpSp>
                        <xdr:nvGrpSpPr>
                          <xdr:cNvPr id="336" name="Group 335">
                            <a:extLst>
                              <a:ext uri="{FF2B5EF4-FFF2-40B4-BE49-F238E27FC236}">
                                <a16:creationId xmlns:a16="http://schemas.microsoft.com/office/drawing/2014/main" id="{7B682A40-0DB9-4CC0-9C33-F8FF0FAA6B7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27" y="4810559"/>
                            <a:ext cx="6042444" cy="1489739"/>
                            <a:chOff x="33827" y="4810559"/>
                            <a:chExt cx="6042444" cy="1489739"/>
                          </a:xfrm>
                        </xdr:grpSpPr>
                        <xdr:grpSp>
                          <xdr:nvGrpSpPr>
                            <xdr:cNvPr id="340" name="Group 339">
                              <a:extLst>
                                <a:ext uri="{FF2B5EF4-FFF2-40B4-BE49-F238E27FC236}">
                                  <a16:creationId xmlns:a16="http://schemas.microsoft.com/office/drawing/2014/main" id="{2FD46DF4-7B7A-45F7-9306-F545E00A260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3827" y="4810559"/>
                              <a:ext cx="6042444" cy="1489739"/>
                              <a:chOff x="32946" y="4823860"/>
                              <a:chExt cx="6078155" cy="1494056"/>
                            </a:xfrm>
                          </xdr:grpSpPr>
                          <xdr:grpSp>
                            <xdr:nvGrpSpPr>
                              <xdr:cNvPr id="345" name="Group 344">
                                <a:extLst>
                                  <a:ext uri="{FF2B5EF4-FFF2-40B4-BE49-F238E27FC236}">
                                    <a16:creationId xmlns:a16="http://schemas.microsoft.com/office/drawing/2014/main" id="{3707FC15-C8E7-4E47-BD14-4748537E87C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32946" y="4823860"/>
                                <a:ext cx="5946673" cy="1494056"/>
                                <a:chOff x="33801" y="4837622"/>
                                <a:chExt cx="5912783" cy="1498524"/>
                              </a:xfrm>
                            </xdr:grpSpPr>
                            <xdr:sp macro="" textlink="">
                              <xdr:nvSpPr>
                                <xdr:cNvPr id="350" name="TextBox 349">
                                  <a:extLst>
                                    <a:ext uri="{FF2B5EF4-FFF2-40B4-BE49-F238E27FC236}">
                                      <a16:creationId xmlns:a16="http://schemas.microsoft.com/office/drawing/2014/main" id="{18A09394-0D53-4221-8F49-853CCD136EE5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323853" y="5264943"/>
                                  <a:ext cx="374706" cy="177261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wrap="square" rtlCol="0" anchor="ctr"/>
                                <a:lstStyle/>
                                <a:p>
                                  <a:r>
                                    <a:rPr lang="en-US" sz="900"/>
                                    <a:t>H</a:t>
                                  </a:r>
                                  <a:r>
                                    <a:rPr lang="en-US" sz="600"/>
                                    <a:t>st</a:t>
                                  </a:r>
                                  <a:endParaRPr lang="en-US" sz="800"/>
                                </a:p>
                              </xdr:txBody>
                            </xdr:sp>
                            <xdr:grpSp>
                              <xdr:nvGrpSpPr>
                                <xdr:cNvPr id="351" name="Group 350">
                                  <a:extLst>
                                    <a:ext uri="{FF2B5EF4-FFF2-40B4-BE49-F238E27FC236}">
                                      <a16:creationId xmlns:a16="http://schemas.microsoft.com/office/drawing/2014/main" id="{A74D86AA-6B4E-4C36-AC13-5CD5C129F00B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3801" y="4837622"/>
                                  <a:ext cx="5912783" cy="1469001"/>
                                  <a:chOff x="33801" y="4837622"/>
                                  <a:chExt cx="5912783" cy="1469001"/>
                                </a:xfrm>
                              </xdr:grpSpPr>
                              <xdr:grpSp>
                                <xdr:nvGrpSpPr>
                                  <xdr:cNvPr id="353" name="Group 352">
                                    <a:extLst>
                                      <a:ext uri="{FF2B5EF4-FFF2-40B4-BE49-F238E27FC236}">
                                        <a16:creationId xmlns:a16="http://schemas.microsoft.com/office/drawing/2014/main" id="{98F74447-483B-4E64-8D8F-B09F39FDF21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33801" y="4837622"/>
                                    <a:ext cx="5912783" cy="1444253"/>
                                    <a:chOff x="33801" y="4837622"/>
                                    <a:chExt cx="5912783" cy="1444253"/>
                                  </a:xfrm>
                                </xdr:grpSpPr>
                                <xdr:grpSp>
                                  <xdr:nvGrpSpPr>
                                    <xdr:cNvPr id="357" name="Group 356">
                                      <a:extLst>
                                        <a:ext uri="{FF2B5EF4-FFF2-40B4-BE49-F238E27FC236}">
                                          <a16:creationId xmlns:a16="http://schemas.microsoft.com/office/drawing/2014/main" id="{FE623A5A-C45C-47E2-83B3-7CC4A7F5D2AB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33801" y="4837622"/>
                                      <a:ext cx="5912783" cy="1444253"/>
                                      <a:chOff x="-119279" y="4871640"/>
                                      <a:chExt cx="5912783" cy="1447655"/>
                                    </a:xfrm>
                                  </xdr:grpSpPr>
                                  <xdr:grpSp>
                                    <xdr:nvGrpSpPr>
                                      <xdr:cNvPr id="361" name="Group 36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939DB76A-9BEB-40E5-BA43-62FAE7DFD5CF}"/>
                                          </a:ext>
                                        </a:extLst>
                                      </xdr:cNvPr>
                                      <xdr:cNvGrpSpPr/>
                                    </xdr:nvGrpSpPr>
                                    <xdr:grpSpPr>
                                      <a:xfrm>
                                        <a:off x="-119279" y="4871640"/>
                                        <a:ext cx="5912783" cy="1447655"/>
                                        <a:chOff x="-119279" y="4871640"/>
                                        <a:chExt cx="5912783" cy="1447655"/>
                                      </a:xfrm>
                                    </xdr:grpSpPr>
                                    <xdr:grpSp>
                                      <xdr:nvGrpSpPr>
                                        <xdr:cNvPr id="364" name="Group 363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777D3C34-FD6A-4CD4-B7F5-5A541D384FDA}"/>
                                            </a:ext>
                                          </a:extLst>
                                        </xdr:cNvPr>
                                        <xdr:cNvGrpSpPr/>
                                      </xdr:nvGrpSpPr>
                                      <xdr:grpSpPr>
                                        <a:xfrm>
                                          <a:off x="-119279" y="4871640"/>
                                          <a:ext cx="5912783" cy="1447655"/>
                                          <a:chOff x="-119279" y="7348140"/>
                                          <a:chExt cx="5912783" cy="1447655"/>
                                        </a:xfrm>
                                      </xdr:grpSpPr>
                                      <xdr:grpSp>
                                        <xdr:nvGrpSpPr>
                                          <xdr:cNvPr id="367" name="그룹 199">
                                            <a:extLst>
                                              <a:ext uri="{FF2B5EF4-FFF2-40B4-BE49-F238E27FC236}">
                                                <a16:creationId xmlns:a16="http://schemas.microsoft.com/office/drawing/2014/main" id="{6BA4D8A0-170C-4110-A2FB-DB7F28F378F0}"/>
                                              </a:ext>
                                            </a:extLst>
                                          </xdr:cNvPr>
                                          <xdr:cNvGrpSpPr/>
                                        </xdr:nvGrpSpPr>
                                        <xdr:grpSpPr>
                                          <a:xfrm>
                                            <a:off x="-119279" y="7348140"/>
                                            <a:ext cx="5912783" cy="1447655"/>
                                            <a:chOff x="6356569" y="10055622"/>
                                            <a:chExt cx="5912783" cy="1431780"/>
                                          </a:xfrm>
                                        </xdr:grpSpPr>
                                        <xdr:grpSp>
                                          <xdr:nvGrpSpPr>
                                            <xdr:cNvPr id="369" name="그룹 200">
                                              <a:extLst>
                                                <a:ext uri="{FF2B5EF4-FFF2-40B4-BE49-F238E27FC236}">
                                                  <a16:creationId xmlns:a16="http://schemas.microsoft.com/office/drawing/2014/main" id="{F3231055-EE16-43F5-B527-C8E3889C03CE}"/>
                                                </a:ext>
                                              </a:extLst>
                                            </xdr:cNvPr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11326019" y="10208419"/>
                                              <a:ext cx="617033" cy="174479"/>
                                              <a:chOff x="11341894" y="10203657"/>
                                              <a:chExt cx="617826" cy="176464"/>
                                            </a:xfrm>
                                          </xdr:grpSpPr>
                                          <xdr:cxnSp macro="">
                                            <xdr:nvCxnSpPr>
                                              <xdr:cNvPr id="445" name="직선 화살표 연결선 282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7FD70622-93AB-4C92-A76B-F9B15AA18A2F}"/>
                                                  </a:ext>
                                                </a:extLst>
                                              </xdr:cNvPr>
                                              <xdr:cNvCxnSpPr/>
                                            </xdr:nvCxnSpPr>
                                            <xdr:spPr>
                                              <a:xfrm>
                                                <a:off x="11582400" y="10306050"/>
                                                <a:ext cx="377320" cy="0"/>
                                              </a:xfrm>
                                              <a:prstGeom prst="straightConnector1">
                                                <a:avLst/>
                                              </a:prstGeom>
                                              <a:ln w="19050">
                                                <a:solidFill>
                                                  <a:srgbClr val="FF0000"/>
                                                </a:solidFill>
                                                <a:tailEnd type="stealth" w="lg" len="lg"/>
                                              </a:ln>
                                            </xdr:spPr>
                                            <xdr:style>
                                              <a:lnRef idx="1">
                                                <a:schemeClr val="accent1"/>
                                              </a:lnRef>
                                              <a:fillRef idx="0">
                                                <a:schemeClr val="accent1"/>
                                              </a:fillRef>
                                              <a:effectRef idx="0">
                                                <a:schemeClr val="accent1"/>
                                              </a:effectRef>
                                              <a:fontRef idx="minor">
                                                <a:schemeClr val="tx1"/>
                                              </a:fontRef>
                                            </xdr:style>
                                          </xdr:cxnSp>
                                          <xdr:sp macro="" textlink="">
                                            <xdr:nvSpPr>
                                              <xdr:cNvPr id="446" name="TextBox 445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B5D0F84D-9716-4452-A1D3-EF9CEB50FE93}"/>
                                                  </a:ext>
                                                </a:extLst>
                                              </xdr:cNvPr>
                                              <xdr:cNvSpPr txBox="1"/>
                                            </xdr:nvSpPr>
                                            <xdr:spPr>
                                              <a:xfrm>
                                                <a:off x="11341894" y="10203657"/>
                                                <a:ext cx="406757" cy="176464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 w="9525" cmpd="sng">
                                                <a:noFill/>
                                              </a:ln>
                                            </xdr:spPr>
                                            <xdr:style>
                                              <a:lnRef idx="0">
                                                <a:scrgbClr r="0" g="0" b="0"/>
                                              </a:lnRef>
                                              <a:fillRef idx="0">
                                                <a:scrgbClr r="0" g="0" b="0"/>
                                              </a:fillRef>
                                              <a:effectRef idx="0">
                                                <a:scrgbClr r="0" g="0" b="0"/>
                                              </a:effectRef>
                                              <a:fontRef idx="minor">
                                                <a:schemeClr val="dk1"/>
                                              </a:fontRef>
                                            </xdr:style>
                                            <xdr:txBody>
                                              <a:bodyPr vertOverflow="clip" horzOverflow="clip" wrap="square" rtlCol="0" anchor="ctr"/>
                                              <a:lstStyle/>
                                              <a:p>
                                                <a:r>
                                                  <a:rPr lang="en-US" sz="900"/>
                                                  <a:t>P</a:t>
                                                </a:r>
                                                <a:r>
                                                  <a:rPr lang="en-US" sz="600"/>
                                                  <a:t>rb</a:t>
                                                </a:r>
                                              </a:p>
                                            </xdr:txBody>
                                          </xdr:sp>
                                        </xdr:grpSp>
                                        <xdr:grpSp>
                                          <xdr:nvGrpSpPr>
                                            <xdr:cNvPr id="370" name="그룹 201">
                                              <a:extLst>
                                                <a:ext uri="{FF2B5EF4-FFF2-40B4-BE49-F238E27FC236}">
                                                  <a16:creationId xmlns:a16="http://schemas.microsoft.com/office/drawing/2014/main" id="{8022600A-8514-4B61-888A-3EA4C99858FC}"/>
                                                </a:ext>
                                              </a:extLst>
                                            </xdr:cNvPr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6356569" y="10055622"/>
                                              <a:ext cx="5912783" cy="1431780"/>
                                              <a:chOff x="6356569" y="10055622"/>
                                              <a:chExt cx="5912783" cy="1431780"/>
                                            </a:xfrm>
                                          </xdr:grpSpPr>
                                          <xdr:grpSp>
                                            <xdr:nvGrpSpPr>
                                              <xdr:cNvPr id="371" name="그룹 202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35AE5B5F-3BD8-4E44-9804-48ACCB8C0CED}"/>
                                                  </a:ext>
                                                </a:extLst>
                                              </xdr:cNvPr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10810075" y="10079435"/>
                                                <a:ext cx="1459277" cy="1407967"/>
                                                <a:chOff x="10822775" y="10184607"/>
                                                <a:chExt cx="1461658" cy="1421857"/>
                                              </a:xfrm>
                                            </xdr:grpSpPr>
                                            <xdr:grpSp>
                                              <xdr:nvGrpSpPr>
                                                <xdr:cNvPr id="422" name="그룹 259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FF8A57A0-1299-402C-B309-18A449AECD30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0822775" y="10275094"/>
                                                  <a:ext cx="621430" cy="1281107"/>
                                                  <a:chOff x="10339551" y="10668000"/>
                                                  <a:chExt cx="621430" cy="1281107"/>
                                                </a:xfrm>
                                              </xdr:grpSpPr>
                                              <xdr:sp macro="" textlink="">
                                                <xdr:nvSpPr>
                                                  <xdr:cNvPr id="441" name="직사각형 27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B6898FAF-26EB-4486-92D6-10F7E8C36E59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648950" y="11146630"/>
                                                    <a:ext cx="312031" cy="802477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190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2" name="직사각형 27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DAC5B6C-15CD-4F2D-93D1-2034D197716C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339551" y="10668000"/>
                                                    <a:ext cx="312042" cy="481012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190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3" name="덧셈 기호 280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6414F73-01FF-4765-97EF-2D69B95D201E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421503" y="10830538"/>
                                                    <a:ext cx="161974" cy="154237"/>
                                                  </a:xfrm>
                                                  <a:prstGeom prst="mathPl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4" name="뺄셈 기호 281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F66B68D-20F8-41DC-8A47-9B544E5607B5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731229" y="11561195"/>
                                                    <a:ext cx="136637" cy="75970"/>
                                                  </a:xfrm>
                                                  <a:prstGeom prst="mathMin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3" name="그룹 260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2710A944-43B3-45CD-AF00-8B90D685D0FF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39509" y="10184607"/>
                                                  <a:ext cx="620211" cy="176464"/>
                                                  <a:chOff x="11339509" y="10184607"/>
                                                  <a:chExt cx="620211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9" name="직선 화살표 연결선 27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E7EB6A4-86D7-4FD5-86AE-A05257FEF8FC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40" name="TextBox 43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3B24EAA-924F-4E24-A270-5F61E78A66C7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39509" y="1018460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rt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4" name="그룹 261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269F09F1-957A-44BB-A814-ED42EA10879D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41895" y="10401308"/>
                                                  <a:ext cx="617826" cy="176464"/>
                                                  <a:chOff x="11341894" y="10203657"/>
                                                  <a:chExt cx="617826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7" name="직선 화살표 연결선 274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4C670F54-BCE7-4166-9D73-B8C87195B639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8" name="TextBox 43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675D37F-4DA0-44E7-A450-0143ADD3B9A3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41894" y="1020365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5" name="그룹 262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87DAFA85-8D76-4A2C-8877-EFD06F9A08F3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41895" y="10551328"/>
                                                  <a:ext cx="617826" cy="176464"/>
                                                  <a:chOff x="11341894" y="10203657"/>
                                                  <a:chExt cx="617826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5" name="직선 화살표 연결선 272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8E97E59-CA6F-47E4-BA8B-85048856FB82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6" name="TextBox 435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C903EE6-48CE-4FB8-A494-734CBC19E588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41894" y="1020365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wt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6" name="그룹 263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88A2DE9E-55F5-47F3-87D1-44D4481094CB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58587" y="10906126"/>
                                                  <a:ext cx="721083" cy="176464"/>
                                                  <a:chOff x="11558587" y="10906126"/>
                                                  <a:chExt cx="721083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3" name="직선 화살표 연결선 270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8AC20BE-3583-4FD5-9239-BA1B4E16E52B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58587" y="11006138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4" name="TextBox 433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A528A3B4-88F1-4500-AAA8-453E272A102C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72913" y="10906126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wb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7" name="그룹 264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AD1B1D4C-C3D4-416F-A7C3-BEF9BA0E2DCC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68121" y="11220296"/>
                                                  <a:ext cx="706770" cy="176464"/>
                                                  <a:chOff x="11563358" y="10836919"/>
                                                  <a:chExt cx="706770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1" name="직선 화살표 연결선 26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0E39BE4-F820-4D82-BEDC-23F634A629C8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63358" y="10941704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2" name="TextBox 431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85681355-BE3B-4A29-B3AF-9DBC27579F98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63371" y="10836919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bot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8" name="그룹 265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4488117B-C8BB-412E-A809-61A864551753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63350" y="11430000"/>
                                                  <a:ext cx="721083" cy="176464"/>
                                                  <a:chOff x="11558587" y="10906126"/>
                                                  <a:chExt cx="721083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29" name="직선 화살표 연결선 26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631C2659-EB9C-4CE6-833B-2D320DC43440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58587" y="11006138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0" name="TextBox 42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4FECE6A-4512-4690-B2B1-73FA55305F1B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72913" y="10906126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c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</xdr:grpSp>
                                          <xdr:grpSp>
                                            <xdr:nvGrpSpPr>
                                              <xdr:cNvPr id="372" name="그룹 203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C22FF48A-C509-4C03-8985-7A4C8673EBE4}"/>
                                                  </a:ext>
                                                </a:extLst>
                                              </xdr:cNvPr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6356569" y="10055622"/>
                                                <a:ext cx="4463430" cy="1381519"/>
                                                <a:chOff x="6365985" y="10160794"/>
                                                <a:chExt cx="4466715" cy="1395409"/>
                                              </a:xfrm>
                                            </xdr:grpSpPr>
                                            <xdr:grpSp>
                                              <xdr:nvGrpSpPr>
                                                <xdr:cNvPr id="373" name="그룹 204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503B66AE-A9F6-4187-9B5A-CE1DDA0183DA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7039870" y="10160794"/>
                                                  <a:ext cx="3792830" cy="1395409"/>
                                                  <a:chOff x="7039870" y="10160794"/>
                                                  <a:chExt cx="3792830" cy="1395409"/>
                                                </a:xfrm>
                                              </xdr:grpSpPr>
                                              <xdr:grpSp>
                                                <xdr:nvGrpSpPr>
                                                  <xdr:cNvPr id="386" name="그룹 222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D1A93344-469B-41BA-A8F5-FC2FC0DF5896}"/>
                                                      </a:ext>
                                                    </a:extLst>
                                                  </xdr:cNvPr>
                                                  <xdr:cNvGrpSpPr/>
                                                </xdr:nvGrpSpPr>
                                                <xdr:grpSpPr>
                                                  <a:xfrm>
                                                    <a:off x="7039870" y="10160794"/>
                                                    <a:ext cx="3792830" cy="1395409"/>
                                                    <a:chOff x="7032577" y="10160794"/>
                                                    <a:chExt cx="3788357" cy="1395409"/>
                                                  </a:xfrm>
                                                </xdr:grpSpPr>
                                                <xdr:sp macro="" textlink="">
                                                  <xdr:nvSpPr>
                                                    <xdr:cNvPr id="389" name="TextBox 388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3764B2DA-75AF-476E-823D-A1CAD78E72A7}"/>
                                                        </a:ext>
                                                      </a:extLst>
                                                    </xdr:cNvPr>
                                                    <xdr:cNvSpPr txBox="1"/>
                                                  </xdr:nvSpPr>
                                                  <xdr:spPr>
                                                    <a:xfrm>
                                                      <a:off x="10373723" y="10349733"/>
                                                      <a:ext cx="447211" cy="145256"/>
                                                    </a:xfrm>
                                                    <a:prstGeom prst="rect">
                                                      <a:avLst/>
                                                    </a:prstGeom>
                                                    <a:noFill/>
                                                    <a:ln w="9525" cmpd="sng">
                                                      <a:noFill/>
                                                    </a:ln>
                                                  </xdr:spPr>
                                                  <xdr:style>
                                                    <a:lnRef idx="0">
                                                      <a:scrgbClr r="0" g="0" b="0"/>
                                                    </a:lnRef>
                                                    <a:fillRef idx="0">
                                                      <a:scrgbClr r="0" g="0" b="0"/>
                                                    </a:fillRef>
                                                    <a:effectRef idx="0">
                                                      <a:scrgbClr r="0" g="0" b="0"/>
                                                    </a:effectRef>
                                                    <a:fontRef idx="minor">
                                                      <a:schemeClr val="dk1"/>
                                                    </a:fontRef>
                                                  </xdr:style>
                                                  <xdr:txBody>
                                                    <a:bodyPr vertOverflow="clip" horzOverflow="clip" wrap="square" rtlCol="0" anchor="ctr"/>
                                                    <a:lstStyle/>
                                                    <a:p>
                                                      <a:r>
                                                        <a:rPr lang="en-US" sz="900"/>
                                                        <a:t>P</a:t>
                                                      </a:r>
                                                      <a:r>
                                                        <a:rPr lang="en-US" sz="600" baseline="0"/>
                                                        <a:t>s</a:t>
                                                      </a:r>
                                                    </a:p>
                                                  </xdr:txBody>
                                                </xdr:sp>
                                                <xdr:grpSp>
                                                  <xdr:nvGrpSpPr>
                                                    <xdr:cNvPr id="390" name="그룹 226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FF5228C1-9EC0-4E98-ACF2-995B12E58A92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9194035" y="10275096"/>
                                                      <a:ext cx="623348" cy="1281107"/>
                                                      <a:chOff x="9901772" y="10270333"/>
                                                      <a:chExt cx="623908" cy="1281107"/>
                                                    </a:xfrm>
                                                  </xdr:grpSpPr>
                                                  <xdr:sp macro="" textlink="">
                                                    <xdr:nvSpPr>
                                                      <xdr:cNvPr id="420" name="직사각형 257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EA93E965-C612-4B89-89CF-9394700E497F}"/>
                                                          </a:ext>
                                                        </a:extLst>
                                                      </xdr:cNvPr>
                                                      <xdr:cNvSpPr/>
                                                    </xdr:nvSpPr>
                                                    <xdr:spPr>
                                                      <a:xfrm>
                                                        <a:off x="9901772" y="10748963"/>
                                                        <a:ext cx="311944" cy="802477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19050"/>
                                                    </xdr:spPr>
                                                    <xdr:style>
                                                      <a:lnRef idx="2">
                                                        <a:schemeClr val="accent1">
                                                          <a:shade val="50000"/>
                                                        </a:schemeClr>
                                                      </a:lnRef>
                                                      <a:fillRef idx="1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lt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rtlCol="0" anchor="t"/>
                                                      <a:lstStyle/>
                                                      <a:p>
                                                        <a:pPr algn="l"/>
                                                        <a:endParaRPr lang="en-US" sz="1100"/>
                                                      </a:p>
                                                    </xdr:txBody>
                                                  </xdr:sp>
                                                  <xdr:sp macro="" textlink="">
                                                    <xdr:nvSpPr>
                                                      <xdr:cNvPr id="421" name="직사각형 25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81E24D04-DC6A-49C2-8F6A-CB1D5E829139}"/>
                                                          </a:ext>
                                                        </a:extLst>
                                                      </xdr:cNvPr>
                                                      <xdr:cNvSpPr/>
                                                    </xdr:nvSpPr>
                                                    <xdr:spPr>
                                                      <a:xfrm>
                                                        <a:off x="10213726" y="10270333"/>
                                                        <a:ext cx="311954" cy="481012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19050"/>
                                                    </xdr:spPr>
                                                    <xdr:style>
                                                      <a:lnRef idx="2">
                                                        <a:schemeClr val="accent1">
                                                          <a:shade val="50000"/>
                                                        </a:schemeClr>
                                                      </a:lnRef>
                                                      <a:fillRef idx="1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lt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rtlCol="0" anchor="t"/>
                                                      <a:lstStyle/>
                                                      <a:p>
                                                        <a:pPr algn="l"/>
                                                        <a:endParaRPr lang="en-US" sz="1100"/>
                                                      </a:p>
                                                    </xdr:txBody>
                                                  </xdr:sp>
                                                </xdr:grpSp>
                                                <xdr:grpSp>
                                                  <xdr:nvGrpSpPr>
                                                    <xdr:cNvPr id="391" name="그룹 227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B26D1942-A595-4A82-A844-09FF4E2E375F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7032577" y="10160794"/>
                                                      <a:ext cx="3649852" cy="1366769"/>
                                                      <a:chOff x="7032577" y="10160794"/>
                                                      <a:chExt cx="3649852" cy="1366769"/>
                                                    </a:xfrm>
                                                  </xdr:grpSpPr>
                                                  <xdr:grpSp>
                                                    <xdr:nvGrpSpPr>
                                                      <xdr:cNvPr id="392" name="그룹 22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A6F6B9B0-3A43-4F4D-9B3C-A55FE18A1760}"/>
                                                          </a:ext>
                                                        </a:extLst>
                                                      </xdr:cNvPr>
                                                      <xdr:cNvGrpSpPr/>
                                                    </xdr:nvGrpSpPr>
                                                    <xdr:grpSpPr>
                                                      <a:xfrm>
                                                        <a:off x="7032577" y="10275867"/>
                                                        <a:ext cx="3303608" cy="1251696"/>
                                                        <a:chOff x="7039872" y="10275867"/>
                                                        <a:chExt cx="3307689" cy="1251696"/>
                                                      </a:xfrm>
                                                    </xdr:grpSpPr>
                                                    <xdr:sp macro="" textlink="">
                                                      <xdr:nvSpPr>
                                                        <xdr:cNvPr id="401" name="자유형 240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00765853-2F63-4C98-9BC3-5A9EE3D7D743}"/>
                                                            </a:ext>
                                                          </a:extLst>
                                                        </xdr:cNvPr>
                                                        <xdr:cNvSpPr/>
                                                      </xdr:nvSpPr>
                                                      <xdr:spPr>
                                                        <a:xfrm>
                                                          <a:off x="7731505" y="11263914"/>
                                                          <a:ext cx="738124" cy="258147"/>
                                                        </a:xfrm>
                                                        <a:custGeom>
                                                          <a:avLst/>
                                                          <a:gdLst>
                                                            <a:gd name="connsiteX0" fmla="*/ 0 w 702468"/>
                                                            <a:gd name="connsiteY0" fmla="*/ 0 h 233363"/>
                                                            <a:gd name="connsiteX1" fmla="*/ 702468 w 702468"/>
                                                            <a:gd name="connsiteY1" fmla="*/ 0 h 233363"/>
                                                            <a:gd name="connsiteX2" fmla="*/ 652462 w 702468"/>
                                                            <a:gd name="connsiteY2" fmla="*/ 233363 h 233363"/>
                                                            <a:gd name="connsiteX3" fmla="*/ 40481 w 702468"/>
                                                            <a:gd name="connsiteY3" fmla="*/ 233363 h 233363"/>
                                                            <a:gd name="connsiteX4" fmla="*/ 0 w 702468"/>
                                                            <a:gd name="connsiteY4" fmla="*/ 0 h 233363"/>
                                                          </a:gdLst>
                                                          <a:ahLst/>
                                                          <a:cxnLst>
                                                            <a:cxn ang="0">
                                                              <a:pos x="connsiteX0" y="connsiteY0"/>
                                                            </a:cxn>
                                                            <a:cxn ang="0">
                                                              <a:pos x="connsiteX1" y="connsiteY1"/>
                                                            </a:cxn>
                                                            <a:cxn ang="0">
                                                              <a:pos x="connsiteX2" y="connsiteY2"/>
                                                            </a:cxn>
                                                            <a:cxn ang="0">
                                                              <a:pos x="connsiteX3" y="connsiteY3"/>
                                                            </a:cxn>
                                                            <a:cxn ang="0">
                                                              <a:pos x="connsiteX4" y="connsiteY4"/>
                                                            </a:cxn>
                                                          </a:cxnLst>
                                                          <a:rect l="l" t="t" r="r" b="b"/>
                                                          <a:pathLst>
                                                            <a:path w="702468" h="233363">
                                                              <a:moveTo>
                                                                <a:pt x="0" y="0"/>
                                                              </a:moveTo>
                                                              <a:lnTo>
                                                                <a:pt x="702468" y="0"/>
                                                              </a:lnTo>
                                                              <a:lnTo>
                                                                <a:pt x="652462" y="233363"/>
                                                              </a:lnTo>
                                                              <a:lnTo>
                                                                <a:pt x="40481" y="233363"/>
                                                              </a:lnTo>
                                                              <a:lnTo>
                                                                <a:pt x="0" y="0"/>
                                                              </a:lnTo>
                                                              <a:close/>
                                                            </a:path>
                                                          </a:pathLst>
                                                        </a:custGeom>
                                                        <a:solidFill>
                                                          <a:schemeClr val="accent6">
                                                            <a:lumMod val="60000"/>
                                                            <a:lumOff val="40000"/>
                                                          </a:schemeClr>
                                                        </a:solidFill>
                                                        <a:ln w="6350"/>
                                                      </xdr:spPr>
                                                      <xdr:style>
                                                        <a:lnRef idx="2">
                                                          <a:schemeClr val="accent1">
                                                            <a:shade val="50000"/>
                                                          </a:schemeClr>
                                                        </a:lnRef>
                                                        <a:fillRef idx="1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lt1"/>
                                                        </a:fontRef>
                                                      </xdr:style>
                                                      <xdr:txBody>
                                                        <a:bodyPr vertOverflow="clip" horzOverflow="clip" rtlCol="0" anchor="t"/>
                                                        <a:lstStyle/>
                                                        <a:p>
                                                          <a:pPr algn="l"/>
                                                          <a:endParaRPr lang="en-US" sz="1100"/>
                                                        </a:p>
                                                      </xdr:txBody>
                                                    </xdr:sp>
                                                    <xdr:grpSp>
                                                      <xdr:nvGrpSpPr>
                                                        <xdr:cNvPr id="402" name="그룹 237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7936A51A-9212-43FB-8FB4-3416A93358CE}"/>
                                                            </a:ext>
                                                          </a:extLst>
                                                        </xdr:cNvPr>
                                                        <xdr:cNvGrpSpPr/>
                                                      </xdr:nvGrpSpPr>
                                                      <xdr:grpSpPr>
                                                        <a:xfrm>
                                                          <a:off x="7039872" y="10275867"/>
                                                          <a:ext cx="3307689" cy="1251696"/>
                                                          <a:chOff x="7017949" y="8113677"/>
                                                          <a:chExt cx="2646865" cy="936830"/>
                                                        </a:xfrm>
                                                      </xdr:grpSpPr>
                                                      <xdr:grpSp>
                                                        <xdr:nvGrpSpPr>
                                                          <xdr:cNvPr id="405" name="그룹 241">
                                                            <a:extLst>
                                                              <a:ext uri="{FF2B5EF4-FFF2-40B4-BE49-F238E27FC236}">
                                                                <a16:creationId xmlns:a16="http://schemas.microsoft.com/office/drawing/2014/main" id="{D9B30409-892B-4D51-9996-3341F3F5EE0E}"/>
                                                              </a:ext>
                                                            </a:extLst>
                                                          </xdr:cNvPr>
                                                          <xdr:cNvGrpSpPr/>
                                                        </xdr:nvGrpSpPr>
                                                        <xdr:grpSpPr>
                                                          <a:xfrm>
                                                            <a:off x="7017949" y="8113677"/>
                                                            <a:ext cx="2646865" cy="936830"/>
                                                            <a:chOff x="6896101" y="6875427"/>
                                                            <a:chExt cx="3151908" cy="945662"/>
                                                          </a:xfrm>
                                                        </xdr:grpSpPr>
                                                        <xdr:grpSp>
                                                          <xdr:nvGrpSpPr>
                                                            <xdr:cNvPr id="407" name="그룹 243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5BBB38BC-31E8-48F5-8F75-AAD1CAE61439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GrpSpPr/>
                                                          </xdr:nvGrpSpPr>
                                                          <xdr:grpSpPr>
                                                            <a:xfrm>
                                                              <a:off x="6896101" y="6875427"/>
                                                              <a:ext cx="3119156" cy="945662"/>
                                                              <a:chOff x="240127" y="1908063"/>
                                                              <a:chExt cx="4214497" cy="1210966"/>
                                                            </a:xfrm>
                                                          </xdr:grpSpPr>
                                                          <xdr:grpSp>
                                                            <xdr:nvGrpSpPr>
                                                              <xdr:cNvPr id="412" name="그룹 248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D85C2E73-344A-40A5-A801-4B9F27FDAD55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GrpSpPr/>
                                                            </xdr:nvGrpSpPr>
                                                            <xdr:grpSpPr>
                                                              <a:xfrm>
                                                                <a:off x="240127" y="1908063"/>
                                                                <a:ext cx="2720768" cy="1206463"/>
                                                                <a:chOff x="240127" y="1908063"/>
                                                                <a:chExt cx="2720768" cy="1206463"/>
                                                              </a:xfrm>
                                                            </xdr:grpSpPr>
                                                            <xdr:grpSp>
                                                              <xdr:nvGrpSpPr>
                                                                <xdr:cNvPr id="414" name="그룹 250">
                                                                  <a:extLst>
                                                                    <a:ext uri="{FF2B5EF4-FFF2-40B4-BE49-F238E27FC236}">
                                                                      <a16:creationId xmlns:a16="http://schemas.microsoft.com/office/drawing/2014/main" id="{F3FB75A2-7FAC-4E59-A2A2-919168290E38}"/>
                                                                    </a:ext>
                                                                  </a:extLst>
                                                                </xdr:cNvPr>
                                                                <xdr:cNvGrpSpPr/>
                                                              </xdr:nvGrpSpPr>
                                                              <xdr:grpSpPr>
                                                                <a:xfrm>
                                                                  <a:off x="240127" y="1908063"/>
                                                                  <a:ext cx="2720768" cy="1206463"/>
                                                                  <a:chOff x="1294701" y="2215059"/>
                                                                  <a:chExt cx="2300486" cy="1108468"/>
                                                                </a:xfrm>
                                                              </xdr:grpSpPr>
                                                              <xdr:grpSp>
                                                                <xdr:nvGrpSpPr>
                                                                  <xdr:cNvPr id="416" name="그룹 252">
                                                                    <a:extLst>
                                                                      <a:ext uri="{FF2B5EF4-FFF2-40B4-BE49-F238E27FC236}">
                                                                        <a16:creationId xmlns:a16="http://schemas.microsoft.com/office/drawing/2014/main" id="{CF9AAD38-53D5-4D20-9AD5-824C0301D2DB}"/>
                                                                      </a:ext>
                                                                    </a:extLst>
                                                                  </xdr:cNvPr>
                                                                  <xdr:cNvGrpSpPr/>
                                                                </xdr:nvGrpSpPr>
                                                                <xdr:grpSpPr>
                                                                  <a:xfrm>
                                                                    <a:off x="1875140" y="2436996"/>
                                                                    <a:ext cx="1147515" cy="886531"/>
                                                                    <a:chOff x="952501" y="2485807"/>
                                                                    <a:chExt cx="1123949" cy="867599"/>
                                                                  </a:xfrm>
                                                                </xdr:grpSpPr>
                                                                <xdr:cxnSp macro="">
                                                                  <xdr:nvCxnSpPr>
                                                                    <xdr:cNvPr id="418" name="직선 연결선 255">
                                                                      <a:extLst>
                                                                        <a:ext uri="{FF2B5EF4-FFF2-40B4-BE49-F238E27FC236}">
                                                                          <a16:creationId xmlns:a16="http://schemas.microsoft.com/office/drawing/2014/main" id="{0377811A-14B0-407A-9237-114D3481DE44}"/>
                                                                        </a:ext>
                                                                      </a:extLst>
                                                                    </xdr:cNvPr>
                                                                    <xdr:cNvCxnSpPr/>
                                                                  </xdr:nvCxnSpPr>
                                                                  <xdr:spPr>
                                                                    <a:xfrm flipH="1" flipV="1">
                                                                      <a:off x="952501" y="2485807"/>
                                                                      <a:ext cx="218352" cy="867599"/>
                                                                    </a:xfrm>
                                                                    <a:prstGeom prst="line">
                                                                      <a:avLst/>
                                                                    </a:prstGeom>
                                                                    <a:ln w="57150"/>
                                                                  </xdr:spPr>
                                                                  <xdr:style>
                                                                    <a:lnRef idx="1">
                                                                      <a:schemeClr val="accent1"/>
                                                                    </a:lnRef>
                                                                    <a:fillRef idx="0">
                                                                      <a:schemeClr val="accent1"/>
                                                                    </a:fillRef>
                                                                    <a:effectRef idx="0">
                                                                      <a:schemeClr val="accent1"/>
                                                                    </a:effectRef>
                                                                    <a:fontRef idx="minor">
                                                                      <a:schemeClr val="tx1"/>
                                                                    </a:fontRef>
                                                                  </xdr:style>
                                                                </xdr:cxnSp>
                                                                <xdr:cxnSp macro="">
                                                                  <xdr:nvCxnSpPr>
                                                                    <xdr:cNvPr id="419" name="직선 연결선 256">
                                                                      <a:extLst>
                                                                        <a:ext uri="{FF2B5EF4-FFF2-40B4-BE49-F238E27FC236}">
                                                                          <a16:creationId xmlns:a16="http://schemas.microsoft.com/office/drawing/2014/main" id="{91770C8A-A777-4052-A5E3-0EE2E1BE4A2D}"/>
                                                                        </a:ext>
                                                                      </a:extLst>
                                                                    </xdr:cNvPr>
                                                                    <xdr:cNvCxnSpPr/>
                                                                  </xdr:nvCxnSpPr>
                                                                  <xdr:spPr>
                                                                    <a:xfrm flipV="1">
                                                                      <a:off x="1875510" y="2495331"/>
                                                                      <a:ext cx="200940" cy="855663"/>
                                                                    </a:xfrm>
                                                                    <a:prstGeom prst="line">
                                                                      <a:avLst/>
                                                                    </a:prstGeom>
                                                                    <a:ln w="57150"/>
                                                                  </xdr:spPr>
                                                                  <xdr:style>
                                                                    <a:lnRef idx="1">
                                                                      <a:schemeClr val="accent1"/>
                                                                    </a:lnRef>
                                                                    <a:fillRef idx="0">
                                                                      <a:schemeClr val="accent1"/>
                                                                    </a:fillRef>
                                                                    <a:effectRef idx="0">
                                                                      <a:schemeClr val="accent1"/>
                                                                    </a:effectRef>
                                                                    <a:fontRef idx="minor">
                                                                      <a:schemeClr val="tx1"/>
                                                                    </a:fontRef>
                                                                  </xdr:style>
                                                                </xdr:cxnSp>
                                                              </xdr:grpSp>
                                                              <xdr:sp macro="" textlink="">
                                                                <xdr:nvSpPr>
                                                                  <xdr:cNvPr id="417" name="자유형 253">
                                                                    <a:extLst>
                                                                      <a:ext uri="{FF2B5EF4-FFF2-40B4-BE49-F238E27FC236}">
                                                                        <a16:creationId xmlns:a16="http://schemas.microsoft.com/office/drawing/2014/main" id="{AB719D5F-6431-4BA2-95A8-A8472667E635}"/>
                                                                      </a:ext>
                                                                    </a:extLst>
                                                                  </xdr:cNvPr>
                                                                  <xdr:cNvSpPr/>
                                                                </xdr:nvSpPr>
                                                                <xdr:spPr>
                                                                  <a:xfrm>
                                                                    <a:off x="1294701" y="2215059"/>
                                                                    <a:ext cx="2300486" cy="237904"/>
                                                                  </a:xfrm>
                                                                  <a:custGeom>
                                                                    <a:avLst/>
                                                                    <a:gdLst>
                                                                      <a:gd name="connsiteX0" fmla="*/ 270761 w 2267627"/>
                                                                      <a:gd name="connsiteY0" fmla="*/ 169226 h 234499"/>
                                                                      <a:gd name="connsiteX1" fmla="*/ 0 w 2267627"/>
                                                                      <a:gd name="connsiteY1" fmla="*/ 169226 h 234499"/>
                                                                      <a:gd name="connsiteX2" fmla="*/ 0 w 2267627"/>
                                                                      <a:gd name="connsiteY2" fmla="*/ 0 h 234499"/>
                                                                      <a:gd name="connsiteX3" fmla="*/ 2267627 w 2267627"/>
                                                                      <a:gd name="connsiteY3" fmla="*/ 0 h 234499"/>
                                                                      <a:gd name="connsiteX4" fmla="*/ 2267627 w 2267627"/>
                                                                      <a:gd name="connsiteY4" fmla="*/ 164391 h 234499"/>
                                                                      <a:gd name="connsiteX5" fmla="*/ 1996865 w 2267627"/>
                                                                      <a:gd name="connsiteY5" fmla="*/ 164391 h 234499"/>
                                                                      <a:gd name="connsiteX6" fmla="*/ 1926757 w 2267627"/>
                                                                      <a:gd name="connsiteY6" fmla="*/ 234499 h 234499"/>
                                                                      <a:gd name="connsiteX7" fmla="*/ 336034 w 2267627"/>
                                                                      <a:gd name="connsiteY7" fmla="*/ 234499 h 234499"/>
                                                                      <a:gd name="connsiteX8" fmla="*/ 270761 w 2267627"/>
                                                                      <a:gd name="connsiteY8" fmla="*/ 169226 h 234499"/>
                                                                    </a:gdLst>
                                                                    <a:ahLst/>
                                                                    <a:cxnLst>
                                                                      <a:cxn ang="0">
                                                                        <a:pos x="connsiteX0" y="connsiteY0"/>
                                                                      </a:cxn>
                                                                      <a:cxn ang="0">
                                                                        <a:pos x="connsiteX1" y="connsiteY1"/>
                                                                      </a:cxn>
                                                                      <a:cxn ang="0">
                                                                        <a:pos x="connsiteX2" y="connsiteY2"/>
                                                                      </a:cxn>
                                                                      <a:cxn ang="0">
                                                                        <a:pos x="connsiteX3" y="connsiteY3"/>
                                                                      </a:cxn>
                                                                      <a:cxn ang="0">
                                                                        <a:pos x="connsiteX4" y="connsiteY4"/>
                                                                      </a:cxn>
                                                                      <a:cxn ang="0">
                                                                        <a:pos x="connsiteX5" y="connsiteY5"/>
                                                                      </a:cxn>
                                                                      <a:cxn ang="0">
                                                                        <a:pos x="connsiteX6" y="connsiteY6"/>
                                                                      </a:cxn>
                                                                      <a:cxn ang="0">
                                                                        <a:pos x="connsiteX7" y="connsiteY7"/>
                                                                      </a:cxn>
                                                                      <a:cxn ang="0">
                                                                        <a:pos x="connsiteX8" y="connsiteY8"/>
                                                                      </a:cxn>
                                                                    </a:cxnLst>
                                                                    <a:rect l="l" t="t" r="r" b="b"/>
                                                                    <a:pathLst>
                                                                      <a:path w="2267627" h="234499">
                                                                        <a:moveTo>
                                                                          <a:pt x="270761" y="169226"/>
                                                                        </a:moveTo>
                                                                        <a:lnTo>
                                                                          <a:pt x="0" y="169226"/>
                                                                        </a:lnTo>
                                                                        <a:lnTo>
                                                                          <a:pt x="0" y="0"/>
                                                                        </a:lnTo>
                                                                        <a:lnTo>
                                                                          <a:pt x="2267627" y="0"/>
                                                                        </a:lnTo>
                                                                        <a:lnTo>
                                                                          <a:pt x="2267627" y="164391"/>
                                                                        </a:lnTo>
                                                                        <a:lnTo>
                                                                          <a:pt x="1996865" y="164391"/>
                                                                        </a:lnTo>
                                                                        <a:lnTo>
                                                                          <a:pt x="1926757" y="234499"/>
                                                                        </a:lnTo>
                                                                        <a:lnTo>
                                                                          <a:pt x="336034" y="234499"/>
                                                                        </a:lnTo>
                                                                        <a:lnTo>
                                                                          <a:pt x="270761" y="169226"/>
                                                                        </a:lnTo>
                                                                        <a:close/>
                                                                      </a:path>
                                                                    </a:pathLst>
                                                                  </a:custGeom>
                                                                  <a:solidFill>
                                                                    <a:schemeClr val="accent6">
                                                                      <a:lumMod val="40000"/>
                                                                      <a:lumOff val="60000"/>
                                                                    </a:schemeClr>
                                                                  </a:solidFill>
                                                                  <a:ln w="15875"/>
                                                                </xdr:spPr>
                                                                <xdr:style>
                                                                  <a:lnRef idx="2">
                                                                    <a:schemeClr val="accent1">
                                                                      <a:shade val="50000"/>
                                                                    </a:schemeClr>
                                                                  </a:lnRef>
                                                                  <a:fillRef idx="1">
                                                                    <a:schemeClr val="accent1"/>
                                                                  </a:fillRef>
                                                                  <a:effectRef idx="0">
                                                                    <a:schemeClr val="accent1"/>
                                                                  </a:effectRef>
                                                                  <a:fontRef idx="minor">
                                                                    <a:schemeClr val="lt1"/>
                                                                  </a:fontRef>
                                                                </xdr:style>
                                                                <xdr:txBody>
                                                                  <a:bodyPr vertOverflow="clip" horzOverflow="clip" rtlCol="0" anchor="t"/>
                                                                  <a:lstStyle/>
                                                                  <a:p>
                                                                    <a:pPr algn="l"/>
                                                                    <a:endParaRPr lang="en-US" sz="1100"/>
                                                                  </a:p>
                                                                </xdr:txBody>
                                                              </xdr:sp>
                                                            </xdr:grpSp>
                                                            <xdr:cxnSp macro="">
                                                              <xdr:nvCxnSpPr>
                                                                <xdr:cNvPr id="415" name="직선 연결선 251">
                                                                  <a:extLst>
                                                                    <a:ext uri="{FF2B5EF4-FFF2-40B4-BE49-F238E27FC236}">
                                                                      <a16:creationId xmlns:a16="http://schemas.microsoft.com/office/drawing/2014/main" id="{1FC025B3-31C8-4D84-9C7A-7081F8B872A3}"/>
                                                                    </a:ext>
                                                                  </a:extLst>
                                                                </xdr:cNvPr>
                                                                <xdr:cNvCxnSpPr/>
                                                              </xdr:nvCxnSpPr>
                                                              <xdr:spPr>
                                                                <a:xfrm>
                                                                  <a:off x="767304" y="2142942"/>
                                                                  <a:ext cx="1679196" cy="0"/>
                                                                </a:xfrm>
                                                                <a:prstGeom prst="line">
                                                                  <a:avLst/>
                                                                </a:prstGeom>
                                                                <a:ln w="57150"/>
                                                              </xdr:spPr>
                                                              <xdr:style>
                                                                <a:lnRef idx="1">
                                                                  <a:schemeClr val="accent1"/>
                                                                </a:lnRef>
                                                                <a:fillRef idx="0">
                                                                  <a:schemeClr val="accent1"/>
                                                                </a:fillRef>
                                                                <a:effectRef idx="0">
                                                                  <a:schemeClr val="accent1"/>
                                                                </a:effectRef>
                                                                <a:fontRef idx="minor">
                                                                  <a:schemeClr val="tx1"/>
                                                                </a:fontRef>
                                                              </xdr:style>
                                                            </xdr:cxnSp>
                                                          </xdr:grpSp>
                                                          <xdr:sp macro="" textlink="">
                                                            <xdr:nvSpPr>
                                                              <xdr:cNvPr id="413" name="TextBox 412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331011BD-7E75-49D9-B6CF-68D0AB24C5CC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SpPr txBox="1"/>
                                                            </xdr:nvSpPr>
                                                            <xdr:spPr>
                                                              <a:xfrm>
                                                                <a:off x="4049797" y="2978500"/>
                                                                <a:ext cx="404827" cy="140529"/>
                                                              </a:xfrm>
                                                              <a:prstGeom prst="rect">
                                                                <a:avLst/>
                                                              </a:prstGeom>
                                                              <a:noFill/>
                                                              <a:ln w="9525" cmpd="sng">
                                                                <a:noFill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0">
                                                                <a:scrgbClr r="0" g="0" b="0"/>
                                                              </a:lnRef>
                                                              <a:fillRef idx="0">
                                                                <a:scrgbClr r="0" g="0" b="0"/>
                                                              </a:fillRef>
                                                              <a:effectRef idx="0">
                                                                <a:scrgbClr r="0" g="0" b="0"/>
                                                              </a:effectRef>
                                                              <a:fontRef idx="minor">
                                                                <a:schemeClr val="dk1"/>
                                                              </a:fontRef>
                                                            </xdr:style>
                                                            <xdr:txBody>
                                                              <a:bodyPr vertOverflow="clip" horzOverflow="clip" wrap="square" rtlCol="0" anchor="ctr"/>
                                                              <a:lstStyle/>
                                                              <a:p>
                                                                <a:r>
                                                                  <a:rPr lang="en-US" sz="900"/>
                                                                  <a:t>P</a:t>
                                                                </a:r>
                                                                <a:r>
                                                                  <a:rPr lang="en-US" sz="600"/>
                                                                  <a:t>t</a:t>
                                                                </a:r>
                                                              </a:p>
                                                            </xdr:txBody>
                                                          </xdr:sp>
                                                        </xdr:grpSp>
                                                        <xdr:cxnSp macro="">
                                                          <xdr:nvCxnSpPr>
                                                            <xdr:cNvPr id="408" name="직선 화살표 연결선 244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BDD0F3FA-638F-4032-B0AA-284CB7B773CE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CxnSpPr/>
                                                          </xdr:nvCxnSpPr>
                                                          <xdr:spPr>
                                                            <a:xfrm>
                                                              <a:off x="9683113" y="7819492"/>
                                                              <a:ext cx="359569" cy="0"/>
                                                            </a:xfrm>
                                                            <a:prstGeom prst="straightConnector1">
                                                              <a:avLst/>
                                                            </a:prstGeom>
                                                            <a:ln w="19050">
                                                              <a:solidFill>
                                                                <a:srgbClr val="FF0000"/>
                                                              </a:solidFill>
                                                              <a:tailEnd type="stealth" w="lg" len="lg"/>
                                                            </a:ln>
                                                          </xdr:spPr>
                                                          <xdr:style>
                                                            <a:lnRef idx="1">
                                                              <a:schemeClr val="accent1"/>
                                                            </a:lnRef>
                                                            <a:fillRef idx="0">
                                                              <a:schemeClr val="accent1"/>
                                                            </a:fillRef>
                                                            <a:effectRef idx="0">
                                                              <a:schemeClr val="accent1"/>
                                                            </a:effectRef>
                                                            <a:fontRef idx="minor">
                                                              <a:schemeClr val="tx1"/>
                                                            </a:fontRef>
                                                          </xdr:style>
                                                        </xdr:cxnSp>
                                                        <xdr:grpSp>
                                                          <xdr:nvGrpSpPr>
                                                            <xdr:cNvPr id="409" name="그룹 245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D89EC57D-A91D-4DE9-AC1A-F8ADB131A8C9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GrpSpPr/>
                                                          </xdr:nvGrpSpPr>
                                                          <xdr:grpSpPr>
                                                            <a:xfrm>
                                                              <a:off x="9649440" y="7372982"/>
                                                              <a:ext cx="398569" cy="147716"/>
                                                              <a:chOff x="9725640" y="7649207"/>
                                                              <a:chExt cx="398569" cy="147716"/>
                                                            </a:xfrm>
                                                          </xdr:grpSpPr>
                                                          <xdr:cxnSp macro="">
                                                            <xdr:nvCxnSpPr>
                                                              <xdr:cNvPr id="410" name="직선 화살표 연결선 246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51F38A06-EDA3-4596-A67F-D85DD862C639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CxnSpPr/>
                                                            </xdr:nvCxnSpPr>
                                                            <xdr:spPr>
                                                              <a:xfrm>
                                                                <a:off x="9764640" y="7780748"/>
                                                                <a:ext cx="359569" cy="0"/>
                                                              </a:xfrm>
                                                              <a:prstGeom prst="straightConnector1">
                                                                <a:avLst/>
                                                              </a:prstGeom>
                                                              <a:ln w="19050">
                                                                <a:solidFill>
                                                                  <a:srgbClr val="FF0000"/>
                                                                </a:solidFill>
                                                                <a:tailEnd type="stealth" w="lg" len="lg"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1">
                                                                <a:schemeClr val="accent1"/>
                                                              </a:lnRef>
                                                              <a:fillRef idx="0">
                                                                <a:schemeClr val="accent1"/>
                                                              </a:fillRef>
                                                              <a:effectRef idx="0">
                                                                <a:schemeClr val="accent1"/>
                                                              </a:effectRef>
                                                              <a:fontRef idx="minor">
                                                                <a:schemeClr val="tx1"/>
                                                              </a:fontRef>
                                                            </xdr:style>
                                                          </xdr:cxnSp>
                                                          <xdr:sp macro="" textlink="">
                                                            <xdr:nvSpPr>
                                                              <xdr:cNvPr id="411" name="TextBox 410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74F81EE7-0EBC-4A2C-8385-E2C6D3099131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SpPr txBox="1"/>
                                                            </xdr:nvSpPr>
                                                            <xdr:spPr>
                                                              <a:xfrm>
                                                                <a:off x="9725640" y="7649207"/>
                                                                <a:ext cx="343126" cy="147716"/>
                                                              </a:xfrm>
                                                              <a:prstGeom prst="rect">
                                                                <a:avLst/>
                                                              </a:prstGeom>
                                                              <a:noFill/>
                                                              <a:ln w="9525" cmpd="sng">
                                                                <a:noFill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0">
                                                                <a:scrgbClr r="0" g="0" b="0"/>
                                                              </a:lnRef>
                                                              <a:fillRef idx="0">
                                                                <a:scrgbClr r="0" g="0" b="0"/>
                                                              </a:fillRef>
                                                              <a:effectRef idx="0">
                                                                <a:scrgbClr r="0" g="0" b="0"/>
                                                              </a:effectRef>
                                                              <a:fontRef idx="minor">
                                                                <a:schemeClr val="dk1"/>
                                                              </a:fontRef>
                                                            </xdr:style>
                                                            <xdr:txBody>
                                                              <a:bodyPr vertOverflow="clip" horzOverflow="clip" wrap="square" rtlCol="0" anchor="ctr"/>
                                                              <a:lstStyle/>
                                                              <a:p>
                                                                <a:r>
                                                                  <a:rPr lang="en-US" sz="900"/>
                                                                  <a:t>P</a:t>
                                                                </a:r>
                                                                <a:r>
                                                                  <a:rPr lang="en-US" sz="600"/>
                                                                  <a:t>wb</a:t>
                                                                </a:r>
                                                              </a:p>
                                                            </xdr:txBody>
                                                          </xdr:sp>
                                                        </xdr:grpSp>
                                                      </xdr:grpSp>
                                                      <xdr:sp macro="" textlink="">
                                                        <xdr:nvSpPr>
                                                          <xdr:cNvPr id="406" name="TextBox 405">
                                                            <a:extLst>
                                                              <a:ext uri="{FF2B5EF4-FFF2-40B4-BE49-F238E27FC236}">
                                                                <a16:creationId xmlns:a16="http://schemas.microsoft.com/office/drawing/2014/main" id="{1757A7E9-0165-427B-AC08-ECCD065040D3}"/>
                                                              </a:ext>
                                                            </a:extLst>
                                                          </xdr:cNvPr>
                                                          <xdr:cNvSpPr txBox="1"/>
                                                        </xdr:nvSpPr>
                                                        <xdr:spPr>
                                                          <a:xfrm>
                                                            <a:off x="9185265" y="8140479"/>
                                                            <a:ext cx="325557" cy="132074"/>
                                                          </a:xfrm>
                                                          <a:prstGeom prst="rect">
                                                            <a:avLst/>
                                                          </a:prstGeom>
                                                          <a:noFill/>
                                                          <a:ln w="9525" cmpd="sng">
                                                            <a:noFill/>
                                                          </a:ln>
                                                        </xdr:spPr>
                                                        <xdr:style>
                                                          <a:lnRef idx="0">
                                                            <a:scrgbClr r="0" g="0" b="0"/>
                                                          </a:lnRef>
                                                          <a:fillRef idx="0">
                                                            <a:scrgbClr r="0" g="0" b="0"/>
                                                          </a:fillRef>
                                                          <a:effectRef idx="0">
                                                            <a:scrgbClr r="0" g="0" b="0"/>
                                                          </a:effectRef>
                                                          <a:fontRef idx="minor">
                                                            <a:schemeClr val="dk1"/>
                                                          </a:fontRef>
                                                        </xdr:style>
                                                        <xdr:txBody>
                                                          <a:bodyPr vertOverflow="clip" horzOverflow="clip" wrap="square" rtlCol="0" anchor="ctr"/>
                                                          <a:lstStyle/>
                                                          <a:p>
                                                            <a:r>
                                                              <a:rPr lang="en-US" sz="900"/>
                                                              <a:t>P</a:t>
                                                            </a:r>
                                                            <a:r>
                                                              <a:rPr lang="en-US" sz="600"/>
                                                              <a:t>rb</a:t>
                                                            </a:r>
                                                          </a:p>
                                                        </xdr:txBody>
                                                      </xdr:sp>
                                                    </xdr:grpSp>
                                                    <xdr:cxnSp macro="">
                                                      <xdr:nvCxnSpPr>
                                                        <xdr:cNvPr id="403" name="직선 연결선 238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43180C20-95A1-4EA8-B977-E53A44C34340}"/>
                                                            </a:ext>
                                                          </a:extLst>
                                                        </xdr:cNvPr>
                                                        <xdr:cNvCxnSpPr/>
                                                      </xdr:nvCxnSpPr>
                                                      <xdr:spPr>
                                                        <a:xfrm>
                                                          <a:off x="7043145" y="10325102"/>
                                                          <a:ext cx="2107998" cy="0"/>
                                                        </a:xfrm>
                                                        <a:prstGeom prst="line">
                                                          <a:avLst/>
                                                        </a:prstGeom>
                                                        <a:ln>
                                                          <a:solidFill>
                                                            <a:srgbClr val="FF0000"/>
                                                          </a:solidFill>
                                                          <a:prstDash val="sysDash"/>
                                                        </a:ln>
                                                      </xdr:spPr>
                                                      <xdr:style>
                                                        <a:lnRef idx="1">
                                                          <a:schemeClr val="accent1"/>
                                                        </a:lnRef>
                                                        <a:fillRef idx="0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tx1"/>
                                                        </a:fontRef>
                                                      </xdr:style>
                                                    </xdr:cxnSp>
                                                    <xdr:cxnSp macro="">
                                                      <xdr:nvCxnSpPr>
                                                        <xdr:cNvPr id="404" name="직선 연결선 239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5D844E37-E2C9-4E66-8FD5-E041D188C72D}"/>
                                                            </a:ext>
                                                          </a:extLst>
                                                        </xdr:cNvPr>
                                                        <xdr:cNvCxnSpPr/>
                                                      </xdr:nvCxnSpPr>
                                                      <xdr:spPr>
                                                        <a:xfrm>
                                                          <a:off x="7043145" y="10422729"/>
                                                          <a:ext cx="2105619" cy="0"/>
                                                        </a:xfrm>
                                                        <a:prstGeom prst="line">
                                                          <a:avLst/>
                                                        </a:prstGeom>
                                                        <a:ln>
                                                          <a:solidFill>
                                                            <a:srgbClr val="FF0000"/>
                                                          </a:solidFill>
                                                          <a:prstDash val="sysDash"/>
                                                        </a:ln>
                                                      </xdr:spPr>
                                                      <xdr:style>
                                                        <a:lnRef idx="1">
                                                          <a:schemeClr val="accent1"/>
                                                        </a:lnRef>
                                                        <a:fillRef idx="0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tx1"/>
                                                        </a:fontRef>
                                                      </xdr:style>
                                                    </xdr:cxnSp>
                                                  </xdr:grpSp>
                                                  <xdr:cxnSp macro="">
                                                    <xdr:nvCxnSpPr>
                                                      <xdr:cNvPr id="393" name="직선 화살표 연결선 229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7CC23D17-177B-4D0F-9CD9-702216A2AA59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7572" y="10632532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94" name="TextBox 393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AFBD6E3D-E690-4257-8539-BD9D1E4F917E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10064424" y="10160794"/>
                                                        <a:ext cx="406277" cy="176464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rt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cxnSp macro="">
                                                    <xdr:nvCxnSpPr>
                                                      <xdr:cNvPr id="395" name="직선 화살표 연결선 231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9BCA6FEA-FA20-43D5-B0FA-351CCD420634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7572" y="10496801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96" name="TextBox 395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F0768477-1B16-434F-8854-C6FFA025387F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10046594" y="10643818"/>
                                                        <a:ext cx="359525" cy="195520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wt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sp macro="" textlink="">
                                                    <xdr:nvSpPr>
                                                      <xdr:cNvPr id="397" name="TextBox 39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B15BC3A3-FF07-470C-8E83-BBF4B4CF0EEC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9757802" y="10436179"/>
                                                        <a:ext cx="314421" cy="145256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c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cxnSp macro="">
                                                    <xdr:nvCxnSpPr>
                                                      <xdr:cNvPr id="398" name="직선 화살표 연결선 234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0289999B-0F8C-4C5A-8ACA-FBA7B0500C65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5191" y="10418220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99" name="직선 화살표 연결선 235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6B5631F9-60B4-4FE0-A402-D3C2E178050B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0429" y="10318208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400" name="직선 화살표 연결선 23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9991A0DB-05AA-49C6-979D-3DBE3670126B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10328488" y="10361070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</xdr:grpSp>
                                              </xdr:grpSp>
                                              <xdr:sp macro="" textlink="">
                                                <xdr:nvSpPr>
                                                  <xdr:cNvPr id="387" name="덧셈 기호 223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8DF7A57E-DA88-4C29-95F6-F55A96CF17CF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9281217" y="11090097"/>
                                                    <a:ext cx="161974" cy="154237"/>
                                                  </a:xfrm>
                                                  <a:prstGeom prst="mathPl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388" name="뺄셈 기호 224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D8EA18D4-BD75-42B2-B89B-E8CBA58F2E43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9605165" y="10470585"/>
                                                    <a:ext cx="136637" cy="75970"/>
                                                  </a:xfrm>
                                                  <a:prstGeom prst="mathMin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374" name="그룹 205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6B48B30D-71A0-481F-9125-D9918D413586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6365985" y="10268954"/>
                                                  <a:ext cx="782565" cy="1230121"/>
                                                  <a:chOff x="6365985" y="10268954"/>
                                                  <a:chExt cx="782565" cy="1230121"/>
                                                </a:xfrm>
                                              </xdr:grpSpPr>
                                              <xdr:grpSp>
                                                <xdr:nvGrpSpPr>
                                                  <xdr:cNvPr id="375" name="그룹 20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D323145-76FA-4725-996A-98D12A33D4BA}"/>
                                                      </a:ext>
                                                    </a:extLst>
                                                  </xdr:cNvPr>
                                                  <xdr:cNvGrpSpPr/>
                                                </xdr:nvGrpSpPr>
                                                <xdr:grpSpPr>
                                                  <a:xfrm>
                                                    <a:off x="6365985" y="10268954"/>
                                                    <a:ext cx="618222" cy="1230121"/>
                                                    <a:chOff x="6365985" y="10268954"/>
                                                    <a:chExt cx="618222" cy="1230121"/>
                                                  </a:xfrm>
                                                </xdr:grpSpPr>
                                                <xdr:grpSp>
                                                  <xdr:nvGrpSpPr>
                                                    <xdr:cNvPr id="379" name="그룹 212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A9B38FD9-1732-47D8-85AF-FACEF0A0C567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6398763" y="10268954"/>
                                                      <a:ext cx="583095" cy="1230121"/>
                                                      <a:chOff x="6703531" y="10268954"/>
                                                      <a:chExt cx="583095" cy="1230121"/>
                                                    </a:xfrm>
                                                  </xdr:grpSpPr>
                                                  <xdr:cxnSp macro="">
                                                    <xdr:nvCxnSpPr>
                                                      <xdr:cNvPr id="382" name="직선 연결선 21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5126FB37-AB01-4338-B557-5E83110BFDCA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6883361" y="10477400"/>
                                                        <a:ext cx="403265" cy="0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>
                                                        <a:tailEnd type="oval" w="sm" len="sm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83" name="직선 연결선 217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CF6C8F8A-32EE-4F73-9EA2-FC62A0338A8F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6886070" y="11499075"/>
                                                        <a:ext cx="313926" cy="0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>
                                                        <a:tailEnd type="oval" w="sm" len="sm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84" name="직선 연결선 21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3B5F288E-F0AE-4FF4-900A-D24D1DEB95F1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>
                                                        <a:off x="6883523" y="10268954"/>
                                                        <a:ext cx="0" cy="1202532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/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85" name="TextBox 384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79EA0FB7-82C1-44A5-9D95-159BAD059E84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6703531" y="10922764"/>
                                                        <a:ext cx="314792" cy="145256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D</a:t>
                                                        </a:r>
                                                        <a:endParaRPr lang="en-US" sz="600"/>
                                                      </a:p>
                                                    </xdr:txBody>
                                                  </xdr:sp>
                                                </xdr:grpSp>
                                                <xdr:cxnSp macro="">
                                                  <xdr:nvCxnSpPr>
                                                    <xdr:cNvPr id="380" name="직선 연결선 213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9FBC0191-A4CF-4785-A5F0-6F34BB1D94DD}"/>
                                                        </a:ext>
                                                      </a:extLst>
                                                    </xdr:cNvPr>
                                                    <xdr:cNvCxnSpPr/>
                                                  </xdr:nvCxnSpPr>
                                                  <xdr:spPr>
                                                    <a:xfrm flipH="1">
                                                      <a:off x="6578594" y="10276787"/>
                                                      <a:ext cx="405613" cy="0"/>
                                                    </a:xfrm>
                                                    <a:prstGeom prst="line">
                                                      <a:avLst/>
                                                    </a:prstGeom>
                                                    <a:ln w="3175">
                                                      <a:tailEnd type="oval" w="sm" len="sm"/>
                                                    </a:ln>
                                                  </xdr:spPr>
                                                  <xdr:style>
                                                    <a:lnRef idx="1">
                                                      <a:schemeClr val="accent1"/>
                                                    </a:lnRef>
                                                    <a:fillRef idx="0">
                                                      <a:schemeClr val="accent1"/>
                                                    </a:fillRef>
                                                    <a:effectRef idx="0">
                                                      <a:schemeClr val="accent1"/>
                                                    </a:effectRef>
                                                    <a:fontRef idx="minor">
                                                      <a:schemeClr val="tx1"/>
                                                    </a:fontRef>
                                                  </xdr:style>
                                                </xdr:cxnSp>
                                                <xdr:sp macro="" textlink="">
                                                  <xdr:nvSpPr>
                                                    <xdr:cNvPr id="381" name="TextBox 380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9F25CCFD-2EC3-463D-A072-2E9765502565}"/>
                                                        </a:ext>
                                                      </a:extLst>
                                                    </xdr:cNvPr>
                                                    <xdr:cNvSpPr txBox="1"/>
                                                  </xdr:nvSpPr>
                                                  <xdr:spPr>
                                                    <a:xfrm>
                                                      <a:off x="6365985" y="10282519"/>
                                                      <a:ext cx="314792" cy="145256"/>
                                                    </a:xfrm>
                                                    <a:prstGeom prst="rect">
                                                      <a:avLst/>
                                                    </a:prstGeom>
                                                    <a:noFill/>
                                                    <a:ln w="9525" cmpd="sng">
                                                      <a:noFill/>
                                                    </a:ln>
                                                  </xdr:spPr>
                                                  <xdr:style>
                                                    <a:lnRef idx="0">
                                                      <a:scrgbClr r="0" g="0" b="0"/>
                                                    </a:lnRef>
                                                    <a:fillRef idx="0">
                                                      <a:scrgbClr r="0" g="0" b="0"/>
                                                    </a:fillRef>
                                                    <a:effectRef idx="0">
                                                      <a:scrgbClr r="0" g="0" b="0"/>
                                                    </a:effectRef>
                                                    <a:fontRef idx="minor">
                                                      <a:schemeClr val="dk1"/>
                                                    </a:fontRef>
                                                  </xdr:style>
                                                  <xdr:txBody>
                                                    <a:bodyPr vertOverflow="clip" horzOverflow="clip" wrap="square" rtlCol="0" anchor="ctr"/>
                                                    <a:lstStyle/>
                                                    <a:p>
                                                      <a:r>
                                                        <a:rPr lang="en-US" sz="900"/>
                                                        <a:t>t</a:t>
                                                      </a:r>
                                                      <a:r>
                                                        <a:rPr lang="en-US" sz="600"/>
                                                        <a:t>s</a:t>
                                                      </a:r>
                                                    </a:p>
                                                  </xdr:txBody>
                                                </xdr:sp>
                                              </xdr:grpSp>
                                              <xdr:cxnSp macro="">
                                                <xdr:nvCxnSpPr>
                                                  <xdr:cNvPr id="376" name="직선 연결선 20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231537F3-5339-4FED-B2EA-58409994A83B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6888994" y="11268075"/>
                                                    <a:ext cx="259556" cy="0"/>
                                                  </a:xfrm>
                                                  <a:prstGeom prst="line">
                                                    <a:avLst/>
                                                  </a:prstGeom>
                                                  <a:ln w="3175">
                                                    <a:tailEnd type="oval" w="sm" len="sm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cxnSp macro="">
                                                <xdr:nvCxnSpPr>
                                                  <xdr:cNvPr id="377" name="직선 연결선 20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BD79A0DA-5E06-4DFC-857D-321F5C91189F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6893719" y="11275219"/>
                                                    <a:ext cx="0" cy="207169"/>
                                                  </a:xfrm>
                                                  <a:prstGeom prst="line">
                                                    <a:avLst/>
                                                  </a:prstGeom>
                                                  <a:ln w="3175"/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378" name="TextBox 37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286D17C7-3C99-490A-8308-C5C72E748D90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6677430" y="11302439"/>
                                                    <a:ext cx="310271" cy="146746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H</a:t>
                                                    </a:r>
                                                    <a:r>
                                                      <a:rPr lang="en-US" sz="700"/>
                                                      <a:t>c</a:t>
                                                    </a:r>
                                                    <a:endParaRPr lang="en-US" sz="6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</xdr:grpSp>
                                        </xdr:grpSp>
                                      </xdr:grpSp>
                                      <xdr:cxnSp macro="">
                                        <xdr:nvCxnSpPr>
                                          <xdr:cNvPr id="368" name="직선 연결선 207">
                                            <a:extLst>
                                              <a:ext uri="{FF2B5EF4-FFF2-40B4-BE49-F238E27FC236}">
                                                <a16:creationId xmlns:a16="http://schemas.microsoft.com/office/drawing/2014/main" id="{49BFCED3-F4AB-457B-9A46-6C7FBF771CAE}"/>
                                              </a:ext>
                                            </a:extLst>
                                          </xdr:cNvPr>
                                          <xdr:cNvCxnSpPr/>
                                        </xdr:nvCxnSpPr>
                                        <xdr:spPr>
                                          <a:xfrm flipH="1">
                                            <a:off x="407193" y="8686837"/>
                                            <a:ext cx="259365" cy="0"/>
                                          </a:xfrm>
                                          <a:prstGeom prst="line">
                                            <a:avLst/>
                                          </a:prstGeom>
                                          <a:ln w="3175">
                                            <a:tailEnd type="oval" w="sm" len="sm"/>
                                          </a:ln>
                                        </xdr:spPr>
                                        <xdr:style>
                                          <a:lnRef idx="1">
                                            <a:schemeClr val="accent1"/>
                                          </a:lnRef>
                                          <a:fillRef idx="0">
                                            <a:schemeClr val="accent1"/>
                                          </a:fillRef>
                                          <a:effectRef idx="0">
                                            <a:schemeClr val="accent1"/>
                                          </a:effectRef>
                                          <a:fontRef idx="minor">
                                            <a:schemeClr val="tx1"/>
                                          </a:fontRef>
                                        </xdr:style>
                                      </xdr:cxnSp>
                                    </xdr:grpSp>
                                    <xdr:cxnSp macro="">
                                      <xdr:nvCxnSpPr>
                                        <xdr:cNvPr id="365" name="직선 화살표 연결선 244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C7FDBAFA-47F6-4CFA-B8EF-C6E95B29E1D0}"/>
                                            </a:ext>
                                          </a:extLst>
                                        </xdr:cNvPr>
                                        <xdr:cNvCxnSpPr/>
                                      </xdr:nvCxnSpPr>
                                      <xdr:spPr>
                                        <a:xfrm>
                                          <a:off x="3878642" y="6166263"/>
                                          <a:ext cx="377042" cy="0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19050">
                                          <a:solidFill>
                                            <a:srgbClr val="FF0000"/>
                                          </a:solidFill>
                                          <a:tailEnd type="stealth" w="lg" len="lg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sp macro="" textlink="">
                                      <xdr:nvSpPr>
                                        <xdr:cNvPr id="366" name="TextBox 365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338E6E29-9E80-4EE0-844A-B2E4500E8250}"/>
                                            </a:ext>
                                          </a:extLst>
                                        </xdr:cNvPr>
                                        <xdr:cNvSpPr txBox="1"/>
                                      </xdr:nvSpPr>
                                      <xdr:spPr>
                                        <a:xfrm>
                                          <a:off x="3824287" y="5998368"/>
                                          <a:ext cx="461360" cy="164764"/>
                                        </a:xfrm>
                                        <a:prstGeom prst="rect">
                                          <a:avLst/>
                                        </a:prstGeom>
                                        <a:noFill/>
                                        <a:ln w="9525" cmpd="sng">
                                          <a:noFill/>
                                        </a:ln>
                                      </xdr:spPr>
                                      <xdr:style>
                                        <a:lnRef idx="0">
                                          <a:scrgbClr r="0" g="0" b="0"/>
                                        </a:lnRef>
                                        <a:fillRef idx="0">
                                          <a:scrgbClr r="0" g="0" b="0"/>
                                        </a:fillRef>
                                        <a:effectRef idx="0">
                                          <a:scrgbClr r="0" g="0" b="0"/>
                                        </a:effectRef>
                                        <a:fontRef idx="minor">
                                          <a:schemeClr val="dk1"/>
                                        </a:fontRef>
                                      </xdr:style>
                                      <xdr:txBody>
                                        <a:bodyPr vertOverflow="clip" horzOverflow="clip" wrap="square" rtlCol="0" anchor="ctr"/>
                                        <a:lstStyle/>
                                        <a:p>
                                          <a:r>
                                            <a:rPr lang="en-US" sz="900"/>
                                            <a:t>P</a:t>
                                          </a:r>
                                          <a:r>
                                            <a:rPr lang="en-US" sz="600"/>
                                            <a:t>sb</a:t>
                                          </a:r>
                                        </a:p>
                                      </xdr:txBody>
                                    </xdr:sp>
                                  </xdr:grpSp>
                                  <xdr:cxnSp macro="">
                                    <xdr:nvCxnSpPr>
                                      <xdr:cNvPr id="362" name="직선 화살표 연결선 2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297C55E7-CDE4-4C4C-8FF7-AF709BA1E250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 flipH="1">
                                        <a:off x="3876675" y="5283994"/>
                                        <a:ext cx="354098" cy="0"/>
                                      </a:xfrm>
                                      <a:prstGeom prst="straightConnector1">
                                        <a:avLst/>
                                      </a:prstGeom>
                                      <a:ln w="19050">
                                        <a:solidFill>
                                          <a:srgbClr val="FF0000"/>
                                        </a:solidFill>
                                        <a:tailEnd type="stealth" w="lg" len="lg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sp macro="" textlink="">
                                    <xdr:nvSpPr>
                                      <xdr:cNvPr id="363" name="TextBox 362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41290071-8B6B-46CA-94C0-BE070F66828B}"/>
                                          </a:ext>
                                        </a:extLst>
                                      </xdr:cNvPr>
                                      <xdr:cNvSpPr txBox="1"/>
                                    </xdr:nvSpPr>
                                    <xdr:spPr>
                                      <a:xfrm>
                                        <a:off x="3902869" y="5319712"/>
                                        <a:ext cx="447410" cy="14540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 w="9525" cmpd="sng">
                                        <a:noFill/>
                                      </a:ln>
                                    </xdr:spPr>
                                    <xdr:style>
                                      <a:lnRef idx="0">
                                        <a:scrgbClr r="0" g="0" b="0"/>
                                      </a:lnRef>
                                      <a:fillRef idx="0">
                                        <a:scrgbClr r="0" g="0" b="0"/>
                                      </a:fillRef>
                                      <a:effectRef idx="0">
                                        <a:scrgbClr r="0" g="0" b="0"/>
                                      </a:effectRef>
                                      <a:fontRef idx="minor">
                                        <a:schemeClr val="dk1"/>
                                      </a:fontRef>
                                    </xdr:style>
                                    <xdr:txBody>
                                      <a:bodyPr vertOverflow="clip" horzOverflow="clip" wrap="square" rtlCol="0" anchor="ctr"/>
                                      <a:lstStyle/>
                                      <a:p>
                                        <a:r>
                                          <a:rPr lang="en-US" sz="900"/>
                                          <a:t>P</a:t>
                                        </a:r>
                                        <a:r>
                                          <a:rPr lang="en-US" sz="600" baseline="0"/>
                                          <a:t>st</a:t>
                                        </a:r>
                                      </a:p>
                                    </xdr:txBody>
                                  </xdr:sp>
                                </xdr:grpSp>
                                <xdr:cxnSp macro="">
                                  <xdr:nvCxnSpPr>
                                    <xdr:cNvPr id="358" name="직선 연결선 207">
                                      <a:extLst>
                                        <a:ext uri="{FF2B5EF4-FFF2-40B4-BE49-F238E27FC236}">
                                          <a16:creationId xmlns:a16="http://schemas.microsoft.com/office/drawing/2014/main" id="{5F793A61-0F2E-45E1-9BA8-82B25894911A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 flipH="1">
                                      <a:off x="571501" y="5288756"/>
                                      <a:ext cx="259347" cy="0"/>
                                    </a:xfrm>
                                    <a:prstGeom prst="line">
                                      <a:avLst/>
                                    </a:prstGeom>
                                    <a:ln w="3175">
                                      <a:tailEnd type="oval" w="sm" len="sm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359" name="직선 연결선 207">
                                      <a:extLst>
                                        <a:ext uri="{FF2B5EF4-FFF2-40B4-BE49-F238E27FC236}">
                                          <a16:creationId xmlns:a16="http://schemas.microsoft.com/office/drawing/2014/main" id="{2CE80805-2357-40A0-A1F3-B66751F80C50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 flipH="1">
                                      <a:off x="571499" y="5226844"/>
                                      <a:ext cx="259365" cy="0"/>
                                    </a:xfrm>
                                    <a:prstGeom prst="line">
                                      <a:avLst/>
                                    </a:prstGeom>
                                    <a:ln w="3175">
                                      <a:tailEnd type="oval" w="sm" len="sm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360" name="직선 연결선 208">
                                      <a:extLst>
                                        <a:ext uri="{FF2B5EF4-FFF2-40B4-BE49-F238E27FC236}">
                                          <a16:creationId xmlns:a16="http://schemas.microsoft.com/office/drawing/2014/main" id="{6314C7FA-C5C3-475D-93A4-1BE8751634D8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>
                                      <a:off x="571500" y="5217319"/>
                                      <a:ext cx="0" cy="201074"/>
                                    </a:xfrm>
                                    <a:prstGeom prst="line">
                                      <a:avLst/>
                                    </a:prstGeom>
                                    <a:ln w="3175"/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</xdr:grpSp>
                              <xdr:cxnSp macro="">
                                <xdr:nvCxnSpPr>
                                  <xdr:cNvPr id="354" name="직선 연결선 207">
                                    <a:extLst>
                                      <a:ext uri="{FF2B5EF4-FFF2-40B4-BE49-F238E27FC236}">
                                        <a16:creationId xmlns:a16="http://schemas.microsoft.com/office/drawing/2014/main" id="{1D3D4D51-E6D8-48B9-858F-744DA6222618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 flipH="1">
                                    <a:off x="673897" y="6105521"/>
                                    <a:ext cx="145253" cy="0"/>
                                  </a:xfrm>
                                  <a:prstGeom prst="line">
                                    <a:avLst/>
                                  </a:prstGeom>
                                  <a:ln w="3175">
                                    <a:tailEnd type="oval" w="sm" len="sm"/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  <xdr:cxnSp macro="">
                                <xdr:nvCxnSpPr>
                                  <xdr:cNvPr id="355" name="직선 연결선 208">
                                    <a:extLst>
                                      <a:ext uri="{FF2B5EF4-FFF2-40B4-BE49-F238E27FC236}">
                                        <a16:creationId xmlns:a16="http://schemas.microsoft.com/office/drawing/2014/main" id="{CC5E077B-CF6F-47CF-8132-0365147D8E1A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>
                                    <a:off x="673894" y="6079331"/>
                                    <a:ext cx="0" cy="227292"/>
                                  </a:xfrm>
                                  <a:prstGeom prst="line">
                                    <a:avLst/>
                                  </a:prstGeom>
                                  <a:ln w="3175"/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  <xdr:cxnSp macro="">
                                <xdr:nvCxnSpPr>
                                  <xdr:cNvPr id="356" name="직선 연결선 207">
                                    <a:extLst>
                                      <a:ext uri="{FF2B5EF4-FFF2-40B4-BE49-F238E27FC236}">
                                        <a16:creationId xmlns:a16="http://schemas.microsoft.com/office/drawing/2014/main" id="{14CC4577-800D-4D5E-B9A3-1BF34B91D324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 flipH="1">
                                    <a:off x="673894" y="6172199"/>
                                    <a:ext cx="610143" cy="0"/>
                                  </a:xfrm>
                                  <a:prstGeom prst="line">
                                    <a:avLst/>
                                  </a:prstGeom>
                                  <a:ln w="3175">
                                    <a:tailEnd type="oval" w="sm" len="sm"/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</xdr:grpSp>
                            <xdr:sp macro="" textlink="">
                              <xdr:nvSpPr>
                                <xdr:cNvPr id="352" name="TextBox 351">
                                  <a:extLst>
                                    <a:ext uri="{FF2B5EF4-FFF2-40B4-BE49-F238E27FC236}">
                                      <a16:creationId xmlns:a16="http://schemas.microsoft.com/office/drawing/2014/main" id="{52B7C58E-E279-4F22-8DBB-4C3A332E5509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442080" y="6191083"/>
                                  <a:ext cx="365082" cy="145063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wrap="square" rtlCol="0" anchor="ctr"/>
                                <a:lstStyle/>
                                <a:p>
                                  <a:r>
                                    <a:rPr lang="en-US" sz="900"/>
                                    <a:t>H</a:t>
                                  </a:r>
                                  <a:r>
                                    <a:rPr lang="en-US" sz="600"/>
                                    <a:t>sb</a:t>
                                  </a:r>
                                  <a:endParaRPr lang="en-US" sz="800"/>
                                </a:p>
                              </xdr:txBody>
                            </xdr:sp>
                          </xdr:grpSp>
                          <xdr:cxnSp macro="">
                            <xdr:nvCxnSpPr>
                              <xdr:cNvPr id="346" name="직선 화살표 연결선 274">
                                <a:extLst>
                                  <a:ext uri="{FF2B5EF4-FFF2-40B4-BE49-F238E27FC236}">
                                    <a16:creationId xmlns:a16="http://schemas.microsoft.com/office/drawing/2014/main" id="{C07849F1-40D2-44A9-B92F-131142DA5CCF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5659942" y="5241503"/>
                                <a:ext cx="378865" cy="0"/>
                              </a:xfrm>
                              <a:prstGeom prst="straightConnector1">
                                <a:avLst/>
                              </a:prstGeom>
                              <a:ln w="19050">
                                <a:solidFill>
                                  <a:srgbClr val="FF0000"/>
                                </a:solidFill>
                                <a:tailEnd type="stealth" w="lg" len="lg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347" name="TextBox 346">
                                <a:extLst>
                                  <a:ext uri="{FF2B5EF4-FFF2-40B4-BE49-F238E27FC236}">
                                    <a16:creationId xmlns:a16="http://schemas.microsoft.com/office/drawing/2014/main" id="{79EC6B1D-7B1A-44C7-8B5D-2E22BDD0407D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642102" y="5053315"/>
                                <a:ext cx="468999" cy="190064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sz="900"/>
                                  <a:t>P</a:t>
                                </a:r>
                                <a:r>
                                  <a:rPr lang="en-US" sz="600" baseline="0"/>
                                  <a:t>st</a:t>
                                </a:r>
                              </a:p>
                            </xdr:txBody>
                          </xdr:sp>
                          <xdr:cxnSp macro="">
                            <xdr:nvCxnSpPr>
                              <xdr:cNvPr id="348" name="직선 화살표 연결선 266">
                                <a:extLst>
                                  <a:ext uri="{FF2B5EF4-FFF2-40B4-BE49-F238E27FC236}">
                                    <a16:creationId xmlns:a16="http://schemas.microsoft.com/office/drawing/2014/main" id="{8E9900C9-04A0-4151-8C9C-B8A8B5F1051C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5254530" y="6085907"/>
                                <a:ext cx="355810" cy="0"/>
                              </a:xfrm>
                              <a:prstGeom prst="straightConnector1">
                                <a:avLst/>
                              </a:prstGeom>
                              <a:ln w="19050">
                                <a:solidFill>
                                  <a:srgbClr val="FF0000"/>
                                </a:solidFill>
                                <a:tailEnd type="stealth" w="lg" len="lg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349" name="TextBox 348">
                                <a:extLst>
                                  <a:ext uri="{FF2B5EF4-FFF2-40B4-BE49-F238E27FC236}">
                                    <a16:creationId xmlns:a16="http://schemas.microsoft.com/office/drawing/2014/main" id="{47310F6F-8EBA-4163-BC2C-AFC578CC74A4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557985" y="5989641"/>
                                <a:ext cx="395025" cy="168529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sz="900"/>
                                  <a:t>P</a:t>
                                </a:r>
                                <a:r>
                                  <a:rPr lang="en-US" sz="600"/>
                                  <a:t>sb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341" name="직선 연결선 207">
                              <a:extLst>
                                <a:ext uri="{FF2B5EF4-FFF2-40B4-BE49-F238E27FC236}">
                                  <a16:creationId xmlns:a16="http://schemas.microsoft.com/office/drawing/2014/main" id="{BCE467DD-BFFF-493B-9850-8BDA41B0549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432955" y="5070980"/>
                              <a:ext cx="251655" cy="0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42" name="직선 연결선 207">
                              <a:extLst>
                                <a:ext uri="{FF2B5EF4-FFF2-40B4-BE49-F238E27FC236}">
                                  <a16:creationId xmlns:a16="http://schemas.microsoft.com/office/drawing/2014/main" id="{6A345395-4352-42D3-BFBD-B530E1239D9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435661" y="4925724"/>
                              <a:ext cx="252521" cy="0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43" name="직선 연결선 208">
                              <a:extLst>
                                <a:ext uri="{FF2B5EF4-FFF2-40B4-BE49-F238E27FC236}">
                                  <a16:creationId xmlns:a16="http://schemas.microsoft.com/office/drawing/2014/main" id="{C89420F8-BA64-41A8-88C8-E440A5D30B8D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35660" y="4932976"/>
                              <a:ext cx="0" cy="14071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344" name="TextBox 343">
                              <a:extLst>
                                <a:ext uri="{FF2B5EF4-FFF2-40B4-BE49-F238E27FC236}">
                                  <a16:creationId xmlns:a16="http://schemas.microsoft.com/office/drawing/2014/main" id="{5EDB7BC8-5419-4963-8DA6-F9692001E92C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33991" y="4911329"/>
                              <a:ext cx="330937" cy="14421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sz="900"/>
                                <a:t>c</a:t>
                              </a:r>
                              <a:r>
                                <a:rPr lang="en-US" sz="600"/>
                                <a:t>rb</a:t>
                              </a:r>
                              <a:endParaRPr lang="en-US" sz="800"/>
                            </a:p>
                          </xdr:txBody>
                        </xdr:sp>
                      </xdr:grpSp>
                      <xdr:cxnSp macro="">
                        <xdr:nvCxnSpPr>
                          <xdr:cNvPr id="337" name="직선 연결선 207">
                            <a:extLst>
                              <a:ext uri="{FF2B5EF4-FFF2-40B4-BE49-F238E27FC236}">
                                <a16:creationId xmlns:a16="http://schemas.microsoft.com/office/drawing/2014/main" id="{F07AF4F4-D533-46E1-97D1-45F084B7A16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581782" y="4970859"/>
                            <a:ext cx="113649" cy="0"/>
                          </a:xfrm>
                          <a:prstGeom prst="line">
                            <a:avLst/>
                          </a:prstGeom>
                          <a:ln w="3175"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8" name="직선 연결선 207">
                            <a:extLst>
                              <a:ext uri="{FF2B5EF4-FFF2-40B4-BE49-F238E27FC236}">
                                <a16:creationId xmlns:a16="http://schemas.microsoft.com/office/drawing/2014/main" id="{A97AB7AD-2199-40F7-B6D2-B9BBA133C6D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581783" y="4924858"/>
                            <a:ext cx="113649" cy="0"/>
                          </a:xfrm>
                          <a:prstGeom prst="line">
                            <a:avLst/>
                          </a:prstGeom>
                          <a:ln w="3175"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9" name="직선 연결선 208">
                            <a:extLst>
                              <a:ext uri="{FF2B5EF4-FFF2-40B4-BE49-F238E27FC236}">
                                <a16:creationId xmlns:a16="http://schemas.microsoft.com/office/drawing/2014/main" id="{463C7F56-A3A6-4312-9025-0C69AFEBBB8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9077" y="4824737"/>
                            <a:ext cx="0" cy="140710"/>
                          </a:xfrm>
                          <a:prstGeom prst="line">
                            <a:avLst/>
                          </a:prstGeom>
                          <a:ln w="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335" name="TextBox 334">
                          <a:extLst>
                            <a:ext uri="{FF2B5EF4-FFF2-40B4-BE49-F238E27FC236}">
                              <a16:creationId xmlns:a16="http://schemas.microsoft.com/office/drawing/2014/main" id="{AA34F019-9AAB-4A0C-96D6-4263D90357AC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03310" y="4685573"/>
                          <a:ext cx="330937" cy="144213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sz="900"/>
                            <a:t>c</a:t>
                          </a:r>
                          <a:r>
                            <a:rPr lang="en-US" sz="600"/>
                            <a:t>rt</a:t>
                          </a:r>
                          <a:endParaRPr lang="en-US" sz="800"/>
                        </a:p>
                      </xdr:txBody>
                    </xdr:sp>
                  </xdr:grpSp>
                  <xdr:sp macro="" textlink="">
                    <xdr:nvSpPr>
                      <xdr:cNvPr id="332" name="TextBox 331">
                        <a:extLst>
                          <a:ext uri="{FF2B5EF4-FFF2-40B4-BE49-F238E27FC236}">
                            <a16:creationId xmlns:a16="http://schemas.microsoft.com/office/drawing/2014/main" id="{952D0B37-4354-40BC-82FF-315867E6DA6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33750" y="467747"/>
                        <a:ext cx="1122589" cy="22743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Positive moment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333" name="TextBox 332">
                        <a:extLst>
                          <a:ext uri="{FF2B5EF4-FFF2-40B4-BE49-F238E27FC236}">
                            <a16:creationId xmlns:a16="http://schemas.microsoft.com/office/drawing/2014/main" id="{739D2D97-DE60-4D22-8758-89CA32E4F6F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788013" y="450737"/>
                        <a:ext cx="1122589" cy="22743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Negative moment</a:t>
                        </a:r>
                        <a:endParaRPr lang="en-US" sz="600"/>
                      </a:p>
                    </xdr:txBody>
                  </xdr:sp>
                </xdr:grpSp>
                <xdr:grpSp>
                  <xdr:nvGrpSpPr>
                    <xdr:cNvPr id="324" name="Group 323">
                      <a:extLst>
                        <a:ext uri="{FF2B5EF4-FFF2-40B4-BE49-F238E27FC236}">
                          <a16:creationId xmlns:a16="http://schemas.microsoft.com/office/drawing/2014/main" id="{C9E994FA-7B62-4576-ABEF-7CC36FFB989C}"/>
                        </a:ext>
                      </a:extLst>
                    </xdr:cNvPr>
                    <xdr:cNvGrpSpPr/>
                  </xdr:nvGrpSpPr>
                  <xdr:grpSpPr>
                    <a:xfrm>
                      <a:off x="5998369" y="6157912"/>
                      <a:ext cx="570551" cy="435557"/>
                      <a:chOff x="5998369" y="6157912"/>
                      <a:chExt cx="570551" cy="435557"/>
                    </a:xfrm>
                  </xdr:grpSpPr>
                  <xdr:cxnSp macro="">
                    <xdr:nvCxnSpPr>
                      <xdr:cNvPr id="325" name="직선 화살표 연결선 266">
                        <a:extLst>
                          <a:ext uri="{FF2B5EF4-FFF2-40B4-BE49-F238E27FC236}">
                            <a16:creationId xmlns:a16="http://schemas.microsoft.com/office/drawing/2014/main" id="{718678EE-646A-49E6-9484-C7B0B897915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6003131" y="6444865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6" name="TextBox 325">
                        <a:extLst>
                          <a:ext uri="{FF2B5EF4-FFF2-40B4-BE49-F238E27FC236}">
                            <a16:creationId xmlns:a16="http://schemas.microsoft.com/office/drawing/2014/main" id="{DC788586-8F25-44C4-B41D-7C059CB0A40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76216" y="6424612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r3</a:t>
                        </a:r>
                      </a:p>
                    </xdr:txBody>
                  </xdr:sp>
                  <xdr:cxnSp macro="">
                    <xdr:nvCxnSpPr>
                      <xdr:cNvPr id="327" name="직선 화살표 연결선 266">
                        <a:extLst>
                          <a:ext uri="{FF2B5EF4-FFF2-40B4-BE49-F238E27FC236}">
                            <a16:creationId xmlns:a16="http://schemas.microsoft.com/office/drawing/2014/main" id="{D1657D45-D59A-4A05-A276-2CA2D5EC2050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6000750" y="6378190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8" name="TextBox 327">
                        <a:extLst>
                          <a:ext uri="{FF2B5EF4-FFF2-40B4-BE49-F238E27FC236}">
                            <a16:creationId xmlns:a16="http://schemas.microsoft.com/office/drawing/2014/main" id="{76089568-B3E7-416F-A04C-249C6058C99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73835" y="6274593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r2</a:t>
                        </a:r>
                      </a:p>
                    </xdr:txBody>
                  </xdr:sp>
                  <xdr:cxnSp macro="">
                    <xdr:nvCxnSpPr>
                      <xdr:cNvPr id="329" name="직선 화살표 연결선 266">
                        <a:extLst>
                          <a:ext uri="{FF2B5EF4-FFF2-40B4-BE49-F238E27FC236}">
                            <a16:creationId xmlns:a16="http://schemas.microsoft.com/office/drawing/2014/main" id="{1AF5FEC0-C030-4855-B483-314B272B1D5A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5998369" y="6301990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30" name="TextBox 329">
                        <a:extLst>
                          <a:ext uri="{FF2B5EF4-FFF2-40B4-BE49-F238E27FC236}">
                            <a16:creationId xmlns:a16="http://schemas.microsoft.com/office/drawing/2014/main" id="{5651182D-7D5A-45B2-8D8F-D897781E513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57166" y="6157912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r1</a:t>
                        </a:r>
                      </a:p>
                    </xdr:txBody>
                  </xdr:sp>
                </xdr:grpSp>
              </xdr:grpSp>
            </xdr:grpSp>
          </xdr:grpSp>
          <xdr:cxnSp macro="">
            <xdr:nvCxnSpPr>
              <xdr:cNvPr id="314" name="Straight Connector 313">
                <a:extLst>
                  <a:ext uri="{FF2B5EF4-FFF2-40B4-BE49-F238E27FC236}">
                    <a16:creationId xmlns:a16="http://schemas.microsoft.com/office/drawing/2014/main" id="{A0F5CF61-A9F5-468D-9635-E65A334FA74C}"/>
                  </a:ext>
                </a:extLst>
              </xdr:cNvPr>
              <xdr:cNvCxnSpPr/>
            </xdr:nvCxnSpPr>
            <xdr:spPr>
              <a:xfrm>
                <a:off x="1545433" y="8970169"/>
                <a:ext cx="0" cy="90487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Straight Connector 314">
                <a:extLst>
                  <a:ext uri="{FF2B5EF4-FFF2-40B4-BE49-F238E27FC236}">
                    <a16:creationId xmlns:a16="http://schemas.microsoft.com/office/drawing/2014/main" id="{B185D19C-F3A8-43E9-BC34-BA3EA6066272}"/>
                  </a:ext>
                </a:extLst>
              </xdr:cNvPr>
              <xdr:cNvCxnSpPr/>
            </xdr:nvCxnSpPr>
            <xdr:spPr>
              <a:xfrm>
                <a:off x="1719263" y="8970169"/>
                <a:ext cx="0" cy="80963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Straight Connector 315">
                <a:extLst>
                  <a:ext uri="{FF2B5EF4-FFF2-40B4-BE49-F238E27FC236}">
                    <a16:creationId xmlns:a16="http://schemas.microsoft.com/office/drawing/2014/main" id="{45ADA144-030D-4A6E-BF64-A8E65A039F45}"/>
                  </a:ext>
                </a:extLst>
              </xdr:cNvPr>
              <xdr:cNvCxnSpPr/>
            </xdr:nvCxnSpPr>
            <xdr:spPr>
              <a:xfrm>
                <a:off x="1909767" y="8970169"/>
                <a:ext cx="0" cy="80963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직선 연결선 254">
                <a:extLst>
                  <a:ext uri="{FF2B5EF4-FFF2-40B4-BE49-F238E27FC236}">
                    <a16:creationId xmlns:a16="http://schemas.microsoft.com/office/drawing/2014/main" id="{97669E10-1713-4F8B-B4DB-C4CE4009B9AD}"/>
                  </a:ext>
                </a:extLst>
              </xdr:cNvPr>
              <xdr:cNvCxnSpPr/>
            </xdr:nvCxnSpPr>
            <xdr:spPr>
              <a:xfrm>
                <a:off x="1262063" y="906303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10" name="직선 연결선 238">
              <a:extLst>
                <a:ext uri="{FF2B5EF4-FFF2-40B4-BE49-F238E27FC236}">
                  <a16:creationId xmlns:a16="http://schemas.microsoft.com/office/drawing/2014/main" id="{967A2FB7-9C51-4458-B30E-D4747C686293}"/>
                </a:ext>
              </a:extLst>
            </xdr:cNvPr>
            <xdr:cNvCxnSpPr/>
          </xdr:nvCxnSpPr>
          <xdr:spPr>
            <a:xfrm>
              <a:off x="1410535" y="8855868"/>
              <a:ext cx="662702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1" name="직선 연결선 238">
              <a:extLst>
                <a:ext uri="{FF2B5EF4-FFF2-40B4-BE49-F238E27FC236}">
                  <a16:creationId xmlns:a16="http://schemas.microsoft.com/office/drawing/2014/main" id="{96E6E23A-14EB-4216-9BD7-96BC4FF41A17}"/>
                </a:ext>
              </a:extLst>
            </xdr:cNvPr>
            <xdr:cNvCxnSpPr/>
          </xdr:nvCxnSpPr>
          <xdr:spPr>
            <a:xfrm>
              <a:off x="1419225" y="8934450"/>
              <a:ext cx="655560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2" name="직선 연결선 238">
              <a:extLst>
                <a:ext uri="{FF2B5EF4-FFF2-40B4-BE49-F238E27FC236}">
                  <a16:creationId xmlns:a16="http://schemas.microsoft.com/office/drawing/2014/main" id="{FDD5C9C4-D78A-47AA-9927-328D55A98AE6}"/>
                </a:ext>
              </a:extLst>
            </xdr:cNvPr>
            <xdr:cNvCxnSpPr/>
          </xdr:nvCxnSpPr>
          <xdr:spPr>
            <a:xfrm>
              <a:off x="1431132" y="9003507"/>
              <a:ext cx="623888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07" name="직선 연결선 216">
            <a:extLst>
              <a:ext uri="{FF2B5EF4-FFF2-40B4-BE49-F238E27FC236}">
                <a16:creationId xmlns:a16="http://schemas.microsoft.com/office/drawing/2014/main" id="{70ABBAD8-59B3-4469-BC29-9A7674A1212B}"/>
              </a:ext>
            </a:extLst>
          </xdr:cNvPr>
          <xdr:cNvCxnSpPr/>
        </xdr:nvCxnSpPr>
        <xdr:spPr>
          <a:xfrm flipH="1">
            <a:off x="216693" y="8089106"/>
            <a:ext cx="403183" cy="0"/>
          </a:xfrm>
          <a:prstGeom prst="line">
            <a:avLst/>
          </a:prstGeom>
          <a:ln w="0"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id="{20447E90-DC83-484A-A6BB-93A786A307F4}"/>
              </a:ext>
            </a:extLst>
          </xdr:cNvPr>
          <xdr:cNvSpPr txBox="1"/>
        </xdr:nvSpPr>
        <xdr:spPr>
          <a:xfrm>
            <a:off x="0" y="7967663"/>
            <a:ext cx="314728" cy="145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t</a:t>
            </a:r>
            <a:r>
              <a:rPr lang="en-US" sz="600"/>
              <a:t>h</a:t>
            </a:r>
          </a:p>
        </xdr:txBody>
      </xdr:sp>
    </xdr:grpSp>
    <xdr:clientData/>
  </xdr:twoCellAnchor>
  <xdr:twoCellAnchor>
    <xdr:from>
      <xdr:col>0</xdr:col>
      <xdr:colOff>327303</xdr:colOff>
      <xdr:row>235</xdr:row>
      <xdr:rowOff>152403</xdr:rowOff>
    </xdr:from>
    <xdr:to>
      <xdr:col>6</xdr:col>
      <xdr:colOff>204159</xdr:colOff>
      <xdr:row>243</xdr:row>
      <xdr:rowOff>76586</xdr:rowOff>
    </xdr:to>
    <xdr:grpSp>
      <xdr:nvGrpSpPr>
        <xdr:cNvPr id="451" name="Group 450">
          <a:extLst>
            <a:ext uri="{FF2B5EF4-FFF2-40B4-BE49-F238E27FC236}">
              <a16:creationId xmlns:a16="http://schemas.microsoft.com/office/drawing/2014/main" id="{1DED39D7-CB40-4A67-A1BB-C429B2946F81}"/>
            </a:ext>
          </a:extLst>
        </xdr:cNvPr>
        <xdr:cNvGrpSpPr/>
      </xdr:nvGrpSpPr>
      <xdr:grpSpPr>
        <a:xfrm>
          <a:off x="327303" y="45148503"/>
          <a:ext cx="2277156" cy="1448183"/>
          <a:chOff x="701974" y="50571300"/>
          <a:chExt cx="2616463" cy="1458213"/>
        </a:xfrm>
      </xdr:grpSpPr>
      <xdr:sp macro="" textlink="">
        <xdr:nvSpPr>
          <xdr:cNvPr id="452" name="TextBox 451">
            <a:extLst>
              <a:ext uri="{FF2B5EF4-FFF2-40B4-BE49-F238E27FC236}">
                <a16:creationId xmlns:a16="http://schemas.microsoft.com/office/drawing/2014/main" id="{4F3BF5DC-765E-4AF7-8F7E-37DDE2273CC8}"/>
              </a:ext>
            </a:extLst>
          </xdr:cNvPr>
          <xdr:cNvSpPr txBox="1"/>
        </xdr:nvSpPr>
        <xdr:spPr>
          <a:xfrm>
            <a:off x="1465574" y="50571300"/>
            <a:ext cx="777917" cy="232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ko-KR" altLang="en-US" sz="900">
                <a:latin typeface="+mj-ea"/>
                <a:ea typeface="+mj-ea"/>
              </a:rPr>
              <a:t>정모멘트</a:t>
            </a:r>
            <a:endParaRPr lang="en-US" sz="900">
              <a:latin typeface="+mj-ea"/>
              <a:ea typeface="+mj-ea"/>
            </a:endParaRPr>
          </a:p>
        </xdr:txBody>
      </xdr:sp>
      <xdr:grpSp>
        <xdr:nvGrpSpPr>
          <xdr:cNvPr id="453" name="Group 452">
            <a:extLst>
              <a:ext uri="{FF2B5EF4-FFF2-40B4-BE49-F238E27FC236}">
                <a16:creationId xmlns:a16="http://schemas.microsoft.com/office/drawing/2014/main" id="{C98103BE-7E98-4CBD-B71B-7AEF3047C576}"/>
              </a:ext>
            </a:extLst>
          </xdr:cNvPr>
          <xdr:cNvGrpSpPr/>
        </xdr:nvGrpSpPr>
        <xdr:grpSpPr>
          <a:xfrm>
            <a:off x="701974" y="50916559"/>
            <a:ext cx="2616463" cy="1112954"/>
            <a:chOff x="701974" y="50916559"/>
            <a:chExt cx="2616463" cy="1112954"/>
          </a:xfrm>
        </xdr:grpSpPr>
        <xdr:grpSp>
          <xdr:nvGrpSpPr>
            <xdr:cNvPr id="454" name="Group 453">
              <a:extLst>
                <a:ext uri="{FF2B5EF4-FFF2-40B4-BE49-F238E27FC236}">
                  <a16:creationId xmlns:a16="http://schemas.microsoft.com/office/drawing/2014/main" id="{9DC75652-582D-444C-8BB8-6E53C89059A9}"/>
                </a:ext>
              </a:extLst>
            </xdr:cNvPr>
            <xdr:cNvGrpSpPr/>
          </xdr:nvGrpSpPr>
          <xdr:grpSpPr>
            <a:xfrm>
              <a:off x="814419" y="50916559"/>
              <a:ext cx="1841586" cy="1088518"/>
              <a:chOff x="1428750" y="50673000"/>
              <a:chExt cx="2112618" cy="1248588"/>
            </a:xfrm>
          </xdr:grpSpPr>
          <xdr:sp macro="" textlink="">
            <xdr:nvSpPr>
              <xdr:cNvPr id="463" name="자유형 240">
                <a:extLst>
                  <a:ext uri="{FF2B5EF4-FFF2-40B4-BE49-F238E27FC236}">
                    <a16:creationId xmlns:a16="http://schemas.microsoft.com/office/drawing/2014/main" id="{8A85A8DB-3B6D-4D6B-BE5B-D325B1FD1AE4}"/>
                  </a:ext>
                </a:extLst>
              </xdr:cNvPr>
              <xdr:cNvSpPr/>
            </xdr:nvSpPr>
            <xdr:spPr>
              <a:xfrm>
                <a:off x="2124437" y="51659705"/>
                <a:ext cx="744444" cy="256143"/>
              </a:xfrm>
              <a:custGeom>
                <a:avLst/>
                <a:gdLst>
                  <a:gd name="connsiteX0" fmla="*/ 0 w 702468"/>
                  <a:gd name="connsiteY0" fmla="*/ 0 h 233363"/>
                  <a:gd name="connsiteX1" fmla="*/ 702468 w 702468"/>
                  <a:gd name="connsiteY1" fmla="*/ 0 h 233363"/>
                  <a:gd name="connsiteX2" fmla="*/ 652462 w 702468"/>
                  <a:gd name="connsiteY2" fmla="*/ 233363 h 233363"/>
                  <a:gd name="connsiteX3" fmla="*/ 40481 w 702468"/>
                  <a:gd name="connsiteY3" fmla="*/ 233363 h 233363"/>
                  <a:gd name="connsiteX4" fmla="*/ 0 w 702468"/>
                  <a:gd name="connsiteY4" fmla="*/ 0 h 23336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702468" h="233363">
                    <a:moveTo>
                      <a:pt x="0" y="0"/>
                    </a:moveTo>
                    <a:lnTo>
                      <a:pt x="702468" y="0"/>
                    </a:lnTo>
                    <a:lnTo>
                      <a:pt x="652462" y="233363"/>
                    </a:lnTo>
                    <a:lnTo>
                      <a:pt x="40481" y="233363"/>
                    </a:lnTo>
                    <a:lnTo>
                      <a:pt x="0" y="0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64" name="직선 연결선 254">
                <a:extLst>
                  <a:ext uri="{FF2B5EF4-FFF2-40B4-BE49-F238E27FC236}">
                    <a16:creationId xmlns:a16="http://schemas.microsoft.com/office/drawing/2014/main" id="{7F8A9A5B-414E-4088-BEFA-5D3E61A82E52}"/>
                  </a:ext>
                </a:extLst>
              </xdr:cNvPr>
              <xdr:cNvCxnSpPr/>
            </xdr:nvCxnSpPr>
            <xdr:spPr>
              <a:xfrm>
                <a:off x="2033231" y="5192158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5" name="직선 연결선 255">
                <a:extLst>
                  <a:ext uri="{FF2B5EF4-FFF2-40B4-BE49-F238E27FC236}">
                    <a16:creationId xmlns:a16="http://schemas.microsoft.com/office/drawing/2014/main" id="{5E12B72B-15C3-4765-8AE5-003783D03291}"/>
                  </a:ext>
                </a:extLst>
              </xdr:cNvPr>
              <xdr:cNvCxnSpPr/>
            </xdr:nvCxnSpPr>
            <xdr:spPr>
              <a:xfrm flipH="1" flipV="1">
                <a:off x="1961788" y="50922343"/>
                <a:ext cx="204725" cy="996011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6" name="직선 연결선 256">
                <a:extLst>
                  <a:ext uri="{FF2B5EF4-FFF2-40B4-BE49-F238E27FC236}">
                    <a16:creationId xmlns:a16="http://schemas.microsoft.com/office/drawing/2014/main" id="{FC0282EE-996A-4C2F-98CF-5AC22F11E43A}"/>
                  </a:ext>
                </a:extLst>
              </xdr:cNvPr>
              <xdr:cNvCxnSpPr/>
            </xdr:nvCxnSpPr>
            <xdr:spPr>
              <a:xfrm flipV="1">
                <a:off x="2827193" y="50933277"/>
                <a:ext cx="188399" cy="982308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7" name="자유형 253">
                <a:extLst>
                  <a:ext uri="{FF2B5EF4-FFF2-40B4-BE49-F238E27FC236}">
                    <a16:creationId xmlns:a16="http://schemas.microsoft.com/office/drawing/2014/main" id="{B963BA54-5710-457C-A45F-99E43FF3B6BE}"/>
                  </a:ext>
                </a:extLst>
              </xdr:cNvPr>
              <xdr:cNvSpPr/>
            </xdr:nvSpPr>
            <xdr:spPr>
              <a:xfrm>
                <a:off x="1428750" y="50673000"/>
                <a:ext cx="2112618" cy="276369"/>
              </a:xfrm>
              <a:custGeom>
                <a:avLst/>
                <a:gdLst>
                  <a:gd name="connsiteX0" fmla="*/ 270761 w 2267627"/>
                  <a:gd name="connsiteY0" fmla="*/ 169226 h 234499"/>
                  <a:gd name="connsiteX1" fmla="*/ 0 w 2267627"/>
                  <a:gd name="connsiteY1" fmla="*/ 169226 h 234499"/>
                  <a:gd name="connsiteX2" fmla="*/ 0 w 2267627"/>
                  <a:gd name="connsiteY2" fmla="*/ 0 h 234499"/>
                  <a:gd name="connsiteX3" fmla="*/ 2267627 w 2267627"/>
                  <a:gd name="connsiteY3" fmla="*/ 0 h 234499"/>
                  <a:gd name="connsiteX4" fmla="*/ 2267627 w 2267627"/>
                  <a:gd name="connsiteY4" fmla="*/ 164391 h 234499"/>
                  <a:gd name="connsiteX5" fmla="*/ 1996865 w 2267627"/>
                  <a:gd name="connsiteY5" fmla="*/ 164391 h 234499"/>
                  <a:gd name="connsiteX6" fmla="*/ 1926757 w 2267627"/>
                  <a:gd name="connsiteY6" fmla="*/ 234499 h 234499"/>
                  <a:gd name="connsiteX7" fmla="*/ 336034 w 2267627"/>
                  <a:gd name="connsiteY7" fmla="*/ 234499 h 234499"/>
                  <a:gd name="connsiteX8" fmla="*/ 270761 w 2267627"/>
                  <a:gd name="connsiteY8" fmla="*/ 169226 h 2344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267627" h="234499">
                    <a:moveTo>
                      <a:pt x="270761" y="169226"/>
                    </a:moveTo>
                    <a:lnTo>
                      <a:pt x="0" y="169226"/>
                    </a:lnTo>
                    <a:lnTo>
                      <a:pt x="0" y="0"/>
                    </a:lnTo>
                    <a:lnTo>
                      <a:pt x="2267627" y="0"/>
                    </a:lnTo>
                    <a:lnTo>
                      <a:pt x="2267627" y="164391"/>
                    </a:lnTo>
                    <a:lnTo>
                      <a:pt x="1996865" y="164391"/>
                    </a:lnTo>
                    <a:lnTo>
                      <a:pt x="1926757" y="234499"/>
                    </a:lnTo>
                    <a:lnTo>
                      <a:pt x="336034" y="234499"/>
                    </a:lnTo>
                    <a:lnTo>
                      <a:pt x="270761" y="169226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68" name="직선 연결선 251">
                <a:extLst>
                  <a:ext uri="{FF2B5EF4-FFF2-40B4-BE49-F238E27FC236}">
                    <a16:creationId xmlns:a16="http://schemas.microsoft.com/office/drawing/2014/main" id="{75C5FABB-E7A0-4757-B564-AE93297AF146}"/>
                  </a:ext>
                </a:extLst>
              </xdr:cNvPr>
              <xdr:cNvCxnSpPr/>
            </xdr:nvCxnSpPr>
            <xdr:spPr>
              <a:xfrm>
                <a:off x="1838092" y="50915449"/>
                <a:ext cx="130386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55" name="Straight Connector 454">
              <a:extLst>
                <a:ext uri="{FF2B5EF4-FFF2-40B4-BE49-F238E27FC236}">
                  <a16:creationId xmlns:a16="http://schemas.microsoft.com/office/drawing/2014/main" id="{B82D30D4-8F27-4833-A60F-410616A0E455}"/>
                </a:ext>
              </a:extLst>
            </xdr:cNvPr>
            <xdr:cNvCxnSpPr/>
          </xdr:nvCxnSpPr>
          <xdr:spPr>
            <a:xfrm>
              <a:off x="789488" y="51248840"/>
              <a:ext cx="2183079" cy="0"/>
            </a:xfrm>
            <a:prstGeom prst="line">
              <a:avLst/>
            </a:prstGeom>
            <a:ln>
              <a:solidFill>
                <a:srgbClr val="FF000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BC942F2-4869-4D24-A03D-23CD79448707}"/>
                </a:ext>
              </a:extLst>
            </xdr:cNvPr>
            <xdr:cNvCxnSpPr/>
          </xdr:nvCxnSpPr>
          <xdr:spPr>
            <a:xfrm flipH="1">
              <a:off x="2699086" y="50921237"/>
              <a:ext cx="37895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83C273C2-6BD8-4CC1-9BB0-354007F692D0}"/>
                </a:ext>
              </a:extLst>
            </xdr:cNvPr>
            <xdr:cNvCxnSpPr/>
          </xdr:nvCxnSpPr>
          <xdr:spPr>
            <a:xfrm>
              <a:off x="2853403" y="50923591"/>
              <a:ext cx="0" cy="327056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8" name="TextBox 457">
              <a:extLst>
                <a:ext uri="{FF2B5EF4-FFF2-40B4-BE49-F238E27FC236}">
                  <a16:creationId xmlns:a16="http://schemas.microsoft.com/office/drawing/2014/main" id="{645B416B-51A9-45CC-AC88-1AD153308C41}"/>
                </a:ext>
              </a:extLst>
            </xdr:cNvPr>
            <xdr:cNvSpPr txBox="1"/>
          </xdr:nvSpPr>
          <xdr:spPr>
            <a:xfrm>
              <a:off x="701974" y="51102392"/>
              <a:ext cx="430427" cy="166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PNA</a:t>
              </a:r>
              <a:endParaRPr lang="en-US" sz="600"/>
            </a:p>
          </xdr:txBody>
        </xdr:sp>
        <xdr:sp macro="" textlink="">
          <xdr:nvSpPr>
            <xdr:cNvPr id="459" name="TextBox 458">
              <a:extLst>
                <a:ext uri="{FF2B5EF4-FFF2-40B4-BE49-F238E27FC236}">
                  <a16:creationId xmlns:a16="http://schemas.microsoft.com/office/drawing/2014/main" id="{E594A58F-624D-4FD4-9AA1-2DF6610FFF83}"/>
                </a:ext>
              </a:extLst>
            </xdr:cNvPr>
            <xdr:cNvSpPr txBox="1"/>
          </xdr:nvSpPr>
          <xdr:spPr>
            <a:xfrm>
              <a:off x="2783316" y="50966405"/>
              <a:ext cx="350897" cy="228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p</a:t>
              </a:r>
              <a:endParaRPr lang="en-US" sz="900"/>
            </a:p>
          </xdr:txBody>
        </xdr: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7233D578-1B43-4EBE-A1FC-33437415F8BB}"/>
                </a:ext>
              </a:extLst>
            </xdr:cNvPr>
            <xdr:cNvCxnSpPr/>
          </xdr:nvCxnSpPr>
          <xdr:spPr>
            <a:xfrm flipH="1">
              <a:off x="2211847" y="52029513"/>
              <a:ext cx="866198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1" name="Straight Connector 460">
              <a:extLst>
                <a:ext uri="{FF2B5EF4-FFF2-40B4-BE49-F238E27FC236}">
                  <a16:creationId xmlns:a16="http://schemas.microsoft.com/office/drawing/2014/main" id="{BD21096C-B729-47D9-8D01-B289BB127697}"/>
                </a:ext>
              </a:extLst>
            </xdr:cNvPr>
            <xdr:cNvCxnSpPr/>
          </xdr:nvCxnSpPr>
          <xdr:spPr>
            <a:xfrm>
              <a:off x="3071653" y="50917198"/>
              <a:ext cx="0" cy="1112315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62" name="TextBox 461">
              <a:extLst>
                <a:ext uri="{FF2B5EF4-FFF2-40B4-BE49-F238E27FC236}">
                  <a16:creationId xmlns:a16="http://schemas.microsoft.com/office/drawing/2014/main" id="{F3FBFF48-6589-4543-BBB0-6406DAE5D98C}"/>
                </a:ext>
              </a:extLst>
            </xdr:cNvPr>
            <xdr:cNvSpPr txBox="1"/>
          </xdr:nvSpPr>
          <xdr:spPr>
            <a:xfrm>
              <a:off x="3007727" y="51374271"/>
              <a:ext cx="310710" cy="2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t</a:t>
              </a:r>
              <a:endParaRPr lang="en-US" sz="900"/>
            </a:p>
          </xdr:txBody>
        </xdr:sp>
      </xdr:grpSp>
    </xdr:grpSp>
    <xdr:clientData/>
  </xdr:twoCellAnchor>
  <xdr:twoCellAnchor>
    <xdr:from>
      <xdr:col>7</xdr:col>
      <xdr:colOff>355589</xdr:colOff>
      <xdr:row>235</xdr:row>
      <xdr:rowOff>169297</xdr:rowOff>
    </xdr:from>
    <xdr:to>
      <xdr:col>12</xdr:col>
      <xdr:colOff>365903</xdr:colOff>
      <xdr:row>243</xdr:row>
      <xdr:rowOff>69205</xdr:rowOff>
    </xdr:to>
    <xdr:grpSp>
      <xdr:nvGrpSpPr>
        <xdr:cNvPr id="469" name="Group 468">
          <a:extLst>
            <a:ext uri="{FF2B5EF4-FFF2-40B4-BE49-F238E27FC236}">
              <a16:creationId xmlns:a16="http://schemas.microsoft.com/office/drawing/2014/main" id="{4A8E2373-996E-455E-BF91-718E91924A7A}"/>
            </a:ext>
          </a:extLst>
        </xdr:cNvPr>
        <xdr:cNvGrpSpPr/>
      </xdr:nvGrpSpPr>
      <xdr:grpSpPr>
        <a:xfrm>
          <a:off x="3155939" y="45165397"/>
          <a:ext cx="2010564" cy="1423908"/>
          <a:chOff x="744784" y="50571300"/>
          <a:chExt cx="2297296" cy="1433777"/>
        </a:xfrm>
      </xdr:grpSpPr>
      <xdr:sp macro="" textlink="">
        <xdr:nvSpPr>
          <xdr:cNvPr id="470" name="TextBox 469">
            <a:extLst>
              <a:ext uri="{FF2B5EF4-FFF2-40B4-BE49-F238E27FC236}">
                <a16:creationId xmlns:a16="http://schemas.microsoft.com/office/drawing/2014/main" id="{9D1DE085-AAF8-4C81-A43A-C52D3606EC8D}"/>
              </a:ext>
            </a:extLst>
          </xdr:cNvPr>
          <xdr:cNvSpPr txBox="1"/>
        </xdr:nvSpPr>
        <xdr:spPr>
          <a:xfrm>
            <a:off x="1465574" y="50571300"/>
            <a:ext cx="777917" cy="232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ko-KR" altLang="en-US" sz="900">
                <a:latin typeface="+mj-ea"/>
                <a:ea typeface="+mj-ea"/>
              </a:rPr>
              <a:t>부모멘트</a:t>
            </a:r>
            <a:endParaRPr lang="en-US" sz="900">
              <a:latin typeface="+mj-ea"/>
              <a:ea typeface="+mj-ea"/>
            </a:endParaRPr>
          </a:p>
        </xdr:txBody>
      </xdr:sp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69B51B27-4908-45E6-A010-1A074EA68622}"/>
              </a:ext>
            </a:extLst>
          </xdr:cNvPr>
          <xdr:cNvGrpSpPr/>
        </xdr:nvGrpSpPr>
        <xdr:grpSpPr>
          <a:xfrm>
            <a:off x="744784" y="50916559"/>
            <a:ext cx="2297296" cy="1088518"/>
            <a:chOff x="744784" y="50916559"/>
            <a:chExt cx="2297296" cy="1088518"/>
          </a:xfrm>
        </xdr:grpSpPr>
        <xdr:grpSp>
          <xdr:nvGrpSpPr>
            <xdr:cNvPr id="472" name="Group 471">
              <a:extLst>
                <a:ext uri="{FF2B5EF4-FFF2-40B4-BE49-F238E27FC236}">
                  <a16:creationId xmlns:a16="http://schemas.microsoft.com/office/drawing/2014/main" id="{DFF98691-7B94-4485-BE2B-AA339A27BA72}"/>
                </a:ext>
              </a:extLst>
            </xdr:cNvPr>
            <xdr:cNvGrpSpPr/>
          </xdr:nvGrpSpPr>
          <xdr:grpSpPr>
            <a:xfrm>
              <a:off x="814419" y="50916559"/>
              <a:ext cx="1841586" cy="1088518"/>
              <a:chOff x="1428750" y="50673000"/>
              <a:chExt cx="2112618" cy="1248588"/>
            </a:xfrm>
          </xdr:grpSpPr>
          <xdr:sp macro="" textlink="">
            <xdr:nvSpPr>
              <xdr:cNvPr id="481" name="자유형 240">
                <a:extLst>
                  <a:ext uri="{FF2B5EF4-FFF2-40B4-BE49-F238E27FC236}">
                    <a16:creationId xmlns:a16="http://schemas.microsoft.com/office/drawing/2014/main" id="{A834435B-39E5-4593-A78F-758C5622053A}"/>
                  </a:ext>
                </a:extLst>
              </xdr:cNvPr>
              <xdr:cNvSpPr/>
            </xdr:nvSpPr>
            <xdr:spPr>
              <a:xfrm>
                <a:off x="2121713" y="51659705"/>
                <a:ext cx="751128" cy="233047"/>
              </a:xfrm>
              <a:custGeom>
                <a:avLst/>
                <a:gdLst>
                  <a:gd name="connsiteX0" fmla="*/ 0 w 702468"/>
                  <a:gd name="connsiteY0" fmla="*/ 0 h 233363"/>
                  <a:gd name="connsiteX1" fmla="*/ 702468 w 702468"/>
                  <a:gd name="connsiteY1" fmla="*/ 0 h 233363"/>
                  <a:gd name="connsiteX2" fmla="*/ 652462 w 702468"/>
                  <a:gd name="connsiteY2" fmla="*/ 233363 h 233363"/>
                  <a:gd name="connsiteX3" fmla="*/ 40481 w 702468"/>
                  <a:gd name="connsiteY3" fmla="*/ 233363 h 233363"/>
                  <a:gd name="connsiteX4" fmla="*/ 0 w 702468"/>
                  <a:gd name="connsiteY4" fmla="*/ 0 h 23336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702468" h="233363">
                    <a:moveTo>
                      <a:pt x="0" y="0"/>
                    </a:moveTo>
                    <a:lnTo>
                      <a:pt x="702468" y="0"/>
                    </a:lnTo>
                    <a:lnTo>
                      <a:pt x="652462" y="233363"/>
                    </a:lnTo>
                    <a:lnTo>
                      <a:pt x="40481" y="233363"/>
                    </a:lnTo>
                    <a:lnTo>
                      <a:pt x="0" y="0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82" name="직선 연결선 254">
                <a:extLst>
                  <a:ext uri="{FF2B5EF4-FFF2-40B4-BE49-F238E27FC236}">
                    <a16:creationId xmlns:a16="http://schemas.microsoft.com/office/drawing/2014/main" id="{7E389EAD-429B-4F82-A4BF-00FBAD79ACD5}"/>
                  </a:ext>
                </a:extLst>
              </xdr:cNvPr>
              <xdr:cNvCxnSpPr/>
            </xdr:nvCxnSpPr>
            <xdr:spPr>
              <a:xfrm>
                <a:off x="2033231" y="5192158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3" name="직선 연결선 255">
                <a:extLst>
                  <a:ext uri="{FF2B5EF4-FFF2-40B4-BE49-F238E27FC236}">
                    <a16:creationId xmlns:a16="http://schemas.microsoft.com/office/drawing/2014/main" id="{7E5563DE-8821-43A3-9DD0-203D067AE980}"/>
                  </a:ext>
                </a:extLst>
              </xdr:cNvPr>
              <xdr:cNvCxnSpPr/>
            </xdr:nvCxnSpPr>
            <xdr:spPr>
              <a:xfrm flipH="1" flipV="1">
                <a:off x="1961788" y="50922343"/>
                <a:ext cx="204725" cy="996011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4" name="직선 연결선 256">
                <a:extLst>
                  <a:ext uri="{FF2B5EF4-FFF2-40B4-BE49-F238E27FC236}">
                    <a16:creationId xmlns:a16="http://schemas.microsoft.com/office/drawing/2014/main" id="{EDD41C64-1DA6-4CBE-9D3B-E85E68949BE8}"/>
                  </a:ext>
                </a:extLst>
              </xdr:cNvPr>
              <xdr:cNvCxnSpPr/>
            </xdr:nvCxnSpPr>
            <xdr:spPr>
              <a:xfrm flipV="1">
                <a:off x="2827193" y="50933277"/>
                <a:ext cx="188399" cy="982308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5" name="자유형 253">
                <a:extLst>
                  <a:ext uri="{FF2B5EF4-FFF2-40B4-BE49-F238E27FC236}">
                    <a16:creationId xmlns:a16="http://schemas.microsoft.com/office/drawing/2014/main" id="{3E8979FD-FA68-4E45-A262-D93C50FF24B2}"/>
                  </a:ext>
                </a:extLst>
              </xdr:cNvPr>
              <xdr:cNvSpPr/>
            </xdr:nvSpPr>
            <xdr:spPr>
              <a:xfrm>
                <a:off x="1428750" y="50673000"/>
                <a:ext cx="2112618" cy="267284"/>
              </a:xfrm>
              <a:custGeom>
                <a:avLst/>
                <a:gdLst>
                  <a:gd name="connsiteX0" fmla="*/ 270761 w 2267627"/>
                  <a:gd name="connsiteY0" fmla="*/ 169226 h 234499"/>
                  <a:gd name="connsiteX1" fmla="*/ 0 w 2267627"/>
                  <a:gd name="connsiteY1" fmla="*/ 169226 h 234499"/>
                  <a:gd name="connsiteX2" fmla="*/ 0 w 2267627"/>
                  <a:gd name="connsiteY2" fmla="*/ 0 h 234499"/>
                  <a:gd name="connsiteX3" fmla="*/ 2267627 w 2267627"/>
                  <a:gd name="connsiteY3" fmla="*/ 0 h 234499"/>
                  <a:gd name="connsiteX4" fmla="*/ 2267627 w 2267627"/>
                  <a:gd name="connsiteY4" fmla="*/ 164391 h 234499"/>
                  <a:gd name="connsiteX5" fmla="*/ 1996865 w 2267627"/>
                  <a:gd name="connsiteY5" fmla="*/ 164391 h 234499"/>
                  <a:gd name="connsiteX6" fmla="*/ 1926757 w 2267627"/>
                  <a:gd name="connsiteY6" fmla="*/ 234499 h 234499"/>
                  <a:gd name="connsiteX7" fmla="*/ 336034 w 2267627"/>
                  <a:gd name="connsiteY7" fmla="*/ 234499 h 234499"/>
                  <a:gd name="connsiteX8" fmla="*/ 270761 w 2267627"/>
                  <a:gd name="connsiteY8" fmla="*/ 169226 h 2344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267627" h="234499">
                    <a:moveTo>
                      <a:pt x="270761" y="169226"/>
                    </a:moveTo>
                    <a:lnTo>
                      <a:pt x="0" y="169226"/>
                    </a:lnTo>
                    <a:lnTo>
                      <a:pt x="0" y="0"/>
                    </a:lnTo>
                    <a:lnTo>
                      <a:pt x="2267627" y="0"/>
                    </a:lnTo>
                    <a:lnTo>
                      <a:pt x="2267627" y="164391"/>
                    </a:lnTo>
                    <a:lnTo>
                      <a:pt x="1996865" y="164391"/>
                    </a:lnTo>
                    <a:lnTo>
                      <a:pt x="1926757" y="234499"/>
                    </a:lnTo>
                    <a:lnTo>
                      <a:pt x="336034" y="234499"/>
                    </a:lnTo>
                    <a:lnTo>
                      <a:pt x="270761" y="169226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86" name="직선 연결선 251">
                <a:extLst>
                  <a:ext uri="{FF2B5EF4-FFF2-40B4-BE49-F238E27FC236}">
                    <a16:creationId xmlns:a16="http://schemas.microsoft.com/office/drawing/2014/main" id="{2257802C-F60A-4EC5-BD81-812D602AB3E6}"/>
                  </a:ext>
                </a:extLst>
              </xdr:cNvPr>
              <xdr:cNvCxnSpPr/>
            </xdr:nvCxnSpPr>
            <xdr:spPr>
              <a:xfrm>
                <a:off x="1838092" y="50915449"/>
                <a:ext cx="130386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73" name="Straight Connector 472">
              <a:extLst>
                <a:ext uri="{FF2B5EF4-FFF2-40B4-BE49-F238E27FC236}">
                  <a16:creationId xmlns:a16="http://schemas.microsoft.com/office/drawing/2014/main" id="{483B6D3E-5C66-458E-9F6A-B1C4E2CBF8F2}"/>
                </a:ext>
              </a:extLst>
            </xdr:cNvPr>
            <xdr:cNvCxnSpPr/>
          </xdr:nvCxnSpPr>
          <xdr:spPr>
            <a:xfrm>
              <a:off x="786937" y="51640586"/>
              <a:ext cx="1880054" cy="0"/>
            </a:xfrm>
            <a:prstGeom prst="line">
              <a:avLst/>
            </a:prstGeom>
            <a:ln>
              <a:solidFill>
                <a:srgbClr val="FF000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4" name="Straight Connector 473">
              <a:extLst>
                <a:ext uri="{FF2B5EF4-FFF2-40B4-BE49-F238E27FC236}">
                  <a16:creationId xmlns:a16="http://schemas.microsoft.com/office/drawing/2014/main" id="{5858D9DB-BEF6-49D6-A1D5-83870F1E9E0B}"/>
                </a:ext>
              </a:extLst>
            </xdr:cNvPr>
            <xdr:cNvCxnSpPr/>
          </xdr:nvCxnSpPr>
          <xdr:spPr>
            <a:xfrm flipH="1">
              <a:off x="2316529" y="51105345"/>
              <a:ext cx="488183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5" name="Straight Connector 474">
              <a:extLst>
                <a:ext uri="{FF2B5EF4-FFF2-40B4-BE49-F238E27FC236}">
                  <a16:creationId xmlns:a16="http://schemas.microsoft.com/office/drawing/2014/main" id="{DA0411B4-BA64-47B9-913A-D5A0FEC78E4F}"/>
                </a:ext>
              </a:extLst>
            </xdr:cNvPr>
            <xdr:cNvCxnSpPr/>
          </xdr:nvCxnSpPr>
          <xdr:spPr>
            <a:xfrm>
              <a:off x="2519304" y="51643992"/>
              <a:ext cx="0" cy="332382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6" name="TextBox 475">
              <a:extLst>
                <a:ext uri="{FF2B5EF4-FFF2-40B4-BE49-F238E27FC236}">
                  <a16:creationId xmlns:a16="http://schemas.microsoft.com/office/drawing/2014/main" id="{5EEB1AFC-161B-4E6B-A72A-7CE31035234B}"/>
                </a:ext>
              </a:extLst>
            </xdr:cNvPr>
            <xdr:cNvSpPr txBox="1"/>
          </xdr:nvSpPr>
          <xdr:spPr>
            <a:xfrm>
              <a:off x="744784" y="51470918"/>
              <a:ext cx="430427" cy="166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PNA</a:t>
              </a:r>
              <a:endParaRPr lang="en-US" sz="600"/>
            </a:p>
          </xdr:txBody>
        </xdr:sp>
        <xdr:sp macro="" textlink="">
          <xdr:nvSpPr>
            <xdr:cNvPr id="477" name="TextBox 476">
              <a:extLst>
                <a:ext uri="{FF2B5EF4-FFF2-40B4-BE49-F238E27FC236}">
                  <a16:creationId xmlns:a16="http://schemas.microsoft.com/office/drawing/2014/main" id="{69986EEE-8E69-4878-9D67-3FA0B4302A34}"/>
                </a:ext>
              </a:extLst>
            </xdr:cNvPr>
            <xdr:cNvSpPr txBox="1"/>
          </xdr:nvSpPr>
          <xdr:spPr>
            <a:xfrm>
              <a:off x="2435442" y="51698302"/>
              <a:ext cx="350897" cy="228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p</a:t>
              </a:r>
              <a:endParaRPr lang="en-US" sz="900"/>
            </a:p>
          </xdr:txBody>
        </xdr:sp>
        <xdr:cxnSp macro="">
          <xdr:nvCxnSpPr>
            <xdr:cNvPr id="478" name="Straight Connector 477">
              <a:extLst>
                <a:ext uri="{FF2B5EF4-FFF2-40B4-BE49-F238E27FC236}">
                  <a16:creationId xmlns:a16="http://schemas.microsoft.com/office/drawing/2014/main" id="{C607CA06-7DF1-4734-819C-651049C3ED54}"/>
                </a:ext>
              </a:extLst>
            </xdr:cNvPr>
            <xdr:cNvCxnSpPr/>
          </xdr:nvCxnSpPr>
          <xdr:spPr>
            <a:xfrm flipH="1">
              <a:off x="2183542" y="51976763"/>
              <a:ext cx="623722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9" name="Straight Connector 478">
              <a:extLst>
                <a:ext uri="{FF2B5EF4-FFF2-40B4-BE49-F238E27FC236}">
                  <a16:creationId xmlns:a16="http://schemas.microsoft.com/office/drawing/2014/main" id="{9BA31170-06F3-48F0-80FD-2C8EF367CBB0}"/>
                </a:ext>
              </a:extLst>
            </xdr:cNvPr>
            <xdr:cNvCxnSpPr/>
          </xdr:nvCxnSpPr>
          <xdr:spPr>
            <a:xfrm>
              <a:off x="2801312" y="51104295"/>
              <a:ext cx="0" cy="874476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80" name="TextBox 479">
              <a:extLst>
                <a:ext uri="{FF2B5EF4-FFF2-40B4-BE49-F238E27FC236}">
                  <a16:creationId xmlns:a16="http://schemas.microsoft.com/office/drawing/2014/main" id="{9E38DC91-C804-4C22-A4A9-0127D794D771}"/>
                </a:ext>
              </a:extLst>
            </xdr:cNvPr>
            <xdr:cNvSpPr txBox="1"/>
          </xdr:nvSpPr>
          <xdr:spPr>
            <a:xfrm>
              <a:off x="2731370" y="51349807"/>
              <a:ext cx="310710" cy="2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t</a:t>
              </a:r>
              <a:endParaRPr lang="en-US" sz="900"/>
            </a:p>
          </xdr:txBody>
        </xdr:sp>
      </xdr:grpSp>
    </xdr:grpSp>
    <xdr:clientData/>
  </xdr:twoCellAnchor>
  <xdr:twoCellAnchor>
    <xdr:from>
      <xdr:col>3</xdr:col>
      <xdr:colOff>166818</xdr:colOff>
      <xdr:row>423</xdr:row>
      <xdr:rowOff>17009</xdr:rowOff>
    </xdr:from>
    <xdr:to>
      <xdr:col>10</xdr:col>
      <xdr:colOff>44929</xdr:colOff>
      <xdr:row>428</xdr:row>
      <xdr:rowOff>151782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4F3A5D05-3D73-447A-8CA2-03E32DF3E754}"/>
            </a:ext>
          </a:extLst>
        </xdr:cNvPr>
        <xdr:cNvGrpSpPr/>
      </xdr:nvGrpSpPr>
      <xdr:grpSpPr>
        <a:xfrm>
          <a:off x="1366968" y="83284559"/>
          <a:ext cx="2678461" cy="1087273"/>
          <a:chOff x="855680" y="136658236"/>
          <a:chExt cx="3011058" cy="1070265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61B07ACC-30E2-43EA-A5A5-08AB4BE5F3DE}"/>
              </a:ext>
            </a:extLst>
          </xdr:cNvPr>
          <xdr:cNvGrpSpPr/>
        </xdr:nvGrpSpPr>
        <xdr:grpSpPr>
          <a:xfrm>
            <a:off x="870389" y="136979361"/>
            <a:ext cx="2996349" cy="749140"/>
            <a:chOff x="376197" y="140741881"/>
            <a:chExt cx="4238225" cy="1080242"/>
          </a:xfrm>
        </xdr:grpSpPr>
        <xdr:sp macro="" textlink="">
          <xdr:nvSpPr>
            <xdr:cNvPr id="507" name="Freeform 206">
              <a:extLst>
                <a:ext uri="{FF2B5EF4-FFF2-40B4-BE49-F238E27FC236}">
                  <a16:creationId xmlns:a16="http://schemas.microsoft.com/office/drawing/2014/main" id="{49462BFE-4A42-41A3-9CC7-A230B7EE9C6D}"/>
                </a:ext>
              </a:extLst>
            </xdr:cNvPr>
            <xdr:cNvSpPr/>
          </xdr:nvSpPr>
          <xdr:spPr>
            <a:xfrm>
              <a:off x="376197" y="140741881"/>
              <a:ext cx="4238225" cy="232121"/>
            </a:xfrm>
            <a:custGeom>
              <a:avLst/>
              <a:gdLst>
                <a:gd name="connsiteX0" fmla="*/ 240127 w 4238225"/>
                <a:gd name="connsiteY0" fmla="*/ 176092 h 232121"/>
                <a:gd name="connsiteX1" fmla="*/ 0 w 4238225"/>
                <a:gd name="connsiteY1" fmla="*/ 176092 h 232121"/>
                <a:gd name="connsiteX2" fmla="*/ 0 w 4238225"/>
                <a:gd name="connsiteY2" fmla="*/ 0 h 232121"/>
                <a:gd name="connsiteX3" fmla="*/ 4238225 w 4238225"/>
                <a:gd name="connsiteY3" fmla="*/ 0 h 232121"/>
                <a:gd name="connsiteX4" fmla="*/ 4238225 w 4238225"/>
                <a:gd name="connsiteY4" fmla="*/ 160084 h 232121"/>
                <a:gd name="connsiteX5" fmla="*/ 3982091 w 4238225"/>
                <a:gd name="connsiteY5" fmla="*/ 160084 h 232121"/>
                <a:gd name="connsiteX6" fmla="*/ 3926061 w 4238225"/>
                <a:gd name="connsiteY6" fmla="*/ 216114 h 232121"/>
                <a:gd name="connsiteX7" fmla="*/ 2433278 w 4238225"/>
                <a:gd name="connsiteY7" fmla="*/ 216114 h 232121"/>
                <a:gd name="connsiteX8" fmla="*/ 2381250 w 4238225"/>
                <a:gd name="connsiteY8" fmla="*/ 164086 h 232121"/>
                <a:gd name="connsiteX9" fmla="*/ 1856975 w 4238225"/>
                <a:gd name="connsiteY9" fmla="*/ 164086 h 232121"/>
                <a:gd name="connsiteX10" fmla="*/ 1788940 w 4238225"/>
                <a:gd name="connsiteY10" fmla="*/ 232121 h 232121"/>
                <a:gd name="connsiteX11" fmla="*/ 308162 w 4238225"/>
                <a:gd name="connsiteY11" fmla="*/ 232121 h 232121"/>
                <a:gd name="connsiteX12" fmla="*/ 240127 w 4238225"/>
                <a:gd name="connsiteY12" fmla="*/ 176092 h 23212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4238225" h="232121">
                  <a:moveTo>
                    <a:pt x="240127" y="176092"/>
                  </a:moveTo>
                  <a:lnTo>
                    <a:pt x="0" y="176092"/>
                  </a:lnTo>
                  <a:lnTo>
                    <a:pt x="0" y="0"/>
                  </a:lnTo>
                  <a:lnTo>
                    <a:pt x="4238225" y="0"/>
                  </a:lnTo>
                  <a:lnTo>
                    <a:pt x="4238225" y="160084"/>
                  </a:lnTo>
                  <a:lnTo>
                    <a:pt x="3982091" y="160084"/>
                  </a:lnTo>
                  <a:lnTo>
                    <a:pt x="3926061" y="216114"/>
                  </a:lnTo>
                  <a:lnTo>
                    <a:pt x="2433278" y="216114"/>
                  </a:lnTo>
                  <a:lnTo>
                    <a:pt x="2381250" y="164086"/>
                  </a:lnTo>
                  <a:lnTo>
                    <a:pt x="1856975" y="164086"/>
                  </a:lnTo>
                  <a:lnTo>
                    <a:pt x="1788940" y="232121"/>
                  </a:lnTo>
                  <a:lnTo>
                    <a:pt x="308162" y="232121"/>
                  </a:lnTo>
                  <a:lnTo>
                    <a:pt x="240127" y="176092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08" name="그룹 30">
              <a:extLst>
                <a:ext uri="{FF2B5EF4-FFF2-40B4-BE49-F238E27FC236}">
                  <a16:creationId xmlns:a16="http://schemas.microsoft.com/office/drawing/2014/main" id="{E1CAF0AD-85DC-454F-8689-3136BAAB2A66}"/>
                </a:ext>
              </a:extLst>
            </xdr:cNvPr>
            <xdr:cNvGrpSpPr/>
          </xdr:nvGrpSpPr>
          <xdr:grpSpPr>
            <a:xfrm>
              <a:off x="677934" y="140940085"/>
              <a:ext cx="1497953" cy="882038"/>
              <a:chOff x="4444381" y="313952"/>
              <a:chExt cx="1570114" cy="1069110"/>
            </a:xfrm>
          </xdr:grpSpPr>
          <xdr:grpSp>
            <xdr:nvGrpSpPr>
              <xdr:cNvPr id="516" name="그룹 7">
                <a:extLst>
                  <a:ext uri="{FF2B5EF4-FFF2-40B4-BE49-F238E27FC236}">
                    <a16:creationId xmlns:a16="http://schemas.microsoft.com/office/drawing/2014/main" id="{12E37635-1367-474D-8072-61CAABBE1ED7}"/>
                  </a:ext>
                </a:extLst>
              </xdr:cNvPr>
              <xdr:cNvGrpSpPr/>
            </xdr:nvGrpSpPr>
            <xdr:grpSpPr>
              <a:xfrm>
                <a:off x="4444381" y="315446"/>
                <a:ext cx="1421153" cy="1067616"/>
                <a:chOff x="2971800" y="381000"/>
                <a:chExt cx="1422339" cy="1061287"/>
              </a:xfrm>
            </xdr:grpSpPr>
            <xdr:cxnSp macro="">
              <xdr:nvCxnSpPr>
                <xdr:cNvPr id="518" name="직선 연결선 3">
                  <a:extLst>
                    <a:ext uri="{FF2B5EF4-FFF2-40B4-BE49-F238E27FC236}">
                      <a16:creationId xmlns:a16="http://schemas.microsoft.com/office/drawing/2014/main" id="{C2E3622A-3AB3-44CC-B928-BBA80E8A4114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9" name="직선 연결선 4">
                  <a:extLst>
                    <a:ext uri="{FF2B5EF4-FFF2-40B4-BE49-F238E27FC236}">
                      <a16:creationId xmlns:a16="http://schemas.microsoft.com/office/drawing/2014/main" id="{657D4ACC-C817-4781-AA95-257C07CBDD87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0" name="직선 연결선 5">
                  <a:extLst>
                    <a:ext uri="{FF2B5EF4-FFF2-40B4-BE49-F238E27FC236}">
                      <a16:creationId xmlns:a16="http://schemas.microsoft.com/office/drawing/2014/main" id="{2A355B4A-0612-4E00-B046-360ECC84AA6B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1" name="직선 연결선 6">
                  <a:extLst>
                    <a:ext uri="{FF2B5EF4-FFF2-40B4-BE49-F238E27FC236}">
                      <a16:creationId xmlns:a16="http://schemas.microsoft.com/office/drawing/2014/main" id="{C10FF4CA-713C-414E-8DA9-09EAA960AD9C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17" name="직선 연결선 29">
                <a:extLst>
                  <a:ext uri="{FF2B5EF4-FFF2-40B4-BE49-F238E27FC236}">
                    <a16:creationId xmlns:a16="http://schemas.microsoft.com/office/drawing/2014/main" id="{C93570D1-C3B9-43FF-9F86-C1DF0D6BE514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09" name="그룹 30">
              <a:extLst>
                <a:ext uri="{FF2B5EF4-FFF2-40B4-BE49-F238E27FC236}">
                  <a16:creationId xmlns:a16="http://schemas.microsoft.com/office/drawing/2014/main" id="{FF657CFA-5214-44FC-B1C1-0CA6398231F4}"/>
                </a:ext>
              </a:extLst>
            </xdr:cNvPr>
            <xdr:cNvGrpSpPr/>
          </xdr:nvGrpSpPr>
          <xdr:grpSpPr>
            <a:xfrm>
              <a:off x="2803992" y="140934082"/>
              <a:ext cx="1497953" cy="882038"/>
              <a:chOff x="4444381" y="313952"/>
              <a:chExt cx="1570114" cy="1069110"/>
            </a:xfrm>
          </xdr:grpSpPr>
          <xdr:grpSp>
            <xdr:nvGrpSpPr>
              <xdr:cNvPr id="510" name="그룹 7">
                <a:extLst>
                  <a:ext uri="{FF2B5EF4-FFF2-40B4-BE49-F238E27FC236}">
                    <a16:creationId xmlns:a16="http://schemas.microsoft.com/office/drawing/2014/main" id="{764CD638-4A2D-4685-8D25-BC19044BDEDE}"/>
                  </a:ext>
                </a:extLst>
              </xdr:cNvPr>
              <xdr:cNvGrpSpPr/>
            </xdr:nvGrpSpPr>
            <xdr:grpSpPr>
              <a:xfrm>
                <a:off x="4444381" y="315446"/>
                <a:ext cx="1421153" cy="1067616"/>
                <a:chOff x="2971800" y="381000"/>
                <a:chExt cx="1422339" cy="1061287"/>
              </a:xfrm>
            </xdr:grpSpPr>
            <xdr:cxnSp macro="">
              <xdr:nvCxnSpPr>
                <xdr:cNvPr id="512" name="직선 연결선 3">
                  <a:extLst>
                    <a:ext uri="{FF2B5EF4-FFF2-40B4-BE49-F238E27FC236}">
                      <a16:creationId xmlns:a16="http://schemas.microsoft.com/office/drawing/2014/main" id="{6490CA6F-9312-4BCA-8012-32FBAD5683C9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3" name="직선 연결선 4">
                  <a:extLst>
                    <a:ext uri="{FF2B5EF4-FFF2-40B4-BE49-F238E27FC236}">
                      <a16:creationId xmlns:a16="http://schemas.microsoft.com/office/drawing/2014/main" id="{23B60557-4C01-498E-9EE7-4D408B6A503F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4" name="직선 연결선 5">
                  <a:extLst>
                    <a:ext uri="{FF2B5EF4-FFF2-40B4-BE49-F238E27FC236}">
                      <a16:creationId xmlns:a16="http://schemas.microsoft.com/office/drawing/2014/main" id="{A63AE99E-C9DF-4F92-818E-0C2DB1633243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5" name="직선 연결선 6">
                  <a:extLst>
                    <a:ext uri="{FF2B5EF4-FFF2-40B4-BE49-F238E27FC236}">
                      <a16:creationId xmlns:a16="http://schemas.microsoft.com/office/drawing/2014/main" id="{C10721C5-43C4-4C1B-A7A4-B58B2C22C87D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11" name="직선 연결선 29">
                <a:extLst>
                  <a:ext uri="{FF2B5EF4-FFF2-40B4-BE49-F238E27FC236}">
                    <a16:creationId xmlns:a16="http://schemas.microsoft.com/office/drawing/2014/main" id="{6C9CB894-69DB-48F9-8A31-539ACA64F385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499" name="Straight Connector 498">
            <a:extLst>
              <a:ext uri="{FF2B5EF4-FFF2-40B4-BE49-F238E27FC236}">
                <a16:creationId xmlns:a16="http://schemas.microsoft.com/office/drawing/2014/main" id="{3A2B45BD-C8A7-4E0D-B349-682DDE91E2D6}"/>
              </a:ext>
            </a:extLst>
          </xdr:cNvPr>
          <xdr:cNvCxnSpPr/>
        </xdr:nvCxnSpPr>
        <xdr:spPr>
          <a:xfrm>
            <a:off x="1190626" y="136828980"/>
            <a:ext cx="0" cy="260367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" name="Straight Connector 499">
            <a:extLst>
              <a:ext uri="{FF2B5EF4-FFF2-40B4-BE49-F238E27FC236}">
                <a16:creationId xmlns:a16="http://schemas.microsoft.com/office/drawing/2014/main" id="{6B11BF34-89E3-4055-B5CC-9A68DB064023}"/>
              </a:ext>
            </a:extLst>
          </xdr:cNvPr>
          <xdr:cNvCxnSpPr/>
        </xdr:nvCxnSpPr>
        <xdr:spPr>
          <a:xfrm>
            <a:off x="2046305" y="136826364"/>
            <a:ext cx="0" cy="278684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" name="Straight Connector 500">
            <a:extLst>
              <a:ext uri="{FF2B5EF4-FFF2-40B4-BE49-F238E27FC236}">
                <a16:creationId xmlns:a16="http://schemas.microsoft.com/office/drawing/2014/main" id="{7EFCCACF-33C2-4DCD-82BE-8BF8E7ED4D61}"/>
              </a:ext>
            </a:extLst>
          </xdr:cNvPr>
          <xdr:cNvCxnSpPr/>
        </xdr:nvCxnSpPr>
        <xdr:spPr>
          <a:xfrm flipH="1">
            <a:off x="855680" y="136826363"/>
            <a:ext cx="1842199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" name="Straight Connector 501">
            <a:extLst>
              <a:ext uri="{FF2B5EF4-FFF2-40B4-BE49-F238E27FC236}">
                <a16:creationId xmlns:a16="http://schemas.microsoft.com/office/drawing/2014/main" id="{C48F9EAC-349E-4191-BCD0-CFCE42FEC889}"/>
              </a:ext>
            </a:extLst>
          </xdr:cNvPr>
          <xdr:cNvCxnSpPr/>
        </xdr:nvCxnSpPr>
        <xdr:spPr>
          <a:xfrm>
            <a:off x="2692644" y="136828980"/>
            <a:ext cx="0" cy="278684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" name="Straight Connector 502">
            <a:extLst>
              <a:ext uri="{FF2B5EF4-FFF2-40B4-BE49-F238E27FC236}">
                <a16:creationId xmlns:a16="http://schemas.microsoft.com/office/drawing/2014/main" id="{436B8E2A-827C-4A34-B31A-C96699C780ED}"/>
              </a:ext>
            </a:extLst>
          </xdr:cNvPr>
          <xdr:cNvCxnSpPr/>
        </xdr:nvCxnSpPr>
        <xdr:spPr>
          <a:xfrm>
            <a:off x="868763" y="136828980"/>
            <a:ext cx="0" cy="260367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4" name="TextBox 503">
            <a:extLst>
              <a:ext uri="{FF2B5EF4-FFF2-40B4-BE49-F238E27FC236}">
                <a16:creationId xmlns:a16="http://schemas.microsoft.com/office/drawing/2014/main" id="{8A2F36EC-1F46-42DA-8F1D-469F6AE5EAE4}"/>
              </a:ext>
            </a:extLst>
          </xdr:cNvPr>
          <xdr:cNvSpPr txBox="1"/>
        </xdr:nvSpPr>
        <xdr:spPr>
          <a:xfrm>
            <a:off x="909978" y="136658236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b</a:t>
            </a:r>
          </a:p>
        </xdr:txBody>
      </xdr:sp>
      <xdr:sp macro="" textlink="">
        <xdr:nvSpPr>
          <xdr:cNvPr id="505" name="TextBox 504">
            <a:extLst>
              <a:ext uri="{FF2B5EF4-FFF2-40B4-BE49-F238E27FC236}">
                <a16:creationId xmlns:a16="http://schemas.microsoft.com/office/drawing/2014/main" id="{A4641A61-94BF-432C-A5E6-62A9234D081F}"/>
              </a:ext>
            </a:extLst>
          </xdr:cNvPr>
          <xdr:cNvSpPr txBox="1"/>
        </xdr:nvSpPr>
        <xdr:spPr>
          <a:xfrm>
            <a:off x="1479777" y="136666740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w</a:t>
            </a:r>
          </a:p>
        </xdr:txBody>
      </xdr:sp>
      <xdr:sp macro="" textlink="">
        <xdr:nvSpPr>
          <xdr:cNvPr id="506" name="TextBox 505">
            <a:extLst>
              <a:ext uri="{FF2B5EF4-FFF2-40B4-BE49-F238E27FC236}">
                <a16:creationId xmlns:a16="http://schemas.microsoft.com/office/drawing/2014/main" id="{BFF3E65D-4865-4701-8DFA-81AE8F9F5D21}"/>
              </a:ext>
            </a:extLst>
          </xdr:cNvPr>
          <xdr:cNvSpPr txBox="1"/>
        </xdr:nvSpPr>
        <xdr:spPr>
          <a:xfrm>
            <a:off x="2270691" y="136666741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a</a:t>
            </a:r>
          </a:p>
        </xdr:txBody>
      </xdr:sp>
    </xdr:grpSp>
    <xdr:clientData/>
  </xdr:twoCellAnchor>
  <xdr:twoCellAnchor>
    <xdr:from>
      <xdr:col>9</xdr:col>
      <xdr:colOff>97588</xdr:colOff>
      <xdr:row>489</xdr:row>
      <xdr:rowOff>43716</xdr:rowOff>
    </xdr:from>
    <xdr:to>
      <xdr:col>13</xdr:col>
      <xdr:colOff>361626</xdr:colOff>
      <xdr:row>494</xdr:row>
      <xdr:rowOff>133046</xdr:rowOff>
    </xdr:to>
    <xdr:grpSp>
      <xdr:nvGrpSpPr>
        <xdr:cNvPr id="447" name="그룹 59">
          <a:extLst>
            <a:ext uri="{FF2B5EF4-FFF2-40B4-BE49-F238E27FC236}">
              <a16:creationId xmlns:a16="http://schemas.microsoft.com/office/drawing/2014/main" id="{2B0B11F7-9F8A-4477-8D6C-6A66157C21E1}"/>
            </a:ext>
          </a:extLst>
        </xdr:cNvPr>
        <xdr:cNvGrpSpPr/>
      </xdr:nvGrpSpPr>
      <xdr:grpSpPr>
        <a:xfrm>
          <a:off x="3698038" y="95884266"/>
          <a:ext cx="1864238" cy="1098980"/>
          <a:chOff x="538689" y="21665334"/>
          <a:chExt cx="2549636" cy="1147041"/>
        </a:xfrm>
      </xdr:grpSpPr>
      <xdr:grpSp>
        <xdr:nvGrpSpPr>
          <xdr:cNvPr id="448" name="그룹 17">
            <a:extLst>
              <a:ext uri="{FF2B5EF4-FFF2-40B4-BE49-F238E27FC236}">
                <a16:creationId xmlns:a16="http://schemas.microsoft.com/office/drawing/2014/main" id="{FEBD22CA-714C-4F3B-986C-56B273355FFC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450" name="그룹 112">
              <a:extLst>
                <a:ext uri="{FF2B5EF4-FFF2-40B4-BE49-F238E27FC236}">
                  <a16:creationId xmlns:a16="http://schemas.microsoft.com/office/drawing/2014/main" id="{6F309D3B-040C-446A-B945-BF6F00DB2628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491" name="그룹 176">
                <a:extLst>
                  <a:ext uri="{FF2B5EF4-FFF2-40B4-BE49-F238E27FC236}">
                    <a16:creationId xmlns:a16="http://schemas.microsoft.com/office/drawing/2014/main" id="{4F77C7B3-B0BD-4641-85F4-65EB5DA16E41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525" name="자유형 179">
                  <a:extLst>
                    <a:ext uri="{FF2B5EF4-FFF2-40B4-BE49-F238E27FC236}">
                      <a16:creationId xmlns:a16="http://schemas.microsoft.com/office/drawing/2014/main" id="{56FCC243-B2E0-4725-9BC8-F883AE895D6A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526" name="그룹 180">
                  <a:extLst>
                    <a:ext uri="{FF2B5EF4-FFF2-40B4-BE49-F238E27FC236}">
                      <a16:creationId xmlns:a16="http://schemas.microsoft.com/office/drawing/2014/main" id="{885C6E84-1CCC-40BE-9252-F231FB8C910F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527" name="그룹 181">
                    <a:extLst>
                      <a:ext uri="{FF2B5EF4-FFF2-40B4-BE49-F238E27FC236}">
                        <a16:creationId xmlns:a16="http://schemas.microsoft.com/office/drawing/2014/main" id="{C71B6F23-0A7A-46E7-80F8-F2C0D925EED6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529" name="직선 연결선 183">
                      <a:extLst>
                        <a:ext uri="{FF2B5EF4-FFF2-40B4-BE49-F238E27FC236}">
                          <a16:creationId xmlns:a16="http://schemas.microsoft.com/office/drawing/2014/main" id="{D84B0255-AAF9-4D46-8603-6790A1D1C165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0" name="직선 연결선 184">
                      <a:extLst>
                        <a:ext uri="{FF2B5EF4-FFF2-40B4-BE49-F238E27FC236}">
                          <a16:creationId xmlns:a16="http://schemas.microsoft.com/office/drawing/2014/main" id="{D1B8CFF7-3476-471D-9C84-8C909A0FA08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1" name="직선 연결선 185">
                      <a:extLst>
                        <a:ext uri="{FF2B5EF4-FFF2-40B4-BE49-F238E27FC236}">
                          <a16:creationId xmlns:a16="http://schemas.microsoft.com/office/drawing/2014/main" id="{92D2C0E7-5148-4EEB-8A84-9B4579B98221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2" name="직선 연결선 186">
                      <a:extLst>
                        <a:ext uri="{FF2B5EF4-FFF2-40B4-BE49-F238E27FC236}">
                          <a16:creationId xmlns:a16="http://schemas.microsoft.com/office/drawing/2014/main" id="{FB36800E-4444-4C61-BA71-5C3BFB224F97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528" name="직선 연결선 182">
                    <a:extLst>
                      <a:ext uri="{FF2B5EF4-FFF2-40B4-BE49-F238E27FC236}">
                        <a16:creationId xmlns:a16="http://schemas.microsoft.com/office/drawing/2014/main" id="{46156668-9BFE-45D5-A3B8-8668B9DF0CE2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492" name="그룹 122">
                <a:extLst>
                  <a:ext uri="{FF2B5EF4-FFF2-40B4-BE49-F238E27FC236}">
                    <a16:creationId xmlns:a16="http://schemas.microsoft.com/office/drawing/2014/main" id="{1277776F-44D9-4025-AE6F-9B79682752F4}"/>
                  </a:ext>
                </a:extLst>
              </xdr:cNvPr>
              <xdr:cNvGrpSpPr/>
            </xdr:nvGrpSpPr>
            <xdr:grpSpPr>
              <a:xfrm>
                <a:off x="4843434" y="6654079"/>
                <a:ext cx="848704" cy="797165"/>
                <a:chOff x="4843434" y="6654079"/>
                <a:chExt cx="848704" cy="797165"/>
              </a:xfrm>
            </xdr:grpSpPr>
            <xdr:sp macro="" textlink="">
              <xdr:nvSpPr>
                <xdr:cNvPr id="493" name="TextBox 492">
                  <a:extLst>
                    <a:ext uri="{FF2B5EF4-FFF2-40B4-BE49-F238E27FC236}">
                      <a16:creationId xmlns:a16="http://schemas.microsoft.com/office/drawing/2014/main" id="{54AAC91B-7E5A-4A7D-87B3-ABB504FC7FCA}"/>
                    </a:ext>
                  </a:extLst>
                </xdr:cNvPr>
                <xdr:cNvSpPr txBox="1"/>
              </xdr:nvSpPr>
              <xdr:spPr>
                <a:xfrm>
                  <a:off x="4843434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494" name="그룹 135">
                  <a:extLst>
                    <a:ext uri="{FF2B5EF4-FFF2-40B4-BE49-F238E27FC236}">
                      <a16:creationId xmlns:a16="http://schemas.microsoft.com/office/drawing/2014/main" id="{71B807CE-220D-4562-ADE4-DB15949A2BFF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495" name="직선 화살표 연결선 153">
                    <a:extLst>
                      <a:ext uri="{FF2B5EF4-FFF2-40B4-BE49-F238E27FC236}">
                        <a16:creationId xmlns:a16="http://schemas.microsoft.com/office/drawing/2014/main" id="{44EBD9A7-7A43-49C6-A9FB-27425C7AD2EB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6" name="직선 화살표 연결선 154">
                    <a:extLst>
                      <a:ext uri="{FF2B5EF4-FFF2-40B4-BE49-F238E27FC236}">
                        <a16:creationId xmlns:a16="http://schemas.microsoft.com/office/drawing/2014/main" id="{40366F6F-BD61-4BED-A193-B27C0AA5FB1F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2" name="직선 연결선 155">
                    <a:extLst>
                      <a:ext uri="{FF2B5EF4-FFF2-40B4-BE49-F238E27FC236}">
                        <a16:creationId xmlns:a16="http://schemas.microsoft.com/office/drawing/2014/main" id="{60FAAF7A-86A6-49A3-9EE2-C0FF0BF017D9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3" name="직선 연결선 157">
                    <a:extLst>
                      <a:ext uri="{FF2B5EF4-FFF2-40B4-BE49-F238E27FC236}">
                        <a16:creationId xmlns:a16="http://schemas.microsoft.com/office/drawing/2014/main" id="{6BD3985E-11E9-466F-B345-94ABB4C3CC77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4" name="직선 연결선 159">
                    <a:extLst>
                      <a:ext uri="{FF2B5EF4-FFF2-40B4-BE49-F238E27FC236}">
                        <a16:creationId xmlns:a16="http://schemas.microsoft.com/office/drawing/2014/main" id="{C8C448F5-C93D-4101-84B7-6A837E84CC0A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487" name="그룹 16">
              <a:extLst>
                <a:ext uri="{FF2B5EF4-FFF2-40B4-BE49-F238E27FC236}">
                  <a16:creationId xmlns:a16="http://schemas.microsoft.com/office/drawing/2014/main" id="{70FF301F-91F9-41D1-B1AA-32AE45A6E376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488" name="직선 연결선 8">
                <a:extLst>
                  <a:ext uri="{FF2B5EF4-FFF2-40B4-BE49-F238E27FC236}">
                    <a16:creationId xmlns:a16="http://schemas.microsoft.com/office/drawing/2014/main" id="{B4399B40-6B77-4C2C-B0B3-899EFD5CA005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9" name="TextBox 488">
                <a:extLst>
                  <a:ext uri="{FF2B5EF4-FFF2-40B4-BE49-F238E27FC236}">
                    <a16:creationId xmlns:a16="http://schemas.microsoft.com/office/drawing/2014/main" id="{5CA27E56-4111-490B-8577-F24C6308A90A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l-GR" altLang="ko-KR" sz="900">
                    <a:ea typeface="맑은 고딕" panose="020B0503020000020004" pitchFamily="50" charset="-127"/>
                    <a:sym typeface="Symbol"/>
                  </a:rPr>
                  <a:t>θ</a:t>
                </a:r>
                <a:endParaRPr lang="en-US" sz="900"/>
              </a:p>
            </xdr:txBody>
          </xdr:sp>
          <xdr:sp macro="" textlink="">
            <xdr:nvSpPr>
              <xdr:cNvPr id="490" name="원호 13">
                <a:extLst>
                  <a:ext uri="{FF2B5EF4-FFF2-40B4-BE49-F238E27FC236}">
                    <a16:creationId xmlns:a16="http://schemas.microsoft.com/office/drawing/2014/main" id="{DF51E158-7E35-428A-A670-DE90C29AC2DE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449" name="직선 화살표 연결선 56">
            <a:extLst>
              <a:ext uri="{FF2B5EF4-FFF2-40B4-BE49-F238E27FC236}">
                <a16:creationId xmlns:a16="http://schemas.microsoft.com/office/drawing/2014/main" id="{76CBDD74-F1A1-4C2C-ADD6-F7A5E105D90A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295274</xdr:colOff>
      <xdr:row>402</xdr:row>
      <xdr:rowOff>38101</xdr:rowOff>
    </xdr:from>
    <xdr:to>
      <xdr:col>11</xdr:col>
      <xdr:colOff>152400</xdr:colOff>
      <xdr:row>421</xdr:row>
      <xdr:rowOff>180975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98E61F4-A07D-4A4D-BF6B-920A6C70845C}"/>
            </a:ext>
          </a:extLst>
        </xdr:cNvPr>
        <xdr:cNvGrpSpPr/>
      </xdr:nvGrpSpPr>
      <xdr:grpSpPr>
        <a:xfrm>
          <a:off x="695324" y="79305151"/>
          <a:ext cx="3857626" cy="3762374"/>
          <a:chOff x="533399" y="79228951"/>
          <a:chExt cx="4429126" cy="3762374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EE9D2825-815D-4D01-9EF6-0A4698923754}"/>
              </a:ext>
            </a:extLst>
          </xdr:cNvPr>
          <xdr:cNvGrpSpPr/>
        </xdr:nvGrpSpPr>
        <xdr:grpSpPr>
          <a:xfrm>
            <a:off x="1781175" y="79705200"/>
            <a:ext cx="590550" cy="428625"/>
            <a:chOff x="1781175" y="79705200"/>
            <a:chExt cx="590550" cy="428625"/>
          </a:xfrm>
        </xdr:grpSpPr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1AA5EC43-8306-498D-B001-5ADB40C34900}"/>
                </a:ext>
              </a:extLst>
            </xdr:cNvPr>
            <xdr:cNvCxnSpPr/>
          </xdr:nvCxnSpPr>
          <xdr:spPr>
            <a:xfrm>
              <a:off x="1809750" y="79705200"/>
              <a:ext cx="0" cy="428625"/>
            </a:xfrm>
            <a:prstGeom prst="line">
              <a:avLst/>
            </a:prstGeom>
            <a:ln w="12700"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43" name="TextBox 542">
              <a:extLst>
                <a:ext uri="{FF2B5EF4-FFF2-40B4-BE49-F238E27FC236}">
                  <a16:creationId xmlns:a16="http://schemas.microsoft.com/office/drawing/2014/main" id="{EA95AA87-C9F3-4497-9643-6103EF5DABB3}"/>
                </a:ext>
              </a:extLst>
            </xdr:cNvPr>
            <xdr:cNvSpPr txBox="1"/>
          </xdr:nvSpPr>
          <xdr:spPr>
            <a:xfrm>
              <a:off x="1781175" y="797528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Yes</a:t>
              </a:r>
            </a:p>
          </xdr:txBody>
        </xdr:sp>
      </xdr:grpSp>
      <xdr:grpSp>
        <xdr:nvGrpSpPr>
          <xdr:cNvPr id="548" name="Group 547">
            <a:extLst>
              <a:ext uri="{FF2B5EF4-FFF2-40B4-BE49-F238E27FC236}">
                <a16:creationId xmlns:a16="http://schemas.microsoft.com/office/drawing/2014/main" id="{6205EBC1-CB26-4BD7-AB2C-4B3D3F7B27A8}"/>
              </a:ext>
            </a:extLst>
          </xdr:cNvPr>
          <xdr:cNvGrpSpPr/>
        </xdr:nvGrpSpPr>
        <xdr:grpSpPr>
          <a:xfrm>
            <a:off x="1781175" y="80619600"/>
            <a:ext cx="590550" cy="428625"/>
            <a:chOff x="1781175" y="79705200"/>
            <a:chExt cx="590550" cy="428625"/>
          </a:xfrm>
        </xdr:grpSpPr>
        <xdr:cxnSp macro="">
          <xdr:nvCxnSpPr>
            <xdr:cNvPr id="549" name="Straight Connector 548">
              <a:extLst>
                <a:ext uri="{FF2B5EF4-FFF2-40B4-BE49-F238E27FC236}">
                  <a16:creationId xmlns:a16="http://schemas.microsoft.com/office/drawing/2014/main" id="{80723427-672F-44A5-9D09-FD5C22F269B8}"/>
                </a:ext>
              </a:extLst>
            </xdr:cNvPr>
            <xdr:cNvCxnSpPr/>
          </xdr:nvCxnSpPr>
          <xdr:spPr>
            <a:xfrm>
              <a:off x="1809750" y="79705200"/>
              <a:ext cx="0" cy="428625"/>
            </a:xfrm>
            <a:prstGeom prst="line">
              <a:avLst/>
            </a:prstGeom>
            <a:ln w="12700"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0" name="TextBox 549">
              <a:extLst>
                <a:ext uri="{FF2B5EF4-FFF2-40B4-BE49-F238E27FC236}">
                  <a16:creationId xmlns:a16="http://schemas.microsoft.com/office/drawing/2014/main" id="{6CEAC439-640F-4A45-9606-223EDD1CF728}"/>
                </a:ext>
              </a:extLst>
            </xdr:cNvPr>
            <xdr:cNvSpPr txBox="1"/>
          </xdr:nvSpPr>
          <xdr:spPr>
            <a:xfrm>
              <a:off x="1781175" y="797528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Yes</a:t>
              </a:r>
            </a:p>
          </xdr:txBody>
        </xdr: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E80E739A-2D27-41CD-AB5B-16E9E27D4EA4}"/>
              </a:ext>
            </a:extLst>
          </xdr:cNvPr>
          <xdr:cNvGrpSpPr/>
        </xdr:nvGrpSpPr>
        <xdr:grpSpPr>
          <a:xfrm>
            <a:off x="533399" y="79228951"/>
            <a:ext cx="4429126" cy="3762374"/>
            <a:chOff x="533399" y="79228951"/>
            <a:chExt cx="4429126" cy="3762374"/>
          </a:xfrm>
        </xdr:grpSpPr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F529B27B-EFAE-459C-B405-70E77AE19649}"/>
                </a:ext>
              </a:extLst>
            </xdr:cNvPr>
            <xdr:cNvGrpSpPr/>
          </xdr:nvGrpSpPr>
          <xdr:grpSpPr>
            <a:xfrm>
              <a:off x="1181100" y="79228951"/>
              <a:ext cx="1285875" cy="475059"/>
              <a:chOff x="1181100" y="79228951"/>
              <a:chExt cx="1285875" cy="475059"/>
            </a:xfrm>
          </xdr:grpSpPr>
          <xdr:sp macro="" textlink="">
            <xdr:nvSpPr>
              <xdr:cNvPr id="2" name="Diamond 1">
                <a:extLst>
                  <a:ext uri="{FF2B5EF4-FFF2-40B4-BE49-F238E27FC236}">
                    <a16:creationId xmlns:a16="http://schemas.microsoft.com/office/drawing/2014/main" id="{976ADDBB-36E9-4587-ABBC-B422564E545B}"/>
                  </a:ext>
                </a:extLst>
              </xdr:cNvPr>
              <xdr:cNvSpPr/>
            </xdr:nvSpPr>
            <xdr:spPr>
              <a:xfrm>
                <a:off x="1181100" y="79228951"/>
                <a:ext cx="1266825" cy="475059"/>
              </a:xfrm>
              <a:prstGeom prst="diamond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6" name="TextBox 535">
                <a:extLst>
                  <a:ext uri="{FF2B5EF4-FFF2-40B4-BE49-F238E27FC236}">
                    <a16:creationId xmlns:a16="http://schemas.microsoft.com/office/drawing/2014/main" id="{0E9E6C82-C4E8-41AA-AC65-DBFB5C37D590}"/>
                  </a:ext>
                </a:extLst>
              </xdr:cNvPr>
              <xdr:cNvSpPr txBox="1"/>
            </xdr:nvSpPr>
            <xdr:spPr>
              <a:xfrm>
                <a:off x="1343025" y="79333725"/>
                <a:ext cx="11239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Positive</a:t>
                </a:r>
                <a:r>
                  <a:rPr lang="en-US" sz="900" baseline="0"/>
                  <a:t> moment</a:t>
                </a:r>
                <a:endParaRPr lang="en-US" sz="900"/>
              </a:p>
            </xdr:txBody>
          </xdr:sp>
        </xdr:grp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575CA34B-4AA2-439B-851C-792794694DE5}"/>
                </a:ext>
              </a:extLst>
            </xdr:cNvPr>
            <xdr:cNvGrpSpPr/>
          </xdr:nvGrpSpPr>
          <xdr:grpSpPr>
            <a:xfrm>
              <a:off x="3743325" y="79267050"/>
              <a:ext cx="1219200" cy="390525"/>
              <a:chOff x="3695700" y="79295625"/>
              <a:chExt cx="1219200" cy="390525"/>
            </a:xfrm>
          </xdr:grpSpPr>
          <xdr:sp macro="" textlink="">
            <xdr:nvSpPr>
              <xdr:cNvPr id="4" name="Rectangle: Rounded Corners 3">
                <a:extLst>
                  <a:ext uri="{FF2B5EF4-FFF2-40B4-BE49-F238E27FC236}">
                    <a16:creationId xmlns:a16="http://schemas.microsoft.com/office/drawing/2014/main" id="{1CD7AA14-CD23-4136-A69F-82837434028C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8" name="TextBox 537">
                <a:extLst>
                  <a:ext uri="{FF2B5EF4-FFF2-40B4-BE49-F238E27FC236}">
                    <a16:creationId xmlns:a16="http://schemas.microsoft.com/office/drawing/2014/main" id="{1AF1BAC5-26C3-4E70-AEAC-0F7FB7E3C14A}"/>
                  </a:ext>
                </a:extLst>
              </xdr:cNvPr>
              <xdr:cNvSpPr txBox="1"/>
            </xdr:nvSpPr>
            <xdr:spPr>
              <a:xfrm>
                <a:off x="3924300" y="79362300"/>
                <a:ext cx="83820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 b="1"/>
                  <a:t>Not classified</a:t>
                </a:r>
              </a:p>
            </xdr:txBody>
          </xdr:sp>
        </xdr:grpSp>
        <xdr:grpSp>
          <xdr:nvGrpSpPr>
            <xdr:cNvPr id="540" name="Group 539">
              <a:extLst>
                <a:ext uri="{FF2B5EF4-FFF2-40B4-BE49-F238E27FC236}">
                  <a16:creationId xmlns:a16="http://schemas.microsoft.com/office/drawing/2014/main" id="{524EE82F-5305-4E25-97D4-2CBC3EF3836F}"/>
                </a:ext>
              </a:extLst>
            </xdr:cNvPr>
            <xdr:cNvGrpSpPr/>
          </xdr:nvGrpSpPr>
          <xdr:grpSpPr>
            <a:xfrm>
              <a:off x="1171575" y="80133825"/>
              <a:ext cx="1323975" cy="475059"/>
              <a:chOff x="1181100" y="79228951"/>
              <a:chExt cx="1323975" cy="475059"/>
            </a:xfrm>
          </xdr:grpSpPr>
          <xdr:sp macro="" textlink="">
            <xdr:nvSpPr>
              <xdr:cNvPr id="541" name="Diamond 540">
                <a:extLst>
                  <a:ext uri="{FF2B5EF4-FFF2-40B4-BE49-F238E27FC236}">
                    <a16:creationId xmlns:a16="http://schemas.microsoft.com/office/drawing/2014/main" id="{3FDF09B9-BFBE-4E70-9AB3-C4AD3D4C644C}"/>
                  </a:ext>
                </a:extLst>
              </xdr:cNvPr>
              <xdr:cNvSpPr/>
            </xdr:nvSpPr>
            <xdr:spPr>
              <a:xfrm>
                <a:off x="1181100" y="79228951"/>
                <a:ext cx="1266825" cy="475059"/>
              </a:xfrm>
              <a:prstGeom prst="diamond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2" name="TextBox 541">
                <a:extLst>
                  <a:ext uri="{FF2B5EF4-FFF2-40B4-BE49-F238E27FC236}">
                    <a16:creationId xmlns:a16="http://schemas.microsoft.com/office/drawing/2014/main" id="{FD03DFDF-A139-482D-A6F2-F799A9E384CF}"/>
                  </a:ext>
                </a:extLst>
              </xdr:cNvPr>
              <xdr:cNvSpPr txBox="1"/>
            </xdr:nvSpPr>
            <xdr:spPr>
              <a:xfrm>
                <a:off x="1381125" y="79343250"/>
                <a:ext cx="11239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Straight bridge</a:t>
                </a:r>
              </a:p>
            </xdr:txBody>
          </xdr:sp>
        </xdr:grpSp>
        <xdr:grpSp>
          <xdr:nvGrpSpPr>
            <xdr:cNvPr id="18" name="Group 17">
              <a:extLst>
                <a:ext uri="{FF2B5EF4-FFF2-40B4-BE49-F238E27FC236}">
                  <a16:creationId xmlns:a16="http://schemas.microsoft.com/office/drawing/2014/main" id="{FA7906C8-C1A9-4240-BB12-56F75E464BFB}"/>
                </a:ext>
              </a:extLst>
            </xdr:cNvPr>
            <xdr:cNvGrpSpPr/>
          </xdr:nvGrpSpPr>
          <xdr:grpSpPr>
            <a:xfrm>
              <a:off x="2406015" y="79257525"/>
              <a:ext cx="1341120" cy="266700"/>
              <a:chOff x="2406015" y="79257525"/>
              <a:chExt cx="1341120" cy="266700"/>
            </a:xfrm>
          </xdr:grpSpPr>
          <xdr:sp macro="" textlink="">
            <xdr:nvSpPr>
              <xdr:cNvPr id="539" name="TextBox 538">
                <a:extLst>
                  <a:ext uri="{FF2B5EF4-FFF2-40B4-BE49-F238E27FC236}">
                    <a16:creationId xmlns:a16="http://schemas.microsoft.com/office/drawing/2014/main" id="{ACD2C390-D6FB-4449-8545-26EC2479B967}"/>
                  </a:ext>
                </a:extLst>
              </xdr:cNvPr>
              <xdr:cNvSpPr txBox="1"/>
            </xdr:nvSpPr>
            <xdr:spPr>
              <a:xfrm>
                <a:off x="2724150" y="79257525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No</a:t>
                </a:r>
              </a:p>
            </xdr:txBody>
          </xdr:sp>
          <xdr:cxnSp macro="">
            <xdr:nvCxnSpPr>
              <xdr:cNvPr id="17" name="Straight Connector 16">
                <a:extLst>
                  <a:ext uri="{FF2B5EF4-FFF2-40B4-BE49-F238E27FC236}">
                    <a16:creationId xmlns:a16="http://schemas.microsoft.com/office/drawing/2014/main" id="{F9085902-28B3-461F-90AF-A383197667E0}"/>
                  </a:ext>
                </a:extLst>
              </xdr:cNvPr>
              <xdr:cNvCxnSpPr/>
            </xdr:nvCxnSpPr>
            <xdr:spPr>
              <a:xfrm>
                <a:off x="2406015" y="79467075"/>
                <a:ext cx="1341120" cy="0"/>
              </a:xfrm>
              <a:prstGeom prst="line">
                <a:avLst/>
              </a:prstGeom>
              <a:ln w="12700"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44" name="Group 543">
              <a:extLst>
                <a:ext uri="{FF2B5EF4-FFF2-40B4-BE49-F238E27FC236}">
                  <a16:creationId xmlns:a16="http://schemas.microsoft.com/office/drawing/2014/main" id="{318D643F-6F17-4868-9D89-EA87F2FB6E2A}"/>
                </a:ext>
              </a:extLst>
            </xdr:cNvPr>
            <xdr:cNvGrpSpPr/>
          </xdr:nvGrpSpPr>
          <xdr:grpSpPr>
            <a:xfrm>
              <a:off x="3695700" y="82600800"/>
              <a:ext cx="1247775" cy="390525"/>
              <a:chOff x="3686175" y="79295625"/>
              <a:chExt cx="1247775" cy="390525"/>
            </a:xfrm>
          </xdr:grpSpPr>
          <xdr:sp macro="" textlink="">
            <xdr:nvSpPr>
              <xdr:cNvPr id="545" name="Rectangle: Rounded Corners 544">
                <a:extLst>
                  <a:ext uri="{FF2B5EF4-FFF2-40B4-BE49-F238E27FC236}">
                    <a16:creationId xmlns:a16="http://schemas.microsoft.com/office/drawing/2014/main" id="{38D8F99D-6A4B-49DF-90FB-80BA57B1FE52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6" name="TextBox 545">
                <a:extLst>
                  <a:ext uri="{FF2B5EF4-FFF2-40B4-BE49-F238E27FC236}">
                    <a16:creationId xmlns:a16="http://schemas.microsoft.com/office/drawing/2014/main" id="{56A4C925-F0F4-4B3D-A187-7BE224FFB5E3}"/>
                  </a:ext>
                </a:extLst>
              </xdr:cNvPr>
              <xdr:cNvSpPr txBox="1"/>
            </xdr:nvSpPr>
            <xdr:spPr>
              <a:xfrm>
                <a:off x="3686175" y="79362300"/>
                <a:ext cx="124777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 b="1"/>
                  <a:t>Non-compact</a:t>
                </a:r>
                <a:r>
                  <a:rPr lang="en-US" sz="900" b="1" baseline="0"/>
                  <a:t> section</a:t>
                </a:r>
                <a:endParaRPr lang="en-US" sz="900" b="1"/>
              </a:p>
            </xdr:txBody>
          </xdr:sp>
        </xdr:grpSp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14F8EAB2-40F4-4088-870E-DBF3A84202E0}"/>
                </a:ext>
              </a:extLst>
            </xdr:cNvPr>
            <xdr:cNvGrpSpPr/>
          </xdr:nvGrpSpPr>
          <xdr:grpSpPr>
            <a:xfrm>
              <a:off x="533399" y="81048225"/>
              <a:ext cx="2705101" cy="1209675"/>
              <a:chOff x="1000124" y="80876775"/>
              <a:chExt cx="2705101" cy="1209675"/>
            </a:xfrm>
          </xdr:grpSpPr>
          <xdr:sp macro="" textlink="">
            <xdr:nvSpPr>
              <xdr:cNvPr id="21" name="Rectangle: Rounded Corners 20">
                <a:extLst>
                  <a:ext uri="{FF2B5EF4-FFF2-40B4-BE49-F238E27FC236}">
                    <a16:creationId xmlns:a16="http://schemas.microsoft.com/office/drawing/2014/main" id="{FD77B032-563F-4DC5-85C0-219F22C2ECAF}"/>
                  </a:ext>
                </a:extLst>
              </xdr:cNvPr>
              <xdr:cNvSpPr/>
            </xdr:nvSpPr>
            <xdr:spPr>
              <a:xfrm>
                <a:off x="1000124" y="80876775"/>
                <a:ext cx="2562225" cy="1209675"/>
              </a:xfrm>
              <a:prstGeom prst="roundRect">
                <a:avLst>
                  <a:gd name="adj" fmla="val 50000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7" name="TextBox 546">
                <a:extLst>
                  <a:ext uri="{FF2B5EF4-FFF2-40B4-BE49-F238E27FC236}">
                    <a16:creationId xmlns:a16="http://schemas.microsoft.com/office/drawing/2014/main" id="{33CBBC30-39E9-42B4-B001-EF2EF378048B}"/>
                  </a:ext>
                </a:extLst>
              </xdr:cNvPr>
              <xdr:cNvSpPr txBox="1"/>
            </xdr:nvSpPr>
            <xdr:spPr>
              <a:xfrm>
                <a:off x="1095374" y="80943450"/>
                <a:ext cx="2609851" cy="1085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F</a:t>
                </a:r>
                <a:r>
                  <a:rPr lang="en-US" sz="900" baseline="-25000">
                    <a:latin typeface="+mn-lt"/>
                    <a:ea typeface="+mj-ea"/>
                  </a:rPr>
                  <a:t>yf</a:t>
                </a:r>
                <a:r>
                  <a:rPr lang="en-US" sz="900">
                    <a:latin typeface="+mn-lt"/>
                    <a:ea typeface="+mj-ea"/>
                  </a:rPr>
                  <a:t>, F</a:t>
                </a:r>
                <a:r>
                  <a:rPr lang="en-US" sz="900" baseline="-25000">
                    <a:latin typeface="+mn-lt"/>
                    <a:ea typeface="+mj-ea"/>
                  </a:rPr>
                  <a:t>yw</a:t>
                </a:r>
                <a:r>
                  <a:rPr lang="en-US" sz="900">
                    <a:latin typeface="+mn-lt"/>
                    <a:ea typeface="+mj-ea"/>
                  </a:rPr>
                  <a:t> ≤ 455MPa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D/t</a:t>
                </a:r>
                <a:r>
                  <a:rPr lang="en-US" sz="900" baseline="-25000">
                    <a:latin typeface="+mn-lt"/>
                    <a:ea typeface="+mj-ea"/>
                  </a:rPr>
                  <a:t>w</a:t>
                </a:r>
                <a:r>
                  <a:rPr lang="en-US" sz="900">
                    <a:latin typeface="+mn-lt"/>
                    <a:ea typeface="+mj-ea"/>
                  </a:rPr>
                  <a:t> ≤ 150 without longitudinally stiffeners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0.8w</a:t>
                </a:r>
                <a:r>
                  <a:rPr lang="en-US" sz="900" baseline="0">
                    <a:latin typeface="+mn-lt"/>
                    <a:ea typeface="+mj-ea"/>
                  </a:rPr>
                  <a:t> ≤ a ≤ 1.2w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0.65w ≤ a ≤ 1.35w for nonparallel box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S ≤ 1/4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b ≤ min(a; 1800)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2D</a:t>
                </a:r>
                <a:r>
                  <a:rPr lang="en-US" sz="900" baseline="-25000">
                    <a:latin typeface="+mn-lt"/>
                    <a:ea typeface="+mj-ea"/>
                  </a:rPr>
                  <a:t>cp</a:t>
                </a:r>
                <a:r>
                  <a:rPr lang="en-US" sz="900" baseline="0">
                    <a:latin typeface="+mn-lt"/>
                    <a:ea typeface="+mj-ea"/>
                  </a:rPr>
                  <a:t> / t</a:t>
                </a:r>
                <a:r>
                  <a:rPr lang="en-US" sz="900" baseline="-25000">
                    <a:latin typeface="+mn-lt"/>
                    <a:ea typeface="+mj-ea"/>
                  </a:rPr>
                  <a:t>w</a:t>
                </a:r>
                <a:r>
                  <a:rPr lang="en-US" sz="900" baseline="0">
                    <a:latin typeface="+mn-lt"/>
                    <a:ea typeface="+mj-ea"/>
                  </a:rPr>
                  <a:t> ≤ 3.76√(E / F</a:t>
                </a:r>
                <a:r>
                  <a:rPr lang="en-US" sz="900" baseline="-25000">
                    <a:latin typeface="+mn-lt"/>
                    <a:ea typeface="+mj-ea"/>
                  </a:rPr>
                  <a:t>yc</a:t>
                </a:r>
                <a:r>
                  <a:rPr lang="en-US" sz="900" baseline="0">
                    <a:latin typeface="+mn-lt"/>
                    <a:ea typeface="+mj-ea"/>
                  </a:rPr>
                  <a:t>)</a:t>
                </a:r>
                <a:endParaRPr lang="en-US" sz="900">
                  <a:latin typeface="+mn-lt"/>
                  <a:ea typeface="+mj-ea"/>
                </a:endParaRPr>
              </a:p>
            </xdr:txBody>
          </xdr:sp>
        </xdr:grpSp>
        <xdr:sp macro="" textlink="">
          <xdr:nvSpPr>
            <xdr:cNvPr id="23" name="Freeform: Shape 22">
              <a:extLst>
                <a:ext uri="{FF2B5EF4-FFF2-40B4-BE49-F238E27FC236}">
                  <a16:creationId xmlns:a16="http://schemas.microsoft.com/office/drawing/2014/main" id="{4DE68AC9-0A03-4E66-AB94-C95D8AA483CF}"/>
                </a:ext>
              </a:extLst>
            </xdr:cNvPr>
            <xdr:cNvSpPr/>
          </xdr:nvSpPr>
          <xdr:spPr>
            <a:xfrm>
              <a:off x="2447925" y="80371950"/>
              <a:ext cx="1876425" cy="2219325"/>
            </a:xfrm>
            <a:custGeom>
              <a:avLst/>
              <a:gdLst>
                <a:gd name="connsiteX0" fmla="*/ 0 w 1876425"/>
                <a:gd name="connsiteY0" fmla="*/ 0 h 2219325"/>
                <a:gd name="connsiteX1" fmla="*/ 1876425 w 1876425"/>
                <a:gd name="connsiteY1" fmla="*/ 0 h 2219325"/>
                <a:gd name="connsiteX2" fmla="*/ 1876425 w 1876425"/>
                <a:gd name="connsiteY2" fmla="*/ 2219325 h 22193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876425" h="2219325">
                  <a:moveTo>
                    <a:pt x="0" y="0"/>
                  </a:moveTo>
                  <a:lnTo>
                    <a:pt x="1876425" y="0"/>
                  </a:lnTo>
                  <a:lnTo>
                    <a:pt x="1876425" y="2219325"/>
                  </a:lnTo>
                </a:path>
              </a:pathLst>
            </a:custGeom>
            <a:noFill/>
            <a:ln w="12700">
              <a:solidFill>
                <a:schemeClr val="accent5">
                  <a:lumMod val="75000"/>
                </a:schemeClr>
              </a:solidFill>
              <a:tailEnd type="stealth" w="lg" len="lg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51" name="TextBox 550">
              <a:extLst>
                <a:ext uri="{FF2B5EF4-FFF2-40B4-BE49-F238E27FC236}">
                  <a16:creationId xmlns:a16="http://schemas.microsoft.com/office/drawing/2014/main" id="{3E96C5B1-299B-4532-AEBE-92FC77519265}"/>
                </a:ext>
              </a:extLst>
            </xdr:cNvPr>
            <xdr:cNvSpPr txBox="1"/>
          </xdr:nvSpPr>
          <xdr:spPr>
            <a:xfrm>
              <a:off x="2714625" y="801719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No</a:t>
              </a:r>
            </a:p>
          </xdr:txBody>
        </xdr:sp>
        <xdr:grpSp>
          <xdr:nvGrpSpPr>
            <xdr:cNvPr id="552" name="Group 551">
              <a:extLst>
                <a:ext uri="{FF2B5EF4-FFF2-40B4-BE49-F238E27FC236}">
                  <a16:creationId xmlns:a16="http://schemas.microsoft.com/office/drawing/2014/main" id="{F45B2BDB-1ED4-47E9-B2E1-AEAFFDDB9579}"/>
                </a:ext>
              </a:extLst>
            </xdr:cNvPr>
            <xdr:cNvGrpSpPr/>
          </xdr:nvGrpSpPr>
          <xdr:grpSpPr>
            <a:xfrm>
              <a:off x="3105150" y="81438750"/>
              <a:ext cx="1219200" cy="266700"/>
              <a:chOff x="2457450" y="79267050"/>
              <a:chExt cx="914400" cy="266700"/>
            </a:xfrm>
          </xdr:grpSpPr>
          <xdr:sp macro="" textlink="">
            <xdr:nvSpPr>
              <xdr:cNvPr id="553" name="TextBox 552">
                <a:extLst>
                  <a:ext uri="{FF2B5EF4-FFF2-40B4-BE49-F238E27FC236}">
                    <a16:creationId xmlns:a16="http://schemas.microsoft.com/office/drawing/2014/main" id="{947A9E26-B9D1-437B-A169-F9A866799C6D}"/>
                  </a:ext>
                </a:extLst>
              </xdr:cNvPr>
              <xdr:cNvSpPr txBox="1"/>
            </xdr:nvSpPr>
            <xdr:spPr>
              <a:xfrm>
                <a:off x="2745581" y="79267050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No</a:t>
                </a:r>
              </a:p>
            </xdr:txBody>
          </xdr:sp>
          <xdr:cxnSp macro="">
            <xdr:nvCxnSpPr>
              <xdr:cNvPr id="554" name="Straight Connector 553">
                <a:extLst>
                  <a:ext uri="{FF2B5EF4-FFF2-40B4-BE49-F238E27FC236}">
                    <a16:creationId xmlns:a16="http://schemas.microsoft.com/office/drawing/2014/main" id="{888AB7B9-E891-42E5-B821-9F5094DCC7D6}"/>
                  </a:ext>
                </a:extLst>
              </xdr:cNvPr>
              <xdr:cNvCxnSpPr/>
            </xdr:nvCxnSpPr>
            <xdr:spPr>
              <a:xfrm>
                <a:off x="2457450" y="79467075"/>
                <a:ext cx="914400" cy="0"/>
              </a:xfrm>
              <a:prstGeom prst="line">
                <a:avLst/>
              </a:prstGeom>
              <a:ln w="12700">
                <a:tailEnd type="none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55" name="Group 554">
              <a:extLst>
                <a:ext uri="{FF2B5EF4-FFF2-40B4-BE49-F238E27FC236}">
                  <a16:creationId xmlns:a16="http://schemas.microsoft.com/office/drawing/2014/main" id="{91BF83DA-82A9-405E-AD4A-AF6D4467ACC7}"/>
                </a:ext>
              </a:extLst>
            </xdr:cNvPr>
            <xdr:cNvGrpSpPr/>
          </xdr:nvGrpSpPr>
          <xdr:grpSpPr>
            <a:xfrm>
              <a:off x="1209675" y="82600800"/>
              <a:ext cx="1247775" cy="390525"/>
              <a:chOff x="3686175" y="79295625"/>
              <a:chExt cx="1247775" cy="390525"/>
            </a:xfrm>
          </xdr:grpSpPr>
          <xdr:sp macro="" textlink="">
            <xdr:nvSpPr>
              <xdr:cNvPr id="556" name="Rectangle: Rounded Corners 555">
                <a:extLst>
                  <a:ext uri="{FF2B5EF4-FFF2-40B4-BE49-F238E27FC236}">
                    <a16:creationId xmlns:a16="http://schemas.microsoft.com/office/drawing/2014/main" id="{3A25EDEF-C680-4CE7-BCE1-C900D4AA8871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57" name="TextBox 556">
                <a:extLst>
                  <a:ext uri="{FF2B5EF4-FFF2-40B4-BE49-F238E27FC236}">
                    <a16:creationId xmlns:a16="http://schemas.microsoft.com/office/drawing/2014/main" id="{F47F1689-42A7-4960-AD25-AD76588DA0A8}"/>
                  </a:ext>
                </a:extLst>
              </xdr:cNvPr>
              <xdr:cNvSpPr txBox="1"/>
            </xdr:nvSpPr>
            <xdr:spPr>
              <a:xfrm>
                <a:off x="3686175" y="79362300"/>
                <a:ext cx="124777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900" b="1"/>
                  <a:t>Compact</a:t>
                </a:r>
                <a:r>
                  <a:rPr lang="en-US" sz="900" b="1" baseline="0"/>
                  <a:t> section</a:t>
                </a:r>
                <a:endParaRPr lang="en-US" sz="900" b="1"/>
              </a:p>
            </xdr:txBody>
          </xdr:sp>
        </xdr:grpSp>
        <xdr:grpSp>
          <xdr:nvGrpSpPr>
            <xdr:cNvPr id="558" name="Group 557">
              <a:extLst>
                <a:ext uri="{FF2B5EF4-FFF2-40B4-BE49-F238E27FC236}">
                  <a16:creationId xmlns:a16="http://schemas.microsoft.com/office/drawing/2014/main" id="{D49C768B-B104-436A-9BFB-3A2C6BFF36AF}"/>
                </a:ext>
              </a:extLst>
            </xdr:cNvPr>
            <xdr:cNvGrpSpPr/>
          </xdr:nvGrpSpPr>
          <xdr:grpSpPr>
            <a:xfrm>
              <a:off x="1771650" y="82263571"/>
              <a:ext cx="590550" cy="322032"/>
              <a:chOff x="1781175" y="79739446"/>
              <a:chExt cx="590550" cy="322032"/>
            </a:xfrm>
          </xdr:grpSpPr>
          <xdr:cxnSp macro="">
            <xdr:nvCxnSpPr>
              <xdr:cNvPr id="559" name="Straight Connector 558">
                <a:extLst>
                  <a:ext uri="{FF2B5EF4-FFF2-40B4-BE49-F238E27FC236}">
                    <a16:creationId xmlns:a16="http://schemas.microsoft.com/office/drawing/2014/main" id="{27117920-C871-43C2-B2AB-5C74377146D2}"/>
                  </a:ext>
                </a:extLst>
              </xdr:cNvPr>
              <xdr:cNvCxnSpPr/>
            </xdr:nvCxnSpPr>
            <xdr:spPr>
              <a:xfrm>
                <a:off x="1809750" y="79739446"/>
                <a:ext cx="0" cy="322032"/>
              </a:xfrm>
              <a:prstGeom prst="line">
                <a:avLst/>
              </a:prstGeom>
              <a:ln w="12700"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60" name="TextBox 559">
                <a:extLst>
                  <a:ext uri="{FF2B5EF4-FFF2-40B4-BE49-F238E27FC236}">
                    <a16:creationId xmlns:a16="http://schemas.microsoft.com/office/drawing/2014/main" id="{53BBAAF4-959D-44BF-8A39-2BE2326A804E}"/>
                  </a:ext>
                </a:extLst>
              </xdr:cNvPr>
              <xdr:cNvSpPr txBox="1"/>
            </xdr:nvSpPr>
            <xdr:spPr>
              <a:xfrm>
                <a:off x="1781175" y="79752825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Yes</a:t>
                </a:r>
              </a:p>
            </xdr:txBody>
          </xdr:sp>
        </xdr:grpSp>
      </xdr:grpSp>
    </xdr:grpSp>
    <xdr:clientData/>
  </xdr:twoCellAnchor>
  <xdr:twoCellAnchor>
    <xdr:from>
      <xdr:col>9</xdr:col>
      <xdr:colOff>285750</xdr:colOff>
      <xdr:row>27</xdr:row>
      <xdr:rowOff>28575</xdr:rowOff>
    </xdr:from>
    <xdr:to>
      <xdr:col>13</xdr:col>
      <xdr:colOff>342900</xdr:colOff>
      <xdr:row>33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82CC57D-70AF-448E-8C8E-81C4F5E9E228}"/>
            </a:ext>
          </a:extLst>
        </xdr:cNvPr>
        <xdr:cNvSpPr/>
      </xdr:nvSpPr>
      <xdr:spPr>
        <a:xfrm>
          <a:off x="4400550" y="5172075"/>
          <a:ext cx="1885950" cy="1228725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405745</xdr:colOff>
      <xdr:row>73</xdr:row>
      <xdr:rowOff>64179</xdr:rowOff>
    </xdr:from>
    <xdr:to>
      <xdr:col>11</xdr:col>
      <xdr:colOff>76200</xdr:colOff>
      <xdr:row>82</xdr:row>
      <xdr:rowOff>50675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3A744414-C2D8-4099-985D-885F95D779D7}"/>
            </a:ext>
          </a:extLst>
        </xdr:cNvPr>
        <xdr:cNvGrpSpPr/>
      </xdr:nvGrpSpPr>
      <xdr:grpSpPr>
        <a:xfrm>
          <a:off x="796270" y="14656479"/>
          <a:ext cx="3680480" cy="1700996"/>
          <a:chOff x="643870" y="22323999"/>
          <a:chExt cx="4056657" cy="1709547"/>
        </a:xfrm>
      </xdr:grpSpPr>
      <xdr:grpSp>
        <xdr:nvGrpSpPr>
          <xdr:cNvPr id="141" name="Group 140">
            <a:extLst>
              <a:ext uri="{FF2B5EF4-FFF2-40B4-BE49-F238E27FC236}">
                <a16:creationId xmlns:a16="http://schemas.microsoft.com/office/drawing/2014/main" id="{6315D708-237A-4949-B810-A4727E7390AC}"/>
              </a:ext>
            </a:extLst>
          </xdr:cNvPr>
          <xdr:cNvGrpSpPr/>
        </xdr:nvGrpSpPr>
        <xdr:grpSpPr>
          <a:xfrm>
            <a:off x="643870" y="22323999"/>
            <a:ext cx="4056657" cy="1709547"/>
            <a:chOff x="643870" y="22323999"/>
            <a:chExt cx="4056657" cy="1709547"/>
          </a:xfrm>
        </xdr:grpSpPr>
        <xdr:grpSp>
          <xdr:nvGrpSpPr>
            <xdr:cNvPr id="144" name="Group 143">
              <a:extLst>
                <a:ext uri="{FF2B5EF4-FFF2-40B4-BE49-F238E27FC236}">
                  <a16:creationId xmlns:a16="http://schemas.microsoft.com/office/drawing/2014/main" id="{689CE9A6-93DA-4E36-B625-D32B84774E3D}"/>
                </a:ext>
              </a:extLst>
            </xdr:cNvPr>
            <xdr:cNvGrpSpPr/>
          </xdr:nvGrpSpPr>
          <xdr:grpSpPr>
            <a:xfrm>
              <a:off x="643870" y="22323999"/>
              <a:ext cx="4056657" cy="1709547"/>
              <a:chOff x="643870" y="22210310"/>
              <a:chExt cx="4056657" cy="1700479"/>
            </a:xfrm>
          </xdr:grpSpPr>
          <xdr:grpSp>
            <xdr:nvGrpSpPr>
              <xdr:cNvPr id="149" name="Group 148">
                <a:extLst>
                  <a:ext uri="{FF2B5EF4-FFF2-40B4-BE49-F238E27FC236}">
                    <a16:creationId xmlns:a16="http://schemas.microsoft.com/office/drawing/2014/main" id="{AD44642B-34B9-4603-AA56-DCCCD6B6715C}"/>
                  </a:ext>
                </a:extLst>
              </xdr:cNvPr>
              <xdr:cNvGrpSpPr/>
            </xdr:nvGrpSpPr>
            <xdr:grpSpPr>
              <a:xfrm>
                <a:off x="643870" y="22210310"/>
                <a:ext cx="4056657" cy="1700479"/>
                <a:chOff x="643870" y="22210310"/>
                <a:chExt cx="4056657" cy="1700479"/>
              </a:xfrm>
            </xdr:grpSpPr>
            <xdr:grpSp>
              <xdr:nvGrpSpPr>
                <xdr:cNvPr id="152" name="Group 151">
                  <a:extLst>
                    <a:ext uri="{FF2B5EF4-FFF2-40B4-BE49-F238E27FC236}">
                      <a16:creationId xmlns:a16="http://schemas.microsoft.com/office/drawing/2014/main" id="{C275323F-9BBB-4710-B118-1D0F92A407B7}"/>
                    </a:ext>
                  </a:extLst>
                </xdr:cNvPr>
                <xdr:cNvGrpSpPr/>
              </xdr:nvGrpSpPr>
              <xdr:grpSpPr>
                <a:xfrm>
                  <a:off x="643870" y="22210310"/>
                  <a:ext cx="4056657" cy="1700479"/>
                  <a:chOff x="7207675" y="21761748"/>
                  <a:chExt cx="4109104" cy="1691416"/>
                </a:xfrm>
              </xdr:grpSpPr>
              <xdr:grpSp>
                <xdr:nvGrpSpPr>
                  <xdr:cNvPr id="155" name="Group 154">
                    <a:extLst>
                      <a:ext uri="{FF2B5EF4-FFF2-40B4-BE49-F238E27FC236}">
                        <a16:creationId xmlns:a16="http://schemas.microsoft.com/office/drawing/2014/main" id="{3E1BD987-C263-408C-A073-A29F8813E18E}"/>
                      </a:ext>
                    </a:extLst>
                  </xdr:cNvPr>
                  <xdr:cNvGrpSpPr/>
                </xdr:nvGrpSpPr>
                <xdr:grpSpPr>
                  <a:xfrm>
                    <a:off x="7207675" y="21761748"/>
                    <a:ext cx="4109104" cy="1691416"/>
                    <a:chOff x="7206917" y="21885107"/>
                    <a:chExt cx="4107494" cy="1701176"/>
                  </a:xfrm>
                </xdr:grpSpPr>
                <xdr:grpSp>
                  <xdr:nvGrpSpPr>
                    <xdr:cNvPr id="159" name="Group 158">
                      <a:extLst>
                        <a:ext uri="{FF2B5EF4-FFF2-40B4-BE49-F238E27FC236}">
                          <a16:creationId xmlns:a16="http://schemas.microsoft.com/office/drawing/2014/main" id="{FAB772AB-D9D1-42CC-BA11-1A4695A9DC88}"/>
                        </a:ext>
                      </a:extLst>
                    </xdr:cNvPr>
                    <xdr:cNvGrpSpPr/>
                  </xdr:nvGrpSpPr>
                  <xdr:grpSpPr>
                    <a:xfrm>
                      <a:off x="7372927" y="21885107"/>
                      <a:ext cx="3941484" cy="1701176"/>
                      <a:chOff x="362527" y="4628867"/>
                      <a:chExt cx="3941484" cy="1705956"/>
                    </a:xfrm>
                  </xdr:grpSpPr>
                  <xdr:grpSp>
                    <xdr:nvGrpSpPr>
                      <xdr:cNvPr id="165" name="Group 164">
                        <a:extLst>
                          <a:ext uri="{FF2B5EF4-FFF2-40B4-BE49-F238E27FC236}">
                            <a16:creationId xmlns:a16="http://schemas.microsoft.com/office/drawing/2014/main" id="{A21B3FB7-9C23-44DC-8BE8-A065304D8E8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2527" y="4628867"/>
                        <a:ext cx="3941484" cy="1705956"/>
                        <a:chOff x="510666" y="111134356"/>
                        <a:chExt cx="3941484" cy="1701176"/>
                      </a:xfrm>
                    </xdr:grpSpPr>
                    <xdr:grpSp>
                      <xdr:nvGrpSpPr>
                        <xdr:cNvPr id="169" name="Group 168">
                          <a:extLst>
                            <a:ext uri="{FF2B5EF4-FFF2-40B4-BE49-F238E27FC236}">
                              <a16:creationId xmlns:a16="http://schemas.microsoft.com/office/drawing/2014/main" id="{845FFC69-F58D-4B60-BB53-62CA5B0DCAD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10666" y="111134356"/>
                          <a:ext cx="3941484" cy="1643821"/>
                          <a:chOff x="1216851" y="110401772"/>
                          <a:chExt cx="3963164" cy="1634284"/>
                        </a:xfrm>
                      </xdr:grpSpPr>
                      <xdr:sp macro="" textlink="">
                        <xdr:nvSpPr>
                          <xdr:cNvPr id="175" name="Freeform 57">
                            <a:extLst>
                              <a:ext uri="{FF2B5EF4-FFF2-40B4-BE49-F238E27FC236}">
                                <a16:creationId xmlns:a16="http://schemas.microsoft.com/office/drawing/2014/main" id="{1DB6BDA2-E5FC-4DF4-B967-07CA529D378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912652" y="111591730"/>
                            <a:ext cx="435194" cy="263266"/>
                          </a:xfrm>
                          <a:custGeom>
                            <a:avLst/>
                            <a:gdLst>
                              <a:gd name="connsiteX0" fmla="*/ 0 w 404812"/>
                              <a:gd name="connsiteY0" fmla="*/ 0 h 264319"/>
                              <a:gd name="connsiteX1" fmla="*/ 404812 w 404812"/>
                              <a:gd name="connsiteY1" fmla="*/ 0 h 264319"/>
                              <a:gd name="connsiteX2" fmla="*/ 404812 w 404812"/>
                              <a:gd name="connsiteY2" fmla="*/ 264319 h 264319"/>
                              <a:gd name="connsiteX3" fmla="*/ 73819 w 404812"/>
                              <a:gd name="connsiteY3" fmla="*/ 264319 h 264319"/>
                              <a:gd name="connsiteX4" fmla="*/ 0 w 404812"/>
                              <a:gd name="connsiteY4" fmla="*/ 0 h 264319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404812" h="264319">
                                <a:moveTo>
                                  <a:pt x="0" y="0"/>
                                </a:moveTo>
                                <a:lnTo>
                                  <a:pt x="404812" y="0"/>
                                </a:lnTo>
                                <a:lnTo>
                                  <a:pt x="404812" y="264319"/>
                                </a:lnTo>
                                <a:lnTo>
                                  <a:pt x="73819" y="264319"/>
                                </a:lnTo>
                                <a:lnTo>
                                  <a:pt x="0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9525"/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ko-KR" altLang="en-US" sz="1100"/>
                          </a:p>
                        </xdr:txBody>
                      </xdr:sp>
                      <xdr:cxnSp macro="">
                        <xdr:nvCxnSpPr>
                          <xdr:cNvPr id="176" name="Straight Connector 175">
                            <a:extLst>
                              <a:ext uri="{FF2B5EF4-FFF2-40B4-BE49-F238E27FC236}">
                                <a16:creationId xmlns:a16="http://schemas.microsoft.com/office/drawing/2014/main" id="{EC2068F4-18F7-48A2-B02D-54D215133EE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581900" y="111446165"/>
                            <a:ext cx="3129881" cy="0"/>
                          </a:xfrm>
                          <a:prstGeom prst="line">
                            <a:avLst/>
                          </a:prstGeom>
                          <a:ln>
                            <a:solidFill>
                              <a:srgbClr val="FF0000"/>
                            </a:solidFill>
                            <a:prstDash val="sysDot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grpSp>
                        <xdr:nvGrpSpPr>
                          <xdr:cNvPr id="177" name="Group 176">
                            <a:extLst>
                              <a:ext uri="{FF2B5EF4-FFF2-40B4-BE49-F238E27FC236}">
                                <a16:creationId xmlns:a16="http://schemas.microsoft.com/office/drawing/2014/main" id="{086190A4-D65E-43C9-9B7B-010D279FCB7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216851" y="110401772"/>
                            <a:ext cx="3963164" cy="1634284"/>
                            <a:chOff x="1216851" y="110401772"/>
                            <a:chExt cx="3963164" cy="1634284"/>
                          </a:xfrm>
                        </xdr:grpSpPr>
                        <xdr:grpSp>
                          <xdr:nvGrpSpPr>
                            <xdr:cNvPr id="178" name="Group 177">
                              <a:extLst>
                                <a:ext uri="{FF2B5EF4-FFF2-40B4-BE49-F238E27FC236}">
                                  <a16:creationId xmlns:a16="http://schemas.microsoft.com/office/drawing/2014/main" id="{4C337E27-9FBB-4012-804C-5ED0AEF78B7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312044" y="110401772"/>
                              <a:ext cx="3867971" cy="1634284"/>
                              <a:chOff x="1305466" y="111014807"/>
                              <a:chExt cx="3846986" cy="1643283"/>
                            </a:xfrm>
                          </xdr:grpSpPr>
                          <xdr:grpSp>
                            <xdr:nvGrpSpPr>
                              <xdr:cNvPr id="208" name="Group 207">
                                <a:extLst>
                                  <a:ext uri="{FF2B5EF4-FFF2-40B4-BE49-F238E27FC236}">
                                    <a16:creationId xmlns:a16="http://schemas.microsoft.com/office/drawing/2014/main" id="{0AB88FD3-7F37-47F0-9184-6D367575BAC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1305466" y="111014807"/>
                                <a:ext cx="3846986" cy="1643283"/>
                                <a:chOff x="4455319" y="111897883"/>
                                <a:chExt cx="4690943" cy="1967475"/>
                              </a:xfrm>
                            </xdr:grpSpPr>
                            <xdr:sp macro="" textlink="">
                              <xdr:nvSpPr>
                                <xdr:cNvPr id="211" name="Freeform 99">
                                  <a:extLst>
                                    <a:ext uri="{FF2B5EF4-FFF2-40B4-BE49-F238E27FC236}">
                                      <a16:creationId xmlns:a16="http://schemas.microsoft.com/office/drawing/2014/main" id="{1D26552A-620B-49CD-A7AF-FCB1419FA16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5634037" y="112206541"/>
                                  <a:ext cx="152837" cy="1658817"/>
                                </a:xfrm>
                                <a:custGeom>
                                  <a:avLst/>
                                  <a:gdLst>
                                    <a:gd name="connsiteX0" fmla="*/ 73478 w 155121"/>
                                    <a:gd name="connsiteY0" fmla="*/ 0 h 1687286"/>
                                    <a:gd name="connsiteX1" fmla="*/ 73478 w 155121"/>
                                    <a:gd name="connsiteY1" fmla="*/ 767443 h 1687286"/>
                                    <a:gd name="connsiteX2" fmla="*/ 155121 w 155121"/>
                                    <a:gd name="connsiteY2" fmla="*/ 767443 h 1687286"/>
                                    <a:gd name="connsiteX3" fmla="*/ 0 w 155121"/>
                                    <a:gd name="connsiteY3" fmla="*/ 808265 h 1687286"/>
                                    <a:gd name="connsiteX4" fmla="*/ 78921 w 155121"/>
                                    <a:gd name="connsiteY4" fmla="*/ 808265 h 1687286"/>
                                    <a:gd name="connsiteX5" fmla="*/ 78921 w 155121"/>
                                    <a:gd name="connsiteY5" fmla="*/ 1687286 h 1687286"/>
                                  </a:gdLst>
                                  <a:ahLst/>
                                  <a:cxnLst>
                                    <a:cxn ang="0">
                                      <a:pos x="connsiteX0" y="connsiteY0"/>
                                    </a:cxn>
                                    <a:cxn ang="0">
                                      <a:pos x="connsiteX1" y="connsiteY1"/>
                                    </a:cxn>
                                    <a:cxn ang="0">
                                      <a:pos x="connsiteX2" y="connsiteY2"/>
                                    </a:cxn>
                                    <a:cxn ang="0">
                                      <a:pos x="connsiteX3" y="connsiteY3"/>
                                    </a:cxn>
                                    <a:cxn ang="0">
                                      <a:pos x="connsiteX4" y="connsiteY4"/>
                                    </a:cxn>
                                    <a:cxn ang="0">
                                      <a:pos x="connsiteX5" y="connsiteY5"/>
                                    </a:cxn>
                                  </a:cxnLst>
                                  <a:rect l="l" t="t" r="r" b="b"/>
                                  <a:pathLst>
                                    <a:path w="155121" h="1687286">
                                      <a:moveTo>
                                        <a:pt x="73478" y="0"/>
                                      </a:moveTo>
                                      <a:lnTo>
                                        <a:pt x="73478" y="767443"/>
                                      </a:lnTo>
                                      <a:lnTo>
                                        <a:pt x="155121" y="767443"/>
                                      </a:lnTo>
                                      <a:lnTo>
                                        <a:pt x="0" y="808265"/>
                                      </a:lnTo>
                                      <a:lnTo>
                                        <a:pt x="78921" y="808265"/>
                                      </a:lnTo>
                                      <a:lnTo>
                                        <a:pt x="78921" y="1687286"/>
                                      </a:lnTo>
                                    </a:path>
                                  </a:pathLst>
                                </a:custGeom>
                                <a:noFill/>
                                <a:ln w="3175"/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l"/>
                                  <a:endParaRPr lang="ko-KR" altLang="en-US" sz="1100"/>
                                </a:p>
                              </xdr:txBody>
                            </xdr:sp>
                            <xdr:grpSp>
                              <xdr:nvGrpSpPr>
                                <xdr:cNvPr id="212" name="Group 211">
                                  <a:extLst>
                                    <a:ext uri="{FF2B5EF4-FFF2-40B4-BE49-F238E27FC236}">
                                      <a16:creationId xmlns:a16="http://schemas.microsoft.com/office/drawing/2014/main" id="{028F00F4-C999-4290-BC9E-E1C71B5C5799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4455319" y="111897883"/>
                                  <a:ext cx="4690943" cy="1784990"/>
                                  <a:chOff x="4455319" y="113927529"/>
                                  <a:chExt cx="4690943" cy="1813094"/>
                                </a:xfrm>
                              </xdr:grpSpPr>
                              <xdr:sp macro="" textlink="">
                                <xdr:nvSpPr>
                                  <xdr:cNvPr id="213" name="Freeform 101">
                                    <a:extLst>
                                      <a:ext uri="{FF2B5EF4-FFF2-40B4-BE49-F238E27FC236}">
                                        <a16:creationId xmlns:a16="http://schemas.microsoft.com/office/drawing/2014/main" id="{6F644D2B-DF3E-4DEA-AFA5-4C0B551B066F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4455319" y="114429614"/>
                                    <a:ext cx="1254919" cy="278605"/>
                                  </a:xfrm>
                                  <a:custGeom>
                                    <a:avLst/>
                                    <a:gdLst>
                                      <a:gd name="connsiteX0" fmla="*/ 373856 w 1254919"/>
                                      <a:gd name="connsiteY0" fmla="*/ 278606 h 278606"/>
                                      <a:gd name="connsiteX1" fmla="*/ 1254919 w 1254919"/>
                                      <a:gd name="connsiteY1" fmla="*/ 278606 h 278606"/>
                                      <a:gd name="connsiteX2" fmla="*/ 1254919 w 1254919"/>
                                      <a:gd name="connsiteY2" fmla="*/ 0 h 278606"/>
                                      <a:gd name="connsiteX3" fmla="*/ 0 w 1254919"/>
                                      <a:gd name="connsiteY3" fmla="*/ 0 h 278606"/>
                                      <a:gd name="connsiteX4" fmla="*/ 0 w 1254919"/>
                                      <a:gd name="connsiteY4" fmla="*/ 202406 h 278606"/>
                                      <a:gd name="connsiteX5" fmla="*/ 297656 w 1254919"/>
                                      <a:gd name="connsiteY5" fmla="*/ 202406 h 278606"/>
                                      <a:gd name="connsiteX6" fmla="*/ 373856 w 1254919"/>
                                      <a:gd name="connsiteY6" fmla="*/ 278606 h 278606"/>
                                    </a:gdLst>
                                    <a:ahLst/>
                                    <a:cxnLst>
                                      <a:cxn ang="0">
                                        <a:pos x="connsiteX0" y="connsiteY0"/>
                                      </a:cxn>
                                      <a:cxn ang="0">
                                        <a:pos x="connsiteX1" y="connsiteY1"/>
                                      </a:cxn>
                                      <a:cxn ang="0">
                                        <a:pos x="connsiteX2" y="connsiteY2"/>
                                      </a:cxn>
                                      <a:cxn ang="0">
                                        <a:pos x="connsiteX3" y="connsiteY3"/>
                                      </a:cxn>
                                      <a:cxn ang="0">
                                        <a:pos x="connsiteX4" y="connsiteY4"/>
                                      </a:cxn>
                                      <a:cxn ang="0">
                                        <a:pos x="connsiteX5" y="connsiteY5"/>
                                      </a:cxn>
                                      <a:cxn ang="0">
                                        <a:pos x="connsiteX6" y="connsiteY6"/>
                                      </a:cxn>
                                    </a:cxnLst>
                                    <a:rect l="l" t="t" r="r" b="b"/>
                                    <a:pathLst>
                                      <a:path w="1254919" h="278606">
                                        <a:moveTo>
                                          <a:pt x="373856" y="278606"/>
                                        </a:moveTo>
                                        <a:lnTo>
                                          <a:pt x="1254919" y="278606"/>
                                        </a:lnTo>
                                        <a:lnTo>
                                          <a:pt x="1254919" y="0"/>
                                        </a:lnTo>
                                        <a:lnTo>
                                          <a:pt x="0" y="0"/>
                                        </a:lnTo>
                                        <a:lnTo>
                                          <a:pt x="0" y="202406"/>
                                        </a:lnTo>
                                        <a:lnTo>
                                          <a:pt x="297656" y="202406"/>
                                        </a:lnTo>
                                        <a:lnTo>
                                          <a:pt x="373856" y="278606"/>
                                        </a:lnTo>
                                        <a:close/>
                                      </a:path>
                                    </a:pathLst>
                                  </a:custGeom>
                                  <a:solidFill>
                                    <a:schemeClr val="accent6">
                                      <a:lumMod val="40000"/>
                                      <a:lumOff val="60000"/>
                                    </a:schemeClr>
                                  </a:solidFill>
                                  <a:ln w="1270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grpSp>
                                <xdr:nvGrpSpPr>
                                  <xdr:cNvPr id="214" name="그룹 26">
                                    <a:extLst>
                                      <a:ext uri="{FF2B5EF4-FFF2-40B4-BE49-F238E27FC236}">
                                        <a16:creationId xmlns:a16="http://schemas.microsoft.com/office/drawing/2014/main" id="{8645D7CB-C5A7-47CB-AF0B-F0DA218D3688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4822940" y="113927529"/>
                                    <a:ext cx="4323322" cy="1813094"/>
                                    <a:chOff x="2971800" y="-373107"/>
                                    <a:chExt cx="3759689" cy="1815394"/>
                                  </a:xfrm>
                                </xdr:grpSpPr>
                                <xdr:grpSp>
                                  <xdr:nvGrpSpPr>
                                    <xdr:cNvPr id="215" name="그룹 7">
                                      <a:extLst>
                                        <a:ext uri="{FF2B5EF4-FFF2-40B4-BE49-F238E27FC236}">
                                          <a16:creationId xmlns:a16="http://schemas.microsoft.com/office/drawing/2014/main" id="{CE4DC5A4-95FC-43A5-8564-31C49C673BA2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2971800" y="381000"/>
                                      <a:ext cx="773686" cy="1061287"/>
                                      <a:chOff x="2971800" y="381000"/>
                                      <a:chExt cx="773686" cy="1061287"/>
                                    </a:xfrm>
                                  </xdr:grpSpPr>
                                  <xdr:cxnSp macro="">
                                    <xdr:nvCxnSpPr>
                                      <xdr:cNvPr id="217" name="직선 연결선 3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4E19342F-BE71-4C0E-8C65-34ECE0DB8DE2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>
                                        <a:off x="3207515" y="1442287"/>
                                        <a:ext cx="537971" cy="0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218" name="직선 연결선 4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6562725A-56FB-4EF5-9110-74F3F12CF77A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 flipH="1" flipV="1">
                                        <a:off x="3121216" y="388272"/>
                                        <a:ext cx="247294" cy="1050604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219" name="직선 연결선 6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3A584D3F-3B4B-4715-B2DE-B8173AB9530F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>
                                        <a:off x="2971800" y="381000"/>
                                        <a:ext cx="363653" cy="0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</xdr:grpSp>
                                <xdr:sp macro="" textlink="">
                                  <xdr:nvSpPr>
                                    <xdr:cNvPr id="216" name="TextBox 215">
                                      <a:extLst>
                                        <a:ext uri="{FF2B5EF4-FFF2-40B4-BE49-F238E27FC236}">
                                          <a16:creationId xmlns:a16="http://schemas.microsoft.com/office/drawing/2014/main" id="{C887902F-F70D-4034-8A6B-188E8FAB752A}"/>
                                        </a:ext>
                                      </a:extLst>
                                    </xdr:cNvPr>
                                    <xdr:cNvSpPr txBox="1"/>
                                  </xdr:nvSpPr>
                                  <xdr:spPr>
                                    <a:xfrm>
                                      <a:off x="4440706" y="-373107"/>
                                      <a:ext cx="2290783" cy="285097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ctr"/>
                                    <a:lstStyle/>
                                    <a:p>
                                      <a:r>
                                        <a:rPr lang="ko-KR" altLang="en-US" sz="900"/>
                                        <a:t>정모멘트                      부모멘트</a:t>
                                      </a:r>
                                      <a:endParaRPr lang="en-US" sz="900"/>
                                    </a:p>
                                  </xdr:txBody>
                                </xdr:sp>
                              </xdr:grpSp>
                            </xdr:grpSp>
                          </xdr:grpSp>
                          <xdr:cxnSp macro="">
                            <xdr:nvCxnSpPr>
                              <xdr:cNvPr id="209" name="Straight Connector 208">
                                <a:extLst>
                                  <a:ext uri="{FF2B5EF4-FFF2-40B4-BE49-F238E27FC236}">
                                    <a16:creationId xmlns:a16="http://schemas.microsoft.com/office/drawing/2014/main" id="{F9DAF280-5FC8-4AE8-9C98-3E5B5C14D542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318569" y="111473457"/>
                                <a:ext cx="1009511" cy="0"/>
                              </a:xfrm>
                              <a:prstGeom prst="line">
                                <a:avLst/>
                              </a:prstGeom>
                              <a:ln>
                                <a:prstDash val="sysDot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10" name="Straight Connector 209">
                                <a:extLst>
                                  <a:ext uri="{FF2B5EF4-FFF2-40B4-BE49-F238E27FC236}">
                                    <a16:creationId xmlns:a16="http://schemas.microsoft.com/office/drawing/2014/main" id="{A70F7DF2-2B1A-4E02-A4E7-3418A4747192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316831" y="111540132"/>
                                <a:ext cx="1009511" cy="0"/>
                              </a:xfrm>
                              <a:prstGeom prst="line">
                                <a:avLst/>
                              </a:prstGeom>
                              <a:ln>
                                <a:prstDash val="sysDot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grpSp>
                          <xdr:nvGrpSpPr>
                            <xdr:cNvPr id="179" name="Group 178">
                              <a:extLst>
                                <a:ext uri="{FF2B5EF4-FFF2-40B4-BE49-F238E27FC236}">
                                  <a16:creationId xmlns:a16="http://schemas.microsoft.com/office/drawing/2014/main" id="{2F68F12F-7E5D-4AF4-849F-541DA5EC0D7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216851" y="110808798"/>
                              <a:ext cx="3620384" cy="1106720"/>
                              <a:chOff x="1216851" y="110808798"/>
                              <a:chExt cx="3620384" cy="1106720"/>
                            </a:xfrm>
                          </xdr:grpSpPr>
                          <xdr:grpSp>
                            <xdr:nvGrpSpPr>
                              <xdr:cNvPr id="180" name="Group 179">
                                <a:extLst>
                                  <a:ext uri="{FF2B5EF4-FFF2-40B4-BE49-F238E27FC236}">
                                    <a16:creationId xmlns:a16="http://schemas.microsoft.com/office/drawing/2014/main" id="{DE9A4B5F-BBCB-4C81-97F2-C1186B6A931B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12951" y="110808798"/>
                                <a:ext cx="608229" cy="1106720"/>
                                <a:chOff x="2897716" y="111423450"/>
                                <a:chExt cx="606511" cy="1113068"/>
                              </a:xfrm>
                            </xdr:grpSpPr>
                            <xdr:cxnSp macro="">
                              <xdr:nvCxnSpPr>
                                <xdr:cNvPr id="196" name="Straight Connector 195">
                                  <a:extLst>
                                    <a:ext uri="{FF2B5EF4-FFF2-40B4-BE49-F238E27FC236}">
                                      <a16:creationId xmlns:a16="http://schemas.microsoft.com/office/drawing/2014/main" id="{133D769E-5F8E-46AF-B789-25739BD492CB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10851" y="111423450"/>
                                  <a:ext cx="0" cy="1109204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7" name="Straight Connector 196">
                                  <a:extLst>
                                    <a:ext uri="{FF2B5EF4-FFF2-40B4-BE49-F238E27FC236}">
                                      <a16:creationId xmlns:a16="http://schemas.microsoft.com/office/drawing/2014/main" id="{23406C86-7BA6-44B2-A459-4AD5144B141F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10849" y="111604425"/>
                                  <a:ext cx="293378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8" name="Straight Connector 197">
                                  <a:extLst>
                                    <a:ext uri="{FF2B5EF4-FFF2-40B4-BE49-F238E27FC236}">
                                      <a16:creationId xmlns:a16="http://schemas.microsoft.com/office/drawing/2014/main" id="{05B51201-9D81-47D1-81C3-790483019107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897718" y="112531047"/>
                                  <a:ext cx="32181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9" name="Straight Connector 198">
                                  <a:extLst>
                                    <a:ext uri="{FF2B5EF4-FFF2-40B4-BE49-F238E27FC236}">
                                      <a16:creationId xmlns:a16="http://schemas.microsoft.com/office/drawing/2014/main" id="{0A0A1A55-AB65-4F8F-B6C2-B7B079838052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2897716" y="111610002"/>
                                  <a:ext cx="604125" cy="926516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00" name="Straight Connector 199">
                                  <a:extLst>
                                    <a:ext uri="{FF2B5EF4-FFF2-40B4-BE49-F238E27FC236}">
                                      <a16:creationId xmlns:a16="http://schemas.microsoft.com/office/drawing/2014/main" id="{8218AB79-8E4D-49DD-8648-9DBD7B438079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3332296" y="111423450"/>
                                  <a:ext cx="91914" cy="183357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01" name="Straight Connector 200">
                                  <a:extLst>
                                    <a:ext uri="{FF2B5EF4-FFF2-40B4-BE49-F238E27FC236}">
                                      <a16:creationId xmlns:a16="http://schemas.microsoft.com/office/drawing/2014/main" id="{5C43F6DC-0F99-470F-A01C-6225827799E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3466" y="111428334"/>
                                  <a:ext cx="228935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202" name="Group 201">
                                  <a:extLst>
                                    <a:ext uri="{FF2B5EF4-FFF2-40B4-BE49-F238E27FC236}">
                                      <a16:creationId xmlns:a16="http://schemas.microsoft.com/office/drawing/2014/main" id="{33BC6E0C-A639-474B-8F36-FB1F316423E4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066763" y="112342031"/>
                                  <a:ext cx="100013" cy="100013"/>
                                  <a:chOff x="3066763" y="112342031"/>
                                  <a:chExt cx="100013" cy="100013"/>
                                </a:xfrm>
                              </xdr:grpSpPr>
                              <xdr:sp macro="" textlink="">
                                <xdr:nvSpPr>
                                  <xdr:cNvPr id="206" name="Plus 94">
                                    <a:extLst>
                                      <a:ext uri="{FF2B5EF4-FFF2-40B4-BE49-F238E27FC236}">
                                        <a16:creationId xmlns:a16="http://schemas.microsoft.com/office/drawing/2014/main" id="{D989AEC1-A8BF-44B0-9EBA-808FD14D3477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073908" y="112349170"/>
                                    <a:ext cx="88106" cy="88106"/>
                                  </a:xfrm>
                                  <a:prstGeom prst="mathPlus">
                                    <a:avLst>
                                      <a:gd name="adj1" fmla="val 26462"/>
                                    </a:avLst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207" name="Oval 206">
                                    <a:extLst>
                                      <a:ext uri="{FF2B5EF4-FFF2-40B4-BE49-F238E27FC236}">
                                        <a16:creationId xmlns:a16="http://schemas.microsoft.com/office/drawing/2014/main" id="{48D720A3-C555-4FFF-BFF0-D3B3716CE752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066763" y="112342031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203" name="Group 202">
                                  <a:extLst>
                                    <a:ext uri="{FF2B5EF4-FFF2-40B4-BE49-F238E27FC236}">
                                      <a16:creationId xmlns:a16="http://schemas.microsoft.com/office/drawing/2014/main" id="{ED335494-52F6-4DDB-8281-8E58D733FADA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262315" y="111687893"/>
                                  <a:ext cx="100013" cy="107156"/>
                                  <a:chOff x="3262315" y="111685512"/>
                                  <a:chExt cx="100013" cy="107156"/>
                                </a:xfrm>
                              </xdr:grpSpPr>
                              <xdr:sp macro="" textlink="">
                                <xdr:nvSpPr>
                                  <xdr:cNvPr id="204" name="Oval 203">
                                    <a:extLst>
                                      <a:ext uri="{FF2B5EF4-FFF2-40B4-BE49-F238E27FC236}">
                                        <a16:creationId xmlns:a16="http://schemas.microsoft.com/office/drawing/2014/main" id="{AA519724-1C2F-47AE-9D07-99606F0C3469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62315" y="111685512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205" name="Minus 93">
                                    <a:extLst>
                                      <a:ext uri="{FF2B5EF4-FFF2-40B4-BE49-F238E27FC236}">
                                        <a16:creationId xmlns:a16="http://schemas.microsoft.com/office/drawing/2014/main" id="{C27C20C4-1033-4DEE-B42D-0C972A1DC901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78982" y="111685512"/>
                                    <a:ext cx="69055" cy="107156"/>
                                  </a:xfrm>
                                  <a:prstGeom prst="mathMinus">
                                    <a:avLst/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</xdr:grpSp>
                          <xdr:grpSp>
                            <xdr:nvGrpSpPr>
                              <xdr:cNvPr id="181" name="Group 180">
                                <a:extLst>
                                  <a:ext uri="{FF2B5EF4-FFF2-40B4-BE49-F238E27FC236}">
                                    <a16:creationId xmlns:a16="http://schemas.microsoft.com/office/drawing/2014/main" id="{79797ACF-2C79-4E8B-81BC-90B1AB440962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243383" y="110810598"/>
                                <a:ext cx="593852" cy="1102521"/>
                                <a:chOff x="3427708" y="111423716"/>
                                <a:chExt cx="590910" cy="1108037"/>
                              </a:xfrm>
                            </xdr:grpSpPr>
                            <xdr:cxnSp macro="">
                              <xdr:nvCxnSpPr>
                                <xdr:cNvPr id="185" name="Straight Connector 184">
                                  <a:extLst>
                                    <a:ext uri="{FF2B5EF4-FFF2-40B4-BE49-F238E27FC236}">
                                      <a16:creationId xmlns:a16="http://schemas.microsoft.com/office/drawing/2014/main" id="{6D443B8E-2A76-4FF1-8527-1C1CEA231619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718146" y="111423716"/>
                                  <a:ext cx="0" cy="1104633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6" name="Straight Connector 185">
                                  <a:extLst>
                                    <a:ext uri="{FF2B5EF4-FFF2-40B4-BE49-F238E27FC236}">
                                      <a16:creationId xmlns:a16="http://schemas.microsoft.com/office/drawing/2014/main" id="{55C8C9E5-4D73-40A9-91B3-9CC80F29BE48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431577" y="111604425"/>
                                  <a:ext cx="28657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7" name="Straight Connector 186">
                                  <a:extLst>
                                    <a:ext uri="{FF2B5EF4-FFF2-40B4-BE49-F238E27FC236}">
                                      <a16:creationId xmlns:a16="http://schemas.microsoft.com/office/drawing/2014/main" id="{9B88B2DB-4F23-40A9-A015-BA6D341D3B36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715748" y="112525968"/>
                                  <a:ext cx="299578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8" name="Straight Connector 187">
                                  <a:extLst>
                                    <a:ext uri="{FF2B5EF4-FFF2-40B4-BE49-F238E27FC236}">
                                      <a16:creationId xmlns:a16="http://schemas.microsoft.com/office/drawing/2014/main" id="{DD7231B0-3656-4F63-96B2-06D548081173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427708" y="111601899"/>
                                  <a:ext cx="590910" cy="929854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9" name="Straight Connector 188">
                                  <a:extLst>
                                    <a:ext uri="{FF2B5EF4-FFF2-40B4-BE49-F238E27FC236}">
                                      <a16:creationId xmlns:a16="http://schemas.microsoft.com/office/drawing/2014/main" id="{61A93F8F-FE7D-43C0-9EC9-6DB2ABD21582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465006" y="111429579"/>
                                  <a:ext cx="25067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190" name="Group 189">
                                  <a:extLst>
                                    <a:ext uri="{FF2B5EF4-FFF2-40B4-BE49-F238E27FC236}">
                                      <a16:creationId xmlns:a16="http://schemas.microsoft.com/office/drawing/2014/main" id="{B5EBFE8C-485A-4244-A502-78D011B1B3B2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579554" y="111680284"/>
                                  <a:ext cx="100013" cy="100013"/>
                                  <a:chOff x="3579554" y="111680284"/>
                                  <a:chExt cx="100013" cy="100013"/>
                                </a:xfrm>
                              </xdr:grpSpPr>
                              <xdr:sp macro="" textlink="">
                                <xdr:nvSpPr>
                                  <xdr:cNvPr id="194" name="Plus 82">
                                    <a:extLst>
                                      <a:ext uri="{FF2B5EF4-FFF2-40B4-BE49-F238E27FC236}">
                                        <a16:creationId xmlns:a16="http://schemas.microsoft.com/office/drawing/2014/main" id="{C30158F5-945D-46C6-8C15-66660E73EED3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586706" y="111687429"/>
                                    <a:ext cx="88106" cy="88106"/>
                                  </a:xfrm>
                                  <a:prstGeom prst="mathPlus">
                                    <a:avLst>
                                      <a:gd name="adj1" fmla="val 26462"/>
                                    </a:avLst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195" name="Oval 194">
                                    <a:extLst>
                                      <a:ext uri="{FF2B5EF4-FFF2-40B4-BE49-F238E27FC236}">
                                        <a16:creationId xmlns:a16="http://schemas.microsoft.com/office/drawing/2014/main" id="{5D0F9620-81B9-4720-9965-AE899084F84E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579554" y="111680284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191" name="Group 190">
                                  <a:extLst>
                                    <a:ext uri="{FF2B5EF4-FFF2-40B4-BE49-F238E27FC236}">
                                      <a16:creationId xmlns:a16="http://schemas.microsoft.com/office/drawing/2014/main" id="{99CA8026-5E8E-451E-B7A9-B00E433A3553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769999" y="112351117"/>
                                  <a:ext cx="100013" cy="107156"/>
                                  <a:chOff x="3769999" y="112348736"/>
                                  <a:chExt cx="100013" cy="107156"/>
                                </a:xfrm>
                              </xdr:grpSpPr>
                              <xdr:sp macro="" textlink="">
                                <xdr:nvSpPr>
                                  <xdr:cNvPr id="192" name="Oval 191">
                                    <a:extLst>
                                      <a:ext uri="{FF2B5EF4-FFF2-40B4-BE49-F238E27FC236}">
                                        <a16:creationId xmlns:a16="http://schemas.microsoft.com/office/drawing/2014/main" id="{31F953A9-07D0-4759-9A1A-30DBAC491BEA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769999" y="112348736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193" name="Minus 81">
                                    <a:extLst>
                                      <a:ext uri="{FF2B5EF4-FFF2-40B4-BE49-F238E27FC236}">
                                        <a16:creationId xmlns:a16="http://schemas.microsoft.com/office/drawing/2014/main" id="{4082F7C0-4B57-4084-A598-F1328DB09B3D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786676" y="112348736"/>
                                    <a:ext cx="69055" cy="107156"/>
                                  </a:xfrm>
                                  <a:prstGeom prst="mathMinus">
                                    <a:avLst/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</xdr:grpSp>
                          <xdr:cxnSp macro="">
                            <xdr:nvCxnSpPr>
                              <xdr:cNvPr id="182" name="Straight Connector 181">
                                <a:extLst>
                                  <a:ext uri="{FF2B5EF4-FFF2-40B4-BE49-F238E27FC236}">
                                    <a16:creationId xmlns:a16="http://schemas.microsoft.com/office/drawing/2014/main" id="{20BA174A-3100-4843-AC15-B85852624F15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227730" y="111907967"/>
                                <a:ext cx="3312704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83" name="Straight Connector 182">
                                <a:extLst>
                                  <a:ext uri="{FF2B5EF4-FFF2-40B4-BE49-F238E27FC236}">
                                    <a16:creationId xmlns:a16="http://schemas.microsoft.com/office/drawing/2014/main" id="{86C44DBE-3570-4652-BE51-D5F187D1ADEA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216851" y="110991350"/>
                                <a:ext cx="3070644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84" name="Straight Connector 183">
                                <a:extLst>
                                  <a:ext uri="{FF2B5EF4-FFF2-40B4-BE49-F238E27FC236}">
                                    <a16:creationId xmlns:a16="http://schemas.microsoft.com/office/drawing/2014/main" id="{2E74B3A3-3AD6-4020-B9B7-A2EE530EAF08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307856" y="110813609"/>
                                <a:ext cx="1975510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</xdr:grpSp>
                    </xdr:grpSp>
                    <xdr:grpSp>
                      <xdr:nvGrpSpPr>
                        <xdr:cNvPr id="170" name="Group 169">
                          <a:extLst>
                            <a:ext uri="{FF2B5EF4-FFF2-40B4-BE49-F238E27FC236}">
                              <a16:creationId xmlns:a16="http://schemas.microsoft.com/office/drawing/2014/main" id="{5C1246C1-326F-4795-9063-B729449ABF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047877" y="111697293"/>
                          <a:ext cx="2309172" cy="1138239"/>
                          <a:chOff x="2047877" y="111697293"/>
                          <a:chExt cx="2309172" cy="1138239"/>
                        </a:xfrm>
                      </xdr:grpSpPr>
                      <xdr:sp macro="" textlink="">
                        <xdr:nvSpPr>
                          <xdr:cNvPr id="171" name="TextBox 170">
                            <a:extLst>
                              <a:ext uri="{FF2B5EF4-FFF2-40B4-BE49-F238E27FC236}">
                                <a16:creationId xmlns:a16="http://schemas.microsoft.com/office/drawing/2014/main" id="{913EA51F-A116-4D85-9F29-75F4DA037D8A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2047877" y="112661701"/>
                            <a:ext cx="321468" cy="1738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2" name="TextBox 171">
                            <a:extLst>
                              <a:ext uri="{FF2B5EF4-FFF2-40B4-BE49-F238E27FC236}">
                                <a16:creationId xmlns:a16="http://schemas.microsoft.com/office/drawing/2014/main" id="{48812394-E436-4AFE-B403-73198C15B489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2740818" y="111697293"/>
                            <a:ext cx="362453" cy="183323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c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3" name="TextBox 172">
                            <a:extLst>
                              <a:ext uri="{FF2B5EF4-FFF2-40B4-BE49-F238E27FC236}">
                                <a16:creationId xmlns:a16="http://schemas.microsoft.com/office/drawing/2014/main" id="{8448E7EF-3238-4103-BC5F-50DFA9EDE95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353970" y="111700108"/>
                            <a:ext cx="269736" cy="178593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4" name="TextBox 173">
                            <a:extLst>
                              <a:ext uri="{FF2B5EF4-FFF2-40B4-BE49-F238E27FC236}">
                                <a16:creationId xmlns:a16="http://schemas.microsoft.com/office/drawing/2014/main" id="{2E0E320F-5A79-4DF7-AA23-4869A82BA1B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41538" y="112592645"/>
                            <a:ext cx="315511" cy="1738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c</a:t>
                            </a:r>
                            <a:endParaRPr lang="en-US" sz="900"/>
                          </a:p>
                        </xdr:txBody>
                      </xdr:sp>
                    </xdr:grpSp>
                  </xdr:grpSp>
                  <xdr:grpSp>
                    <xdr:nvGrpSpPr>
                      <xdr:cNvPr id="166" name="Group 165">
                        <a:extLst>
                          <a:ext uri="{FF2B5EF4-FFF2-40B4-BE49-F238E27FC236}">
                            <a16:creationId xmlns:a16="http://schemas.microsoft.com/office/drawing/2014/main" id="{9568BB8C-E60A-44BE-B052-9598773A2E1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391353" y="5094828"/>
                        <a:ext cx="99748" cy="107468"/>
                        <a:chOff x="2728915" y="5348654"/>
                        <a:chExt cx="99748" cy="107468"/>
                      </a:xfrm>
                    </xdr:grpSpPr>
                    <xdr:sp macro="" textlink="">
                      <xdr:nvSpPr>
                        <xdr:cNvPr id="167" name="Oval 166">
                          <a:extLst>
                            <a:ext uri="{FF2B5EF4-FFF2-40B4-BE49-F238E27FC236}">
                              <a16:creationId xmlns:a16="http://schemas.microsoft.com/office/drawing/2014/main" id="{C630FE24-0520-422D-85A9-A7FCE04C13E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28915" y="5348654"/>
                          <a:ext cx="99748" cy="100304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68" name="Minus 36">
                          <a:extLst>
                            <a:ext uri="{FF2B5EF4-FFF2-40B4-BE49-F238E27FC236}">
                              <a16:creationId xmlns:a16="http://schemas.microsoft.com/office/drawing/2014/main" id="{F739F16E-2EC4-4BAF-99E5-A57AB9C08072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45539" y="5348654"/>
                          <a:ext cx="68872" cy="107468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cxnSp macro="">
                  <xdr:nvCxnSpPr>
                    <xdr:cNvPr id="160" name="Straight Connector 159">
                      <a:extLst>
                        <a:ext uri="{FF2B5EF4-FFF2-40B4-BE49-F238E27FC236}">
                          <a16:creationId xmlns:a16="http://schemas.microsoft.com/office/drawing/2014/main" id="{D92FF7C9-C42D-4DC1-892B-383E505EFAB9}"/>
                        </a:ext>
                      </a:extLst>
                    </xdr:cNvPr>
                    <xdr:cNvCxnSpPr/>
                  </xdr:nvCxnSpPr>
                  <xdr:spPr>
                    <a:xfrm>
                      <a:off x="9165592" y="22477898"/>
                      <a:ext cx="0" cy="458302"/>
                    </a:xfrm>
                    <a:prstGeom prst="line">
                      <a:avLst/>
                    </a:prstGeom>
                    <a:ln w="3175">
                      <a:headEnd type="oval" w="sm" len="sm"/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1" name="TextBox 160">
                      <a:extLst>
                        <a:ext uri="{FF2B5EF4-FFF2-40B4-BE49-F238E27FC236}">
                          <a16:creationId xmlns:a16="http://schemas.microsoft.com/office/drawing/2014/main" id="{43241233-58DC-4963-9B21-D32135B7FF91}"/>
                        </a:ext>
                      </a:extLst>
                    </xdr:cNvPr>
                    <xdr:cNvSpPr txBox="1"/>
                  </xdr:nvSpPr>
                  <xdr:spPr>
                    <a:xfrm>
                      <a:off x="8921293" y="22626297"/>
                      <a:ext cx="321468" cy="17383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D</a:t>
                      </a:r>
                      <a:r>
                        <a:rPr lang="en-US" sz="7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c</a:t>
                      </a:r>
                      <a:endParaRPr lang="en-US" sz="700"/>
                    </a:p>
                  </xdr:txBody>
                </xdr:sp>
                <xdr:cxnSp macro="">
                  <xdr:nvCxnSpPr>
                    <xdr:cNvPr id="162" name="Straight Connector 161">
                      <a:extLst>
                        <a:ext uri="{FF2B5EF4-FFF2-40B4-BE49-F238E27FC236}">
                          <a16:creationId xmlns:a16="http://schemas.microsoft.com/office/drawing/2014/main" id="{54F28068-3F8C-4A16-8379-8F10C8237F16}"/>
                        </a:ext>
                      </a:extLst>
                    </xdr:cNvPr>
                    <xdr:cNvCxnSpPr/>
                  </xdr:nvCxnSpPr>
                  <xdr:spPr>
                    <a:xfrm>
                      <a:off x="8460581" y="22526625"/>
                      <a:ext cx="70299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3" name="Straight Connector 162">
                      <a:extLst>
                        <a:ext uri="{FF2B5EF4-FFF2-40B4-BE49-F238E27FC236}">
                          <a16:creationId xmlns:a16="http://schemas.microsoft.com/office/drawing/2014/main" id="{F0062910-23B1-43D7-BC1F-3966F39DF28E}"/>
                        </a:ext>
                      </a:extLst>
                    </xdr:cNvPr>
                    <xdr:cNvCxnSpPr/>
                  </xdr:nvCxnSpPr>
                  <xdr:spPr>
                    <a:xfrm>
                      <a:off x="7379454" y="22474238"/>
                      <a:ext cx="0" cy="926306"/>
                    </a:xfrm>
                    <a:prstGeom prst="line">
                      <a:avLst/>
                    </a:prstGeom>
                    <a:ln w="3175">
                      <a:headEnd type="oval" w="sm" len="sm"/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4" name="TextBox 163">
                      <a:extLst>
                        <a:ext uri="{FF2B5EF4-FFF2-40B4-BE49-F238E27FC236}">
                          <a16:creationId xmlns:a16="http://schemas.microsoft.com/office/drawing/2014/main" id="{2E73EC44-B6B7-47F5-9B59-AA7E522F5CAD}"/>
                        </a:ext>
                      </a:extLst>
                    </xdr:cNvPr>
                    <xdr:cNvSpPr txBox="1"/>
                  </xdr:nvSpPr>
                  <xdr:spPr>
                    <a:xfrm>
                      <a:off x="7206917" y="22813057"/>
                      <a:ext cx="321468" cy="17383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d</a:t>
                      </a:r>
                      <a:endParaRPr lang="en-US" sz="700"/>
                    </a:p>
                  </xdr:txBody>
                </xdr:sp>
              </xdr:grpSp>
              <xdr:cxnSp macro="">
                <xdr:nvCxnSpPr>
                  <xdr:cNvPr id="156" name="Straight Connector 155">
                    <a:extLst>
                      <a:ext uri="{FF2B5EF4-FFF2-40B4-BE49-F238E27FC236}">
                        <a16:creationId xmlns:a16="http://schemas.microsoft.com/office/drawing/2014/main" id="{47963379-3A20-41B8-BC0D-7D6535B620D5}"/>
                      </a:ext>
                    </a:extLst>
                  </xdr:cNvPr>
                  <xdr:cNvCxnSpPr/>
                </xdr:nvCxnSpPr>
                <xdr:spPr>
                  <a:xfrm>
                    <a:off x="10371968" y="22805881"/>
                    <a:ext cx="0" cy="464248"/>
                  </a:xfrm>
                  <a:prstGeom prst="line">
                    <a:avLst/>
                  </a:prstGeom>
                  <a:ln w="3175">
                    <a:headEnd type="oval" w="sm" len="sm"/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7" name="Straight Connector 156">
                    <a:extLst>
                      <a:ext uri="{FF2B5EF4-FFF2-40B4-BE49-F238E27FC236}">
                        <a16:creationId xmlns:a16="http://schemas.microsoft.com/office/drawing/2014/main" id="{DD021A7A-588C-431D-9A11-F470BEA7B0B5}"/>
                      </a:ext>
                    </a:extLst>
                  </xdr:cNvPr>
                  <xdr:cNvCxnSpPr/>
                </xdr:nvCxnSpPr>
                <xdr:spPr>
                  <a:xfrm>
                    <a:off x="8480497" y="23214482"/>
                    <a:ext cx="1894176" cy="0"/>
                  </a:xfrm>
                  <a:prstGeom prst="line">
                    <a:avLst/>
                  </a:prstGeom>
                  <a:ln w="3175">
                    <a:prstDash val="sysDash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8" name="TextBox 157">
                    <a:extLst>
                      <a:ext uri="{FF2B5EF4-FFF2-40B4-BE49-F238E27FC236}">
                        <a16:creationId xmlns:a16="http://schemas.microsoft.com/office/drawing/2014/main" id="{74674058-B7BA-4652-A940-3EC35A29CFEC}"/>
                      </a:ext>
                    </a:extLst>
                  </xdr:cNvPr>
                  <xdr:cNvSpPr txBox="1"/>
                </xdr:nvSpPr>
                <xdr:spPr>
                  <a:xfrm>
                    <a:off x="10141961" y="22922237"/>
                    <a:ext cx="321594" cy="17283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D</a:t>
                    </a:r>
                    <a:r>
                      <a:rPr lang="en-US" sz="7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c</a:t>
                    </a:r>
                    <a:endParaRPr lang="en-US" sz="700"/>
                  </a:p>
                </xdr:txBody>
              </xdr:sp>
            </xdr:grpSp>
            <xdr:cxnSp macro="">
              <xdr:nvCxnSpPr>
                <xdr:cNvPr id="153" name="Straight Connector 152">
                  <a:extLst>
                    <a:ext uri="{FF2B5EF4-FFF2-40B4-BE49-F238E27FC236}">
                      <a16:creationId xmlns:a16="http://schemas.microsoft.com/office/drawing/2014/main" id="{76FD74A5-6A77-46B1-9C03-BBCD884EE7EF}"/>
                    </a:ext>
                  </a:extLst>
                </xdr:cNvPr>
                <xdr:cNvCxnSpPr/>
              </xdr:nvCxnSpPr>
              <xdr:spPr>
                <a:xfrm>
                  <a:off x="2578894" y="22693313"/>
                  <a:ext cx="0" cy="159543"/>
                </a:xfrm>
                <a:prstGeom prst="line">
                  <a:avLst/>
                </a:prstGeom>
                <a:ln w="3175">
                  <a:headEnd type="none" w="sm" len="sm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4" name="TextBox 153">
                  <a:extLst>
                    <a:ext uri="{FF2B5EF4-FFF2-40B4-BE49-F238E27FC236}">
                      <a16:creationId xmlns:a16="http://schemas.microsoft.com/office/drawing/2014/main" id="{84864626-D52F-48FF-8E89-F15B86C3B24A}"/>
                    </a:ext>
                  </a:extLst>
                </xdr:cNvPr>
                <xdr:cNvSpPr txBox="1"/>
              </xdr:nvSpPr>
              <xdr:spPr>
                <a:xfrm>
                  <a:off x="2331243" y="22633782"/>
                  <a:ext cx="317489" cy="1737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 panose="020B0503020000020004" pitchFamily="50" charset="-127"/>
                      <a:ea typeface="맑은 고딕" panose="020B0503020000020004" pitchFamily="50" charset="-127"/>
                    </a:rPr>
                    <a:t>t</a:t>
                  </a:r>
                  <a:r>
                    <a:rPr lang="en-US" sz="700">
                      <a:latin typeface="맑은 고딕" panose="020B0503020000020004" pitchFamily="50" charset="-127"/>
                      <a:ea typeface="맑은 고딕" panose="020B0503020000020004" pitchFamily="50" charset="-127"/>
                    </a:rPr>
                    <a:t>fc</a:t>
                  </a:r>
                  <a:endParaRPr lang="en-US" sz="700"/>
                </a:p>
              </xdr:txBody>
            </xdr:sp>
          </xdr:grp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F14DCBC1-C5EF-4D5E-B2AA-F5F91B49E510}"/>
                  </a:ext>
                </a:extLst>
              </xdr:cNvPr>
              <xdr:cNvCxnSpPr/>
            </xdr:nvCxnSpPr>
            <xdr:spPr>
              <a:xfrm>
                <a:off x="3767138" y="23672006"/>
                <a:ext cx="0" cy="219075"/>
              </a:xfrm>
              <a:prstGeom prst="line">
                <a:avLst/>
              </a:prstGeom>
              <a:ln w="3175">
                <a:headEnd type="oval" w="sm" len="sm"/>
                <a:tailEnd type="non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1" name="TextBox 150">
                <a:extLst>
                  <a:ext uri="{FF2B5EF4-FFF2-40B4-BE49-F238E27FC236}">
                    <a16:creationId xmlns:a16="http://schemas.microsoft.com/office/drawing/2014/main" id="{E0C2704B-8CB6-4B88-A076-C8F03ECC0585}"/>
                  </a:ext>
                </a:extLst>
              </xdr:cNvPr>
              <xdr:cNvSpPr txBox="1"/>
            </xdr:nvSpPr>
            <xdr:spPr>
              <a:xfrm>
                <a:off x="3538538" y="23719630"/>
                <a:ext cx="317489" cy="173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t</a:t>
                </a:r>
                <a:r>
                  <a:rPr lang="en-US" sz="700"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fc</a:t>
                </a:r>
                <a:endParaRPr lang="en-US" sz="700"/>
              </a:p>
            </xdr:txBody>
          </xdr:sp>
        </xdr:grpSp>
        <xdr:cxnSp macro="">
          <xdr:nvCxnSpPr>
            <xdr:cNvPr id="145" name="Straight Connector 144">
              <a:extLst>
                <a:ext uri="{FF2B5EF4-FFF2-40B4-BE49-F238E27FC236}">
                  <a16:creationId xmlns:a16="http://schemas.microsoft.com/office/drawing/2014/main" id="{4A2591CC-DEBD-45AC-AB60-5CD77732E42B}"/>
                </a:ext>
              </a:extLst>
            </xdr:cNvPr>
            <xdr:cNvCxnSpPr/>
          </xdr:nvCxnSpPr>
          <xdr:spPr>
            <a:xfrm flipH="1" flipV="1">
              <a:off x="3814555" y="22739710"/>
              <a:ext cx="111773" cy="179208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46" name="Group 145">
              <a:extLst>
                <a:ext uri="{FF2B5EF4-FFF2-40B4-BE49-F238E27FC236}">
                  <a16:creationId xmlns:a16="http://schemas.microsoft.com/office/drawing/2014/main" id="{0DDCFDFD-C200-4E88-95E2-EC9F03A1AF6F}"/>
                </a:ext>
              </a:extLst>
            </xdr:cNvPr>
            <xdr:cNvGrpSpPr/>
          </xdr:nvGrpSpPr>
          <xdr:grpSpPr>
            <a:xfrm>
              <a:off x="3920470" y="22776533"/>
              <a:ext cx="98724" cy="100588"/>
              <a:chOff x="4286250" y="22594871"/>
              <a:chExt cx="98724" cy="100588"/>
            </a:xfrm>
          </xdr:grpSpPr>
          <xdr:sp macro="" textlink="">
            <xdr:nvSpPr>
              <xdr:cNvPr id="147" name="Plus 169">
                <a:extLst>
                  <a:ext uri="{FF2B5EF4-FFF2-40B4-BE49-F238E27FC236}">
                    <a16:creationId xmlns:a16="http://schemas.microsoft.com/office/drawing/2014/main" id="{457F586D-067B-4E74-8368-ED6BC3E66A03}"/>
                  </a:ext>
                </a:extLst>
              </xdr:cNvPr>
              <xdr:cNvSpPr/>
            </xdr:nvSpPr>
            <xdr:spPr>
              <a:xfrm>
                <a:off x="4293310" y="22602057"/>
                <a:ext cx="86970" cy="88613"/>
              </a:xfrm>
              <a:prstGeom prst="mathPlus">
                <a:avLst>
                  <a:gd name="adj1" fmla="val 26462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48" name="Oval 147">
                <a:extLst>
                  <a:ext uri="{FF2B5EF4-FFF2-40B4-BE49-F238E27FC236}">
                    <a16:creationId xmlns:a16="http://schemas.microsoft.com/office/drawing/2014/main" id="{DEEFBCE4-E83D-44DF-9095-54D9C526B27B}"/>
                  </a:ext>
                </a:extLst>
              </xdr:cNvPr>
              <xdr:cNvSpPr/>
            </xdr:nvSpPr>
            <xdr:spPr>
              <a:xfrm>
                <a:off x="4286250" y="22594871"/>
                <a:ext cx="98724" cy="100588"/>
              </a:xfrm>
              <a:prstGeom prst="ellipse">
                <a:avLst/>
              </a:prstGeom>
              <a:noFill/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</xdr:grpSp>
      <xdr:sp macro="" textlink="">
        <xdr:nvSpPr>
          <xdr:cNvPr id="142" name="TextBox 141">
            <a:extLst>
              <a:ext uri="{FF2B5EF4-FFF2-40B4-BE49-F238E27FC236}">
                <a16:creationId xmlns:a16="http://schemas.microsoft.com/office/drawing/2014/main" id="{099FBB47-6467-4169-9E58-864D6551CBB7}"/>
              </a:ext>
            </a:extLst>
          </xdr:cNvPr>
          <xdr:cNvSpPr txBox="1"/>
        </xdr:nvSpPr>
        <xdr:spPr>
          <a:xfrm>
            <a:off x="2906598" y="22553137"/>
            <a:ext cx="400148" cy="184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 panose="020B0503020000020004" pitchFamily="50" charset="-127"/>
                <a:ea typeface="맑은 고딕" panose="020B0503020000020004" pitchFamily="50" charset="-127"/>
              </a:rPr>
              <a:t>f</a:t>
            </a:r>
            <a:r>
              <a:rPr lang="en-US" sz="700">
                <a:latin typeface="맑은 고딕" panose="020B0503020000020004" pitchFamily="50" charset="-127"/>
                <a:ea typeface="맑은 고딕" panose="020B0503020000020004" pitchFamily="50" charset="-127"/>
              </a:rPr>
              <a:t>con</a:t>
            </a:r>
            <a:endParaRPr lang="en-US" sz="900"/>
          </a:p>
        </xdr:txBody>
      </xdr:sp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F5E6B998-7C2F-425C-8A83-8C44470690CC}"/>
              </a:ext>
            </a:extLst>
          </xdr:cNvPr>
          <xdr:cNvSpPr txBox="1"/>
        </xdr:nvSpPr>
        <xdr:spPr>
          <a:xfrm>
            <a:off x="3652887" y="22560503"/>
            <a:ext cx="400148" cy="184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 panose="020B0503020000020004" pitchFamily="50" charset="-127"/>
                <a:ea typeface="맑은 고딕" panose="020B0503020000020004" pitchFamily="50" charset="-127"/>
              </a:rPr>
              <a:t>f</a:t>
            </a:r>
            <a:r>
              <a:rPr lang="en-US" sz="700">
                <a:latin typeface="맑은 고딕" panose="020B0503020000020004" pitchFamily="50" charset="-127"/>
                <a:ea typeface="맑은 고딕" panose="020B0503020000020004" pitchFamily="50" charset="-127"/>
              </a:rPr>
              <a:t>con</a:t>
            </a:r>
            <a:endParaRPr lang="en-US" sz="9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59</xdr:row>
      <xdr:rowOff>180976</xdr:rowOff>
    </xdr:from>
    <xdr:to>
      <xdr:col>13</xdr:col>
      <xdr:colOff>361950</xdr:colOff>
      <xdr:row>65</xdr:row>
      <xdr:rowOff>72078</xdr:rowOff>
    </xdr:to>
    <xdr:grpSp>
      <xdr:nvGrpSpPr>
        <xdr:cNvPr id="82" name="그룹 59">
          <a:extLst>
            <a:ext uri="{FF2B5EF4-FFF2-40B4-BE49-F238E27FC236}">
              <a16:creationId xmlns:a16="http://schemas.microsoft.com/office/drawing/2014/main" id="{44E8FE24-A73D-40AC-8420-3F94E64994CE}"/>
            </a:ext>
          </a:extLst>
        </xdr:cNvPr>
        <xdr:cNvGrpSpPr/>
      </xdr:nvGrpSpPr>
      <xdr:grpSpPr>
        <a:xfrm>
          <a:off x="4010025" y="11096626"/>
          <a:ext cx="1552575" cy="1148402"/>
          <a:chOff x="538689" y="21665334"/>
          <a:chExt cx="2549636" cy="1147041"/>
        </a:xfrm>
      </xdr:grpSpPr>
      <xdr:grpSp>
        <xdr:nvGrpSpPr>
          <xdr:cNvPr id="83" name="그룹 17">
            <a:extLst>
              <a:ext uri="{FF2B5EF4-FFF2-40B4-BE49-F238E27FC236}">
                <a16:creationId xmlns:a16="http://schemas.microsoft.com/office/drawing/2014/main" id="{245153F4-BB7F-415E-81C7-5B47792B8AA1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85" name="그룹 112">
              <a:extLst>
                <a:ext uri="{FF2B5EF4-FFF2-40B4-BE49-F238E27FC236}">
                  <a16:creationId xmlns:a16="http://schemas.microsoft.com/office/drawing/2014/main" id="{9E1E675A-EEDC-4DF2-82C3-527A520D7528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90" name="그룹 176">
                <a:extLst>
                  <a:ext uri="{FF2B5EF4-FFF2-40B4-BE49-F238E27FC236}">
                    <a16:creationId xmlns:a16="http://schemas.microsoft.com/office/drawing/2014/main" id="{A15C2236-F134-49CC-B49E-BB01ABA3567B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99" name="자유형 179">
                  <a:extLst>
                    <a:ext uri="{FF2B5EF4-FFF2-40B4-BE49-F238E27FC236}">
                      <a16:creationId xmlns:a16="http://schemas.microsoft.com/office/drawing/2014/main" id="{784AA31B-53B4-4E75-A578-5C3C9AE451F6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00" name="그룹 180">
                  <a:extLst>
                    <a:ext uri="{FF2B5EF4-FFF2-40B4-BE49-F238E27FC236}">
                      <a16:creationId xmlns:a16="http://schemas.microsoft.com/office/drawing/2014/main" id="{2E5D4B0F-CB28-44E3-98D6-D17E115CF2CF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01" name="그룹 181">
                    <a:extLst>
                      <a:ext uri="{FF2B5EF4-FFF2-40B4-BE49-F238E27FC236}">
                        <a16:creationId xmlns:a16="http://schemas.microsoft.com/office/drawing/2014/main" id="{42082A63-4F3A-4F46-95EA-DDDFA442CA25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03" name="직선 연결선 183">
                      <a:extLst>
                        <a:ext uri="{FF2B5EF4-FFF2-40B4-BE49-F238E27FC236}">
                          <a16:creationId xmlns:a16="http://schemas.microsoft.com/office/drawing/2014/main" id="{092654F0-F366-454F-B77D-AA24D71650BD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4" name="직선 연결선 184">
                      <a:extLst>
                        <a:ext uri="{FF2B5EF4-FFF2-40B4-BE49-F238E27FC236}">
                          <a16:creationId xmlns:a16="http://schemas.microsoft.com/office/drawing/2014/main" id="{C5FB98D1-97F3-42DA-BC63-6E6B973CCA51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5" name="직선 연결선 185">
                      <a:extLst>
                        <a:ext uri="{FF2B5EF4-FFF2-40B4-BE49-F238E27FC236}">
                          <a16:creationId xmlns:a16="http://schemas.microsoft.com/office/drawing/2014/main" id="{4E58D55C-F1D0-4D16-A44A-961CFF2B7C6E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6" name="직선 연결선 186">
                      <a:extLst>
                        <a:ext uri="{FF2B5EF4-FFF2-40B4-BE49-F238E27FC236}">
                          <a16:creationId xmlns:a16="http://schemas.microsoft.com/office/drawing/2014/main" id="{0318F342-70FE-41CF-8541-FD0D6F149A0F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02" name="직선 연결선 182">
                    <a:extLst>
                      <a:ext uri="{FF2B5EF4-FFF2-40B4-BE49-F238E27FC236}">
                        <a16:creationId xmlns:a16="http://schemas.microsoft.com/office/drawing/2014/main" id="{EEFB275A-A0CA-4194-9185-1EAED916D9A4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91" name="그룹 122">
                <a:extLst>
                  <a:ext uri="{FF2B5EF4-FFF2-40B4-BE49-F238E27FC236}">
                    <a16:creationId xmlns:a16="http://schemas.microsoft.com/office/drawing/2014/main" id="{DC6092DA-5B18-4B5B-A12F-977F30230FD5}"/>
                  </a:ext>
                </a:extLst>
              </xdr:cNvPr>
              <xdr:cNvGrpSpPr/>
            </xdr:nvGrpSpPr>
            <xdr:grpSpPr>
              <a:xfrm>
                <a:off x="4698953" y="6665478"/>
                <a:ext cx="848704" cy="785766"/>
                <a:chOff x="4698953" y="6665478"/>
                <a:chExt cx="848704" cy="785766"/>
              </a:xfrm>
            </xdr:grpSpPr>
            <xdr:sp macro="" textlink="">
              <xdr:nvSpPr>
                <xdr:cNvPr id="92" name="TextBox 91">
                  <a:extLst>
                    <a:ext uri="{FF2B5EF4-FFF2-40B4-BE49-F238E27FC236}">
                      <a16:creationId xmlns:a16="http://schemas.microsoft.com/office/drawing/2014/main" id="{AA2A5F03-CADC-4419-9F87-7B0DE57207D0}"/>
                    </a:ext>
                  </a:extLst>
                </xdr:cNvPr>
                <xdr:cNvSpPr txBox="1"/>
              </xdr:nvSpPr>
              <xdr:spPr>
                <a:xfrm>
                  <a:off x="4698953" y="6665478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93" name="그룹 135">
                  <a:extLst>
                    <a:ext uri="{FF2B5EF4-FFF2-40B4-BE49-F238E27FC236}">
                      <a16:creationId xmlns:a16="http://schemas.microsoft.com/office/drawing/2014/main" id="{FEFD6A94-FC23-4261-A627-031C25E99F5F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94" name="직선 화살표 연결선 153">
                    <a:extLst>
                      <a:ext uri="{FF2B5EF4-FFF2-40B4-BE49-F238E27FC236}">
                        <a16:creationId xmlns:a16="http://schemas.microsoft.com/office/drawing/2014/main" id="{4B334CF7-9154-446E-B873-68665B5AB1CD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5" name="직선 화살표 연결선 154">
                    <a:extLst>
                      <a:ext uri="{FF2B5EF4-FFF2-40B4-BE49-F238E27FC236}">
                        <a16:creationId xmlns:a16="http://schemas.microsoft.com/office/drawing/2014/main" id="{0FB1347C-C824-4F8A-962C-9980EEC771C7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6" name="직선 연결선 155">
                    <a:extLst>
                      <a:ext uri="{FF2B5EF4-FFF2-40B4-BE49-F238E27FC236}">
                        <a16:creationId xmlns:a16="http://schemas.microsoft.com/office/drawing/2014/main" id="{81CD6889-599F-4875-9D36-5BFC00178427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7" name="직선 연결선 157">
                    <a:extLst>
                      <a:ext uri="{FF2B5EF4-FFF2-40B4-BE49-F238E27FC236}">
                        <a16:creationId xmlns:a16="http://schemas.microsoft.com/office/drawing/2014/main" id="{E4E9151B-7258-41B5-BD48-B783B417160D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8" name="직선 연결선 159">
                    <a:extLst>
                      <a:ext uri="{FF2B5EF4-FFF2-40B4-BE49-F238E27FC236}">
                        <a16:creationId xmlns:a16="http://schemas.microsoft.com/office/drawing/2014/main" id="{6FC023EA-FB87-4E10-B11E-EEE395C511D1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86" name="그룹 16">
              <a:extLst>
                <a:ext uri="{FF2B5EF4-FFF2-40B4-BE49-F238E27FC236}">
                  <a16:creationId xmlns:a16="http://schemas.microsoft.com/office/drawing/2014/main" id="{7CE7A647-81F5-4A60-B533-81CF2344C2D5}"/>
                </a:ext>
              </a:extLst>
            </xdr:cNvPr>
            <xdr:cNvGrpSpPr/>
          </xdr:nvGrpSpPr>
          <xdr:grpSpPr>
            <a:xfrm>
              <a:off x="8005780" y="21978937"/>
              <a:ext cx="290732" cy="542926"/>
              <a:chOff x="8005780" y="21978937"/>
              <a:chExt cx="290732" cy="542926"/>
            </a:xfrm>
          </xdr:grpSpPr>
          <xdr:cxnSp macro="">
            <xdr:nvCxnSpPr>
              <xdr:cNvPr id="87" name="직선 연결선 8">
                <a:extLst>
                  <a:ext uri="{FF2B5EF4-FFF2-40B4-BE49-F238E27FC236}">
                    <a16:creationId xmlns:a16="http://schemas.microsoft.com/office/drawing/2014/main" id="{CBBAFC85-DE69-4A8F-8CB8-F93CA5130513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8" name="TextBox 87">
                <a:extLst>
                  <a:ext uri="{FF2B5EF4-FFF2-40B4-BE49-F238E27FC236}">
                    <a16:creationId xmlns:a16="http://schemas.microsoft.com/office/drawing/2014/main" id="{47E17166-DAAE-4620-B62B-5FC7411BA4BF}"/>
                  </a:ext>
                </a:extLst>
              </xdr:cNvPr>
              <xdr:cNvSpPr txBox="1"/>
            </xdr:nvSpPr>
            <xdr:spPr>
              <a:xfrm>
                <a:off x="8005780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89" name="원호 13">
                <a:extLst>
                  <a:ext uri="{FF2B5EF4-FFF2-40B4-BE49-F238E27FC236}">
                    <a16:creationId xmlns:a16="http://schemas.microsoft.com/office/drawing/2014/main" id="{DC69B741-96FF-4ED4-B240-3E1420520F6C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84" name="직선 화살표 연결선 56">
            <a:extLst>
              <a:ext uri="{FF2B5EF4-FFF2-40B4-BE49-F238E27FC236}">
                <a16:creationId xmlns:a16="http://schemas.microsoft.com/office/drawing/2014/main" id="{71679E80-6FE6-4ED1-9C50-703445F6A819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985-B586-4169-A752-BBBAAA94F0CF}">
  <dimension ref="A1:BA9"/>
  <sheetViews>
    <sheetView tabSelected="1" topLeftCell="X1" workbookViewId="0">
      <selection activeCell="AG8" sqref="AG8"/>
    </sheetView>
  </sheetViews>
  <sheetFormatPr defaultRowHeight="15"/>
  <cols>
    <col min="1" max="1" width="9" style="170"/>
    <col min="2" max="2" width="9" style="280"/>
    <col min="35" max="53" width="9.140625" style="306"/>
  </cols>
  <sheetData>
    <row r="1" spans="1:53">
      <c r="H1" t="s">
        <v>360</v>
      </c>
      <c r="K1" t="s">
        <v>368</v>
      </c>
      <c r="M1" t="s">
        <v>364</v>
      </c>
      <c r="P1" t="s">
        <v>629</v>
      </c>
      <c r="Q1" t="s">
        <v>370</v>
      </c>
      <c r="AB1" t="s">
        <v>421</v>
      </c>
      <c r="AC1" t="s">
        <v>411</v>
      </c>
      <c r="AK1" s="306" t="s">
        <v>373</v>
      </c>
      <c r="AO1" s="306" t="s">
        <v>666</v>
      </c>
      <c r="AQ1" s="306" t="s">
        <v>887</v>
      </c>
    </row>
    <row r="2" spans="1:53" s="170" customFormat="1">
      <c r="A2" s="170" t="s">
        <v>623</v>
      </c>
      <c r="B2" s="280">
        <v>210000</v>
      </c>
      <c r="D2" s="170" t="s">
        <v>1107</v>
      </c>
      <c r="E2" s="170" t="s">
        <v>1108</v>
      </c>
      <c r="F2" s="170" t="s">
        <v>1114</v>
      </c>
      <c r="G2" s="170" t="s">
        <v>372</v>
      </c>
      <c r="H2" s="170" t="s">
        <v>361</v>
      </c>
      <c r="I2" s="170" t="s">
        <v>362</v>
      </c>
      <c r="J2" s="170" t="s">
        <v>363</v>
      </c>
      <c r="K2" s="170" t="s">
        <v>359</v>
      </c>
      <c r="L2" s="170" t="s">
        <v>369</v>
      </c>
      <c r="M2" s="170" t="s">
        <v>365</v>
      </c>
      <c r="N2" s="170" t="s">
        <v>366</v>
      </c>
      <c r="O2" s="170" t="s">
        <v>367</v>
      </c>
      <c r="P2" s="170" t="s">
        <v>630</v>
      </c>
      <c r="Q2" s="170" t="s">
        <v>358</v>
      </c>
      <c r="R2" s="170" t="s">
        <v>714</v>
      </c>
      <c r="S2" s="170" t="s">
        <v>941</v>
      </c>
      <c r="T2" s="170" t="s">
        <v>371</v>
      </c>
      <c r="U2" s="170" t="s">
        <v>1109</v>
      </c>
      <c r="V2" s="170" t="s">
        <v>1110</v>
      </c>
      <c r="W2" s="170" t="s">
        <v>1111</v>
      </c>
      <c r="X2" s="170" t="s">
        <v>1112</v>
      </c>
      <c r="Y2" s="170" t="s">
        <v>1113</v>
      </c>
      <c r="Z2" s="170" t="s">
        <v>627</v>
      </c>
      <c r="AA2" s="170" t="s">
        <v>419</v>
      </c>
      <c r="AB2" s="170" t="s">
        <v>420</v>
      </c>
      <c r="AC2" s="170" t="s">
        <v>412</v>
      </c>
      <c r="AD2" s="170" t="s">
        <v>413</v>
      </c>
      <c r="AE2" s="170" t="s">
        <v>414</v>
      </c>
      <c r="AF2" s="170" t="s">
        <v>415</v>
      </c>
      <c r="AG2" s="170" t="s">
        <v>416</v>
      </c>
      <c r="AH2" s="170" t="s">
        <v>417</v>
      </c>
      <c r="AI2" s="486" t="s">
        <v>357</v>
      </c>
      <c r="AJ2" s="486" t="s">
        <v>418</v>
      </c>
      <c r="AK2" s="486" t="s">
        <v>375</v>
      </c>
      <c r="AL2" s="486" t="s">
        <v>376</v>
      </c>
      <c r="AM2" s="486" t="s">
        <v>1115</v>
      </c>
      <c r="AN2" s="486" t="s">
        <v>1116</v>
      </c>
      <c r="AO2" s="486" t="s">
        <v>664</v>
      </c>
      <c r="AP2" s="486" t="s">
        <v>665</v>
      </c>
      <c r="AQ2" s="486" t="s">
        <v>409</v>
      </c>
      <c r="AR2" s="486" t="s">
        <v>410</v>
      </c>
      <c r="AS2" s="486" t="s">
        <v>1118</v>
      </c>
      <c r="AT2" s="486" t="s">
        <v>1119</v>
      </c>
      <c r="AU2" s="486" t="s">
        <v>1120</v>
      </c>
      <c r="AV2" s="486" t="s">
        <v>1121</v>
      </c>
      <c r="AW2" s="486" t="s">
        <v>1122</v>
      </c>
      <c r="AX2" s="486" t="s">
        <v>1117</v>
      </c>
      <c r="AY2" s="486" t="s">
        <v>1123</v>
      </c>
      <c r="AZ2" s="486" t="s">
        <v>1124</v>
      </c>
      <c r="BA2" s="486" t="s">
        <v>1125</v>
      </c>
    </row>
    <row r="3" spans="1:53">
      <c r="A3" s="170" t="s">
        <v>624</v>
      </c>
      <c r="B3" s="280">
        <v>3</v>
      </c>
      <c r="D3" t="s">
        <v>422</v>
      </c>
      <c r="G3">
        <v>0</v>
      </c>
      <c r="H3">
        <v>2</v>
      </c>
      <c r="I3">
        <v>500</v>
      </c>
      <c r="J3">
        <v>22</v>
      </c>
      <c r="K3">
        <v>2600</v>
      </c>
      <c r="L3">
        <v>12</v>
      </c>
      <c r="M3">
        <v>1940</v>
      </c>
      <c r="N3">
        <v>12</v>
      </c>
      <c r="O3">
        <v>120</v>
      </c>
      <c r="P3">
        <v>0</v>
      </c>
      <c r="Q3">
        <v>290</v>
      </c>
      <c r="R3">
        <v>0</v>
      </c>
      <c r="S3">
        <v>0</v>
      </c>
      <c r="T3">
        <v>2350</v>
      </c>
      <c r="U3">
        <v>3850</v>
      </c>
      <c r="V3">
        <v>1175</v>
      </c>
      <c r="Z3">
        <v>5450</v>
      </c>
      <c r="AA3">
        <v>2</v>
      </c>
      <c r="AB3">
        <v>2500</v>
      </c>
      <c r="AC3">
        <v>2</v>
      </c>
      <c r="AD3">
        <v>16</v>
      </c>
      <c r="AE3">
        <v>160</v>
      </c>
      <c r="AF3">
        <v>0</v>
      </c>
      <c r="AG3">
        <v>0</v>
      </c>
      <c r="AH3">
        <v>0</v>
      </c>
      <c r="AI3" s="306">
        <v>5000</v>
      </c>
      <c r="AJ3" s="306">
        <v>650</v>
      </c>
      <c r="AK3" s="306">
        <v>380</v>
      </c>
      <c r="AL3" s="306">
        <v>380</v>
      </c>
      <c r="AM3" s="306">
        <v>355</v>
      </c>
      <c r="AN3" s="306">
        <v>380</v>
      </c>
      <c r="AO3" s="306">
        <v>4.3452189183266598E-4</v>
      </c>
      <c r="AP3" s="306">
        <v>-3.8833456155582799E-4</v>
      </c>
      <c r="AQ3" s="306">
        <v>1390.9238462846199</v>
      </c>
      <c r="AR3" s="306">
        <v>1243.0761537153801</v>
      </c>
    </row>
    <row r="4" spans="1:53">
      <c r="A4" s="170" t="s">
        <v>625</v>
      </c>
      <c r="B4" s="280">
        <v>35</v>
      </c>
    </row>
    <row r="5" spans="1:53">
      <c r="A5" s="170" t="s">
        <v>724</v>
      </c>
      <c r="B5" s="280">
        <v>32640.410139011325</v>
      </c>
    </row>
    <row r="6" spans="1:53">
      <c r="A6" s="170" t="s">
        <v>626</v>
      </c>
      <c r="B6" s="280">
        <v>50</v>
      </c>
    </row>
    <row r="7" spans="1:53">
      <c r="A7" s="170" t="s">
        <v>725</v>
      </c>
      <c r="B7" s="280">
        <v>36823.925268368461</v>
      </c>
    </row>
    <row r="8" spans="1:53">
      <c r="A8" s="170" t="s">
        <v>628</v>
      </c>
      <c r="B8" s="280">
        <v>400</v>
      </c>
    </row>
    <row r="9" spans="1:53">
      <c r="A9" s="170" t="s">
        <v>1074</v>
      </c>
      <c r="B9" s="280">
        <v>1500</v>
      </c>
    </row>
  </sheetData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6960-91D1-480B-87CF-C34A15086A7A}">
  <dimension ref="A1:AM312"/>
  <sheetViews>
    <sheetView showGridLines="0" topLeftCell="A280" zoomScaleNormal="100" zoomScaleSheetLayoutView="100" workbookViewId="0">
      <selection activeCell="J315" sqref="J315"/>
    </sheetView>
  </sheetViews>
  <sheetFormatPr defaultRowHeight="15" customHeight="1"/>
  <cols>
    <col min="1" max="13" width="6" customWidth="1"/>
    <col min="14" max="14" width="6" style="64" customWidth="1"/>
    <col min="15" max="15" width="5.7109375" style="306" customWidth="1"/>
    <col min="16" max="16" width="9" style="368"/>
  </cols>
  <sheetData>
    <row r="1" spans="1:15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61"/>
      <c r="O1" s="297"/>
    </row>
    <row r="2" spans="1:15" ht="15" customHeight="1">
      <c r="A2" s="3"/>
      <c r="B2" s="4">
        <v>7</v>
      </c>
      <c r="C2" s="164" t="s">
        <v>0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297"/>
    </row>
    <row r="3" spans="1:15" ht="15" customHeight="1">
      <c r="A3" s="5"/>
      <c r="B3" s="6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62"/>
      <c r="O3" s="387"/>
    </row>
    <row r="4" spans="1:15" ht="15" customHeight="1">
      <c r="A4" s="7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1"/>
      <c r="N4" s="62"/>
      <c r="O4" s="388"/>
    </row>
    <row r="5" spans="1:15" ht="15" customHeight="1" thickBot="1">
      <c r="A5" s="8"/>
      <c r="B5" s="1"/>
      <c r="C5" s="1"/>
      <c r="D5" s="1"/>
      <c r="E5" s="1"/>
      <c r="F5" s="9"/>
      <c r="G5" s="10"/>
      <c r="H5" s="1"/>
      <c r="I5" s="1"/>
      <c r="J5" s="1"/>
      <c r="K5" s="1"/>
      <c r="L5" s="2"/>
      <c r="M5" s="1"/>
      <c r="N5" s="62"/>
      <c r="O5" s="387"/>
    </row>
    <row r="6" spans="1:15" ht="15" customHeight="1">
      <c r="A6" s="11"/>
      <c r="B6" s="12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4"/>
      <c r="M6" s="1"/>
      <c r="N6" s="62"/>
      <c r="O6" s="387"/>
    </row>
    <row r="7" spans="1:15" ht="15" customHeight="1">
      <c r="A7" s="11"/>
      <c r="B7" s="15"/>
      <c r="C7" s="1"/>
      <c r="D7" s="1"/>
      <c r="E7" s="1"/>
      <c r="F7" s="16" t="s">
        <v>3</v>
      </c>
      <c r="G7" s="1"/>
      <c r="H7" s="1"/>
      <c r="I7" s="1"/>
      <c r="J7" s="1"/>
      <c r="K7" s="1"/>
      <c r="L7" s="17"/>
      <c r="M7" s="1"/>
      <c r="N7" s="65" t="s">
        <v>4</v>
      </c>
    </row>
    <row r="8" spans="1:15" ht="15" customHeight="1">
      <c r="A8" s="11"/>
      <c r="B8" s="18"/>
      <c r="C8" s="19"/>
      <c r="D8" s="19"/>
      <c r="E8" s="19"/>
      <c r="F8" s="20"/>
      <c r="G8" s="19"/>
      <c r="H8" s="19"/>
      <c r="I8" s="19"/>
      <c r="J8" s="19"/>
      <c r="K8" s="19"/>
      <c r="L8" s="21"/>
      <c r="M8" s="1"/>
      <c r="N8" s="66"/>
    </row>
    <row r="9" spans="1:15" ht="15" customHeight="1">
      <c r="A9" s="11"/>
      <c r="B9" s="22" t="s">
        <v>5</v>
      </c>
      <c r="C9" s="1"/>
      <c r="D9" s="1"/>
      <c r="E9" s="1"/>
      <c r="F9" s="23"/>
      <c r="G9" s="1"/>
      <c r="H9" s="1"/>
      <c r="I9" s="1"/>
      <c r="J9" s="1"/>
      <c r="K9" s="1"/>
      <c r="L9" s="24"/>
      <c r="M9" s="1"/>
      <c r="N9" s="66"/>
    </row>
    <row r="10" spans="1:15" ht="15" customHeight="1">
      <c r="A10" s="11"/>
      <c r="B10" s="25" t="s">
        <v>6</v>
      </c>
      <c r="C10" s="1"/>
      <c r="D10" s="1"/>
      <c r="E10" s="1"/>
      <c r="F10" s="16" t="s">
        <v>7</v>
      </c>
      <c r="G10" s="1"/>
      <c r="H10" s="1"/>
      <c r="I10" s="1"/>
      <c r="J10" s="1"/>
      <c r="K10" s="1"/>
      <c r="L10" s="17"/>
      <c r="M10" s="1"/>
      <c r="N10" s="65" t="s">
        <v>8</v>
      </c>
    </row>
    <row r="11" spans="1:15" ht="15" customHeight="1">
      <c r="A11" s="11"/>
      <c r="B11" s="26"/>
      <c r="C11" s="1"/>
      <c r="D11" s="1"/>
      <c r="E11" s="1"/>
      <c r="F11" s="16" t="s">
        <v>9</v>
      </c>
      <c r="G11" s="1"/>
      <c r="H11" s="1"/>
      <c r="I11" s="1"/>
      <c r="J11" s="1"/>
      <c r="K11" s="1"/>
      <c r="L11" s="17"/>
      <c r="M11" s="1"/>
      <c r="N11" s="65" t="s">
        <v>10</v>
      </c>
    </row>
    <row r="12" spans="1:15" ht="15" customHeight="1">
      <c r="A12" s="11"/>
      <c r="B12" s="26"/>
      <c r="C12" s="27" t="s">
        <v>11</v>
      </c>
      <c r="D12" s="1"/>
      <c r="E12" s="1"/>
      <c r="F12" s="16" t="s">
        <v>12</v>
      </c>
      <c r="G12" s="1"/>
      <c r="H12" s="1"/>
      <c r="I12" s="1"/>
      <c r="J12" s="1"/>
      <c r="K12" s="1"/>
      <c r="L12" s="17"/>
      <c r="M12" s="1"/>
      <c r="N12" s="65" t="s">
        <v>13</v>
      </c>
    </row>
    <row r="13" spans="1:15" ht="15" customHeight="1">
      <c r="A13" s="11"/>
      <c r="B13" s="25"/>
      <c r="C13" s="1"/>
      <c r="D13" s="1"/>
      <c r="E13" s="1"/>
      <c r="F13" s="16"/>
      <c r="G13" s="1"/>
      <c r="H13" s="1"/>
      <c r="I13" s="1"/>
      <c r="J13" s="1"/>
      <c r="K13" s="1"/>
      <c r="L13" s="24"/>
      <c r="M13" s="1"/>
      <c r="N13" s="66"/>
    </row>
    <row r="14" spans="1:15" ht="15" customHeight="1">
      <c r="A14" s="11"/>
      <c r="B14" s="25" t="s">
        <v>14</v>
      </c>
      <c r="C14" s="1"/>
      <c r="D14" s="27"/>
      <c r="E14" s="1"/>
      <c r="F14" s="16" t="s">
        <v>15</v>
      </c>
      <c r="G14" s="1"/>
      <c r="H14" s="1"/>
      <c r="I14" s="1"/>
      <c r="J14" s="1"/>
      <c r="K14" s="1"/>
      <c r="L14" s="17"/>
      <c r="M14" s="1"/>
      <c r="N14" s="65" t="s">
        <v>16</v>
      </c>
    </row>
    <row r="15" spans="1:15" ht="15" customHeight="1">
      <c r="A15" s="11"/>
      <c r="B15" s="26"/>
      <c r="C15" s="27" t="s">
        <v>11</v>
      </c>
      <c r="D15" s="1"/>
      <c r="E15" s="1"/>
      <c r="F15" s="16" t="s">
        <v>12</v>
      </c>
      <c r="G15" s="1"/>
      <c r="H15" s="1"/>
      <c r="I15" s="1"/>
      <c r="J15" s="1"/>
      <c r="K15" s="1"/>
      <c r="L15" s="17"/>
      <c r="M15" s="1"/>
      <c r="N15" s="65" t="s">
        <v>17</v>
      </c>
    </row>
    <row r="16" spans="1:15" ht="15" customHeight="1">
      <c r="A16" s="11"/>
      <c r="B16" s="28"/>
      <c r="C16" s="19"/>
      <c r="D16" s="19"/>
      <c r="E16" s="19"/>
      <c r="F16" s="20"/>
      <c r="G16" s="19"/>
      <c r="H16" s="19"/>
      <c r="I16" s="19"/>
      <c r="J16" s="19"/>
      <c r="K16" s="19"/>
      <c r="L16" s="21"/>
      <c r="M16" s="1"/>
      <c r="N16" s="66"/>
    </row>
    <row r="17" spans="1:15" ht="15" customHeight="1">
      <c r="A17" s="11"/>
      <c r="B17" s="29" t="s">
        <v>18</v>
      </c>
      <c r="C17" s="1"/>
      <c r="D17" s="1"/>
      <c r="E17" s="1"/>
      <c r="F17" s="16"/>
      <c r="G17" s="1"/>
      <c r="H17" s="1"/>
      <c r="I17" s="1"/>
      <c r="J17" s="1"/>
      <c r="K17" s="1"/>
      <c r="L17" s="24"/>
      <c r="M17" s="1"/>
      <c r="N17" s="66"/>
    </row>
    <row r="18" spans="1:15" ht="15" customHeight="1">
      <c r="A18" s="11"/>
      <c r="B18" s="25" t="s">
        <v>6</v>
      </c>
      <c r="C18" s="1"/>
      <c r="D18" s="1"/>
      <c r="E18" s="1"/>
      <c r="F18" s="16" t="s">
        <v>19</v>
      </c>
      <c r="G18" s="1"/>
      <c r="H18" s="1"/>
      <c r="I18" s="1"/>
      <c r="J18" s="1"/>
      <c r="K18" s="1"/>
      <c r="L18" s="17"/>
      <c r="M18" s="1"/>
      <c r="N18" s="65" t="s">
        <v>20</v>
      </c>
    </row>
    <row r="19" spans="1:15" ht="15" customHeight="1">
      <c r="A19" s="1"/>
      <c r="B19" s="25"/>
      <c r="C19" s="1"/>
      <c r="D19" s="1"/>
      <c r="E19" s="1"/>
      <c r="F19" s="16"/>
      <c r="G19" s="1"/>
      <c r="H19" s="1"/>
      <c r="I19" s="1"/>
      <c r="J19" s="1"/>
      <c r="K19" s="1"/>
      <c r="L19" s="30"/>
      <c r="M19" s="1"/>
      <c r="N19" s="67"/>
    </row>
    <row r="20" spans="1:15" ht="15" customHeight="1">
      <c r="A20" s="1"/>
      <c r="B20" s="25" t="s">
        <v>14</v>
      </c>
      <c r="C20" s="1"/>
      <c r="D20" s="1"/>
      <c r="E20" s="1"/>
      <c r="F20" s="16" t="s">
        <v>21</v>
      </c>
      <c r="G20" s="1"/>
      <c r="H20" s="1"/>
      <c r="I20" s="1"/>
      <c r="J20" s="1"/>
      <c r="K20" s="1"/>
      <c r="L20" s="17"/>
      <c r="M20" s="1"/>
      <c r="N20" s="65" t="s">
        <v>22</v>
      </c>
    </row>
    <row r="21" spans="1:15" ht="15" customHeight="1">
      <c r="A21" s="1"/>
      <c r="B21" s="28"/>
      <c r="C21" s="19"/>
      <c r="D21" s="19"/>
      <c r="E21" s="19"/>
      <c r="F21" s="20"/>
      <c r="G21" s="19"/>
      <c r="H21" s="19"/>
      <c r="I21" s="19"/>
      <c r="J21" s="19"/>
      <c r="K21" s="19"/>
      <c r="L21" s="21"/>
      <c r="M21" s="1"/>
      <c r="N21" s="66"/>
    </row>
    <row r="22" spans="1:15" ht="15" customHeight="1">
      <c r="A22" s="1"/>
      <c r="B22" s="29" t="s">
        <v>23</v>
      </c>
      <c r="C22" s="1"/>
      <c r="D22" s="1"/>
      <c r="E22" s="1"/>
      <c r="F22" s="16"/>
      <c r="G22" s="1"/>
      <c r="H22" s="1"/>
      <c r="I22" s="1"/>
      <c r="J22" s="1"/>
      <c r="K22" s="1"/>
      <c r="L22" s="24"/>
      <c r="M22" s="1"/>
      <c r="N22" s="66"/>
    </row>
    <row r="23" spans="1:15" ht="15" customHeight="1">
      <c r="A23" s="1"/>
      <c r="B23" s="26"/>
      <c r="C23" s="1"/>
      <c r="D23" s="1"/>
      <c r="E23" s="1"/>
      <c r="F23" s="16" t="s">
        <v>24</v>
      </c>
      <c r="G23" s="1"/>
      <c r="H23" s="1"/>
      <c r="I23" s="1"/>
      <c r="J23" s="1"/>
      <c r="K23" s="1"/>
      <c r="L23" s="17"/>
      <c r="M23" s="1"/>
      <c r="N23" s="65" t="s">
        <v>25</v>
      </c>
    </row>
    <row r="24" spans="1:15" ht="15" customHeight="1" thickBot="1">
      <c r="A24" s="1"/>
      <c r="B24" s="31"/>
      <c r="C24" s="32"/>
      <c r="D24" s="32"/>
      <c r="E24" s="32"/>
      <c r="F24" s="33"/>
      <c r="G24" s="32"/>
      <c r="H24" s="32"/>
      <c r="I24" s="32"/>
      <c r="J24" s="32"/>
      <c r="K24" s="32"/>
      <c r="L24" s="34"/>
      <c r="M24" s="1"/>
      <c r="N24" s="66"/>
    </row>
    <row r="25" spans="1:15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66"/>
    </row>
    <row r="26" spans="1:15" ht="15" customHeight="1">
      <c r="A26" s="1"/>
      <c r="B26" s="1"/>
      <c r="C26" s="1"/>
      <c r="D26" s="1"/>
      <c r="E26" s="1"/>
      <c r="F26" s="1"/>
      <c r="G26" s="35"/>
      <c r="H26" s="1"/>
      <c r="I26" s="1"/>
      <c r="J26" s="1"/>
      <c r="K26" s="1"/>
      <c r="L26" s="2"/>
      <c r="M26" s="1"/>
      <c r="N26" s="66"/>
    </row>
    <row r="27" spans="1:15" ht="15" customHeight="1">
      <c r="A27" s="1"/>
      <c r="B27" s="1"/>
      <c r="C27" s="1"/>
      <c r="D27" s="1"/>
      <c r="E27" s="1"/>
      <c r="F27" s="1"/>
      <c r="G27" s="35"/>
      <c r="H27" s="1"/>
      <c r="I27" s="1"/>
      <c r="J27" s="1"/>
      <c r="K27" s="1"/>
      <c r="L27" s="2"/>
      <c r="M27" s="1"/>
      <c r="N27" s="66"/>
    </row>
    <row r="28" spans="1:15" ht="15" customHeight="1">
      <c r="A28" s="36" t="s">
        <v>26</v>
      </c>
      <c r="B28" s="16"/>
      <c r="C28" s="1"/>
      <c r="D28" s="1"/>
      <c r="E28" s="1"/>
      <c r="F28" s="1"/>
      <c r="G28" s="35"/>
      <c r="H28" s="1"/>
      <c r="I28" s="1"/>
      <c r="J28" s="1"/>
      <c r="K28" s="1"/>
      <c r="L28" s="2"/>
      <c r="M28" s="1"/>
      <c r="N28" s="65" t="s">
        <v>27</v>
      </c>
    </row>
    <row r="29" spans="1:15" ht="15" customHeight="1" thickBot="1">
      <c r="A29" s="37"/>
      <c r="B29" s="16"/>
      <c r="C29" s="1"/>
      <c r="D29" s="1"/>
      <c r="E29" s="1"/>
      <c r="F29" s="1"/>
      <c r="G29" s="35"/>
      <c r="H29" s="1"/>
      <c r="I29" s="1"/>
      <c r="J29" s="1"/>
      <c r="K29" s="1"/>
      <c r="L29" s="2"/>
      <c r="M29" s="1"/>
      <c r="N29" s="62"/>
      <c r="O29" s="387"/>
    </row>
    <row r="30" spans="1:15" ht="20.100000000000001" customHeight="1" thickBot="1">
      <c r="A30" s="37"/>
      <c r="B30" s="16"/>
      <c r="C30" s="38"/>
      <c r="D30" s="39"/>
      <c r="E30" s="40" t="s">
        <v>28</v>
      </c>
      <c r="F30" s="39"/>
      <c r="G30" s="41"/>
      <c r="H30" s="42"/>
      <c r="I30" s="1"/>
      <c r="J30" s="1"/>
      <c r="K30" s="1"/>
      <c r="L30" s="2"/>
      <c r="M30" s="1"/>
      <c r="N30" s="62"/>
      <c r="O30" s="387"/>
    </row>
    <row r="31" spans="1:15" ht="15" customHeight="1">
      <c r="A31" s="37"/>
      <c r="B31" s="16"/>
      <c r="C31" s="1"/>
      <c r="D31" s="1"/>
      <c r="E31" s="1"/>
      <c r="F31" s="1"/>
      <c r="G31" s="35"/>
      <c r="H31" s="1"/>
      <c r="I31" s="1"/>
      <c r="J31" s="1"/>
      <c r="K31" s="1"/>
      <c r="L31" s="2"/>
      <c r="M31" s="1"/>
      <c r="N31" s="62"/>
      <c r="O31" s="387"/>
    </row>
    <row r="32" spans="1:15" ht="15" customHeight="1">
      <c r="A32" s="1"/>
      <c r="B32" s="16" t="s">
        <v>29</v>
      </c>
      <c r="C32" s="1"/>
      <c r="D32" s="1"/>
      <c r="E32" s="1"/>
      <c r="F32" s="1"/>
      <c r="G32" s="35"/>
      <c r="H32" s="1"/>
      <c r="I32" s="1"/>
      <c r="J32" s="1"/>
      <c r="K32" s="1"/>
      <c r="L32" s="2"/>
      <c r="M32" s="1"/>
      <c r="N32" s="62"/>
      <c r="O32" s="387"/>
    </row>
    <row r="33" spans="1:15" ht="20.100000000000001" customHeight="1">
      <c r="A33" s="1"/>
      <c r="B33" s="43" t="s">
        <v>30</v>
      </c>
      <c r="C33" s="43"/>
      <c r="D33" s="43"/>
      <c r="E33" s="44"/>
      <c r="F33" s="44"/>
      <c r="G33" s="43"/>
      <c r="H33" s="43"/>
      <c r="I33" s="43" t="s">
        <v>31</v>
      </c>
      <c r="J33" s="44"/>
      <c r="K33" s="44"/>
      <c r="L33" s="1"/>
      <c r="M33" s="1"/>
      <c r="N33" s="62"/>
      <c r="O33" s="387"/>
    </row>
    <row r="34" spans="1:15" ht="20.100000000000001" customHeight="1">
      <c r="A34" s="1"/>
      <c r="B34" s="45"/>
      <c r="C34" s="45"/>
      <c r="D34" s="45"/>
      <c r="E34" s="111" t="s">
        <v>120</v>
      </c>
      <c r="F34" s="111"/>
      <c r="G34" s="111"/>
      <c r="H34" s="111"/>
      <c r="I34" s="111" t="s">
        <v>374</v>
      </c>
      <c r="J34" s="111"/>
      <c r="K34" s="111"/>
      <c r="L34" s="1"/>
      <c r="M34" s="1"/>
      <c r="N34" s="62"/>
      <c r="O34" s="387"/>
    </row>
    <row r="35" spans="1:15" ht="15" customHeight="1">
      <c r="A35" s="1"/>
      <c r="B35" s="1" t="s">
        <v>33</v>
      </c>
      <c r="C35" s="1"/>
      <c r="D35" s="1"/>
      <c r="E35" s="508" t="s">
        <v>34</v>
      </c>
      <c r="F35" s="508"/>
      <c r="G35" s="112"/>
      <c r="H35" s="166"/>
      <c r="I35" s="167">
        <v>0.85</v>
      </c>
      <c r="J35" s="504" t="s">
        <v>35</v>
      </c>
      <c r="K35" s="504"/>
      <c r="L35" s="1"/>
    </row>
    <row r="36" spans="1:15" ht="15" customHeight="1">
      <c r="A36" s="1"/>
      <c r="B36" s="46"/>
      <c r="C36" s="46"/>
      <c r="D36" s="46"/>
      <c r="E36" s="496"/>
      <c r="F36" s="496"/>
      <c r="G36" s="46"/>
      <c r="H36" s="89"/>
      <c r="I36" s="48" t="s">
        <v>36</v>
      </c>
      <c r="J36" s="505"/>
      <c r="K36" s="505"/>
      <c r="L36" s="1"/>
    </row>
    <row r="37" spans="1:15" ht="20.100000000000001" customHeight="1">
      <c r="A37" s="1"/>
      <c r="B37" s="19" t="s">
        <v>37</v>
      </c>
      <c r="C37" s="19"/>
      <c r="D37" s="19"/>
      <c r="E37" s="19"/>
      <c r="F37" s="19"/>
      <c r="G37" s="19"/>
      <c r="H37" s="125"/>
      <c r="I37" s="19" t="s">
        <v>32</v>
      </c>
      <c r="J37" s="49"/>
      <c r="K37" s="49"/>
      <c r="L37" s="1"/>
      <c r="M37" s="1"/>
      <c r="N37" s="62"/>
      <c r="O37" s="387"/>
    </row>
    <row r="38" spans="1:15" ht="15" customHeight="1">
      <c r="A38" s="1"/>
      <c r="B38" s="50"/>
      <c r="C38" s="50"/>
      <c r="D38" s="50"/>
      <c r="E38" s="1"/>
      <c r="F38" s="1"/>
      <c r="G38" s="1"/>
      <c r="H38" s="1"/>
      <c r="I38" s="1"/>
      <c r="J38" s="1"/>
      <c r="K38" s="1"/>
      <c r="L38" s="2"/>
      <c r="M38" s="2"/>
      <c r="N38" s="63"/>
      <c r="O38" s="387"/>
    </row>
    <row r="39" spans="1:15" ht="15" customHeight="1">
      <c r="A39" s="1"/>
      <c r="B39" s="50" t="s">
        <v>38</v>
      </c>
      <c r="C39" s="50"/>
      <c r="D39" s="1"/>
      <c r="E39" s="1"/>
      <c r="F39" s="50"/>
      <c r="G39" s="50"/>
      <c r="H39" s="1"/>
      <c r="I39" s="1"/>
      <c r="J39" s="1"/>
      <c r="K39" s="1"/>
      <c r="L39" s="2"/>
      <c r="M39" s="1"/>
      <c r="N39" s="62"/>
      <c r="O39" s="387"/>
    </row>
    <row r="40" spans="1:15" ht="15" customHeight="1">
      <c r="A40" s="1"/>
      <c r="B40" s="50"/>
      <c r="C40" s="50" t="s">
        <v>39</v>
      </c>
      <c r="D40" s="27" t="s">
        <v>40</v>
      </c>
      <c r="E40" s="50" t="s">
        <v>41</v>
      </c>
      <c r="F40" s="1"/>
      <c r="G40" s="1"/>
      <c r="H40" s="1"/>
      <c r="I40" s="1"/>
      <c r="J40" s="1"/>
      <c r="K40" s="1"/>
      <c r="L40" s="2"/>
      <c r="M40" s="1"/>
      <c r="N40" s="62"/>
      <c r="O40" s="387"/>
    </row>
    <row r="41" spans="1:15" ht="15" customHeight="1">
      <c r="A41" s="1"/>
      <c r="B41" s="50"/>
      <c r="C41" s="50" t="s">
        <v>42</v>
      </c>
      <c r="D41" s="27" t="s">
        <v>40</v>
      </c>
      <c r="E41" s="50" t="s">
        <v>43</v>
      </c>
      <c r="F41" s="1"/>
      <c r="G41" s="1" t="s">
        <v>44</v>
      </c>
      <c r="H41" s="1"/>
      <c r="I41" s="1"/>
      <c r="J41" s="1"/>
      <c r="K41" s="1"/>
      <c r="L41" s="2"/>
      <c r="M41" s="1"/>
      <c r="N41" s="65" t="s">
        <v>45</v>
      </c>
    </row>
    <row r="42" spans="1:15" ht="15" customHeight="1">
      <c r="A42" s="1"/>
      <c r="B42" s="50"/>
      <c r="C42" s="50" t="s">
        <v>46</v>
      </c>
      <c r="D42" s="27" t="s">
        <v>40</v>
      </c>
      <c r="E42" s="50" t="s">
        <v>47</v>
      </c>
      <c r="F42" s="1"/>
      <c r="G42" s="1"/>
      <c r="H42" s="1"/>
      <c r="I42" s="1"/>
      <c r="J42" s="1"/>
      <c r="K42" s="1"/>
      <c r="L42" s="1"/>
      <c r="M42" s="1"/>
      <c r="N42" s="65" t="s">
        <v>45</v>
      </c>
    </row>
    <row r="43" spans="1:15" ht="15" customHeight="1">
      <c r="A43" s="1"/>
      <c r="B43" s="50"/>
      <c r="C43" s="1"/>
      <c r="D43" s="27" t="s">
        <v>40</v>
      </c>
      <c r="E43" s="51">
        <v>1</v>
      </c>
      <c r="F43" s="1" t="s">
        <v>48</v>
      </c>
      <c r="G43" s="1"/>
      <c r="H43" s="1"/>
      <c r="I43" s="1"/>
      <c r="J43" s="1"/>
      <c r="K43" s="1"/>
      <c r="L43" s="1"/>
      <c r="M43" s="1"/>
      <c r="N43" s="65"/>
    </row>
    <row r="44" spans="1:15" ht="15" customHeight="1">
      <c r="A44" s="1"/>
      <c r="B44" s="50"/>
      <c r="C44" s="1"/>
      <c r="D44" s="27" t="s">
        <v>40</v>
      </c>
      <c r="E44" s="51">
        <v>1</v>
      </c>
      <c r="F44" s="1" t="s">
        <v>49</v>
      </c>
      <c r="G44" s="1"/>
      <c r="H44" s="1"/>
      <c r="I44" s="1"/>
      <c r="J44" s="1"/>
      <c r="K44" s="1"/>
      <c r="L44" s="1"/>
      <c r="M44" s="1"/>
      <c r="N44" s="65"/>
    </row>
    <row r="45" spans="1:15" ht="15" customHeight="1">
      <c r="A45" s="1"/>
      <c r="B45" s="50"/>
      <c r="C45" s="1"/>
      <c r="D45" s="27" t="s">
        <v>40</v>
      </c>
      <c r="E45" s="1" t="s">
        <v>50</v>
      </c>
      <c r="F45" s="1"/>
      <c r="G45" s="1"/>
      <c r="H45" s="1"/>
      <c r="I45" s="1" t="s">
        <v>34</v>
      </c>
      <c r="J45" s="1"/>
      <c r="K45" s="1"/>
      <c r="L45" s="1"/>
      <c r="M45" s="1"/>
      <c r="N45" s="65"/>
    </row>
    <row r="46" spans="1:15" ht="15" customHeight="1">
      <c r="A46" s="1"/>
      <c r="B46" s="50"/>
      <c r="C46" s="1" t="s">
        <v>51</v>
      </c>
      <c r="D46" s="27" t="s">
        <v>40</v>
      </c>
      <c r="E46" s="51">
        <v>1</v>
      </c>
      <c r="F46" s="1" t="s">
        <v>52</v>
      </c>
      <c r="G46" s="1"/>
      <c r="H46" s="1"/>
      <c r="I46" s="1"/>
      <c r="J46" s="1"/>
      <c r="K46" s="1"/>
      <c r="L46" s="1"/>
      <c r="M46" s="2"/>
      <c r="N46" s="65" t="s">
        <v>53</v>
      </c>
    </row>
    <row r="47" spans="1:15" ht="15" customHeight="1">
      <c r="A47" s="1"/>
      <c r="B47" s="50"/>
      <c r="C47" s="1" t="s">
        <v>32</v>
      </c>
      <c r="D47" s="27" t="s">
        <v>40</v>
      </c>
      <c r="E47" s="51" t="s">
        <v>54</v>
      </c>
      <c r="F47" s="1"/>
      <c r="G47" s="1"/>
      <c r="H47" s="1"/>
      <c r="I47" s="1"/>
      <c r="J47" s="1"/>
      <c r="K47" s="1"/>
      <c r="L47" s="1"/>
      <c r="M47" s="2"/>
      <c r="N47" s="62"/>
      <c r="O47" s="387"/>
    </row>
    <row r="48" spans="1:15" ht="15" customHeight="1">
      <c r="A48" s="1"/>
      <c r="B48" s="50"/>
      <c r="C48" s="1"/>
      <c r="D48" s="27" t="s">
        <v>55</v>
      </c>
      <c r="E48" s="51" t="s">
        <v>56</v>
      </c>
      <c r="F48" s="1"/>
      <c r="G48" s="1"/>
      <c r="H48" s="1"/>
      <c r="I48" s="1"/>
      <c r="J48" s="1"/>
      <c r="K48" s="1"/>
      <c r="L48" s="1"/>
      <c r="M48" s="2"/>
      <c r="N48" s="62"/>
      <c r="O48" s="387"/>
    </row>
    <row r="49" spans="1:15" ht="15" customHeight="1">
      <c r="A49" s="1"/>
      <c r="B49" s="50"/>
      <c r="C49" s="1" t="s">
        <v>57</v>
      </c>
      <c r="D49" s="27" t="s">
        <v>40</v>
      </c>
      <c r="E49" s="1" t="s">
        <v>58</v>
      </c>
      <c r="F49" s="1"/>
      <c r="G49" s="1"/>
      <c r="H49" s="1"/>
      <c r="I49" s="1"/>
      <c r="J49" s="1"/>
      <c r="K49" s="1"/>
      <c r="L49" s="1"/>
      <c r="M49" s="2"/>
      <c r="N49" s="62"/>
      <c r="O49" s="387"/>
    </row>
    <row r="50" spans="1:15" ht="15" customHeight="1">
      <c r="A50" s="1"/>
      <c r="B50" s="50"/>
      <c r="C50" s="1" t="s">
        <v>59</v>
      </c>
      <c r="D50" s="27" t="s">
        <v>40</v>
      </c>
      <c r="E50" s="1" t="s">
        <v>60</v>
      </c>
      <c r="F50" s="1"/>
      <c r="G50" s="1"/>
      <c r="H50" s="1"/>
      <c r="I50" s="1"/>
      <c r="J50" s="1"/>
      <c r="K50" s="1"/>
      <c r="L50" s="1"/>
      <c r="M50" s="2"/>
      <c r="N50" s="62"/>
      <c r="O50" s="387"/>
    </row>
    <row r="51" spans="1:15" ht="15" customHeight="1">
      <c r="A51" s="1"/>
      <c r="B51" s="50"/>
      <c r="C51" s="1" t="s">
        <v>61</v>
      </c>
      <c r="D51" s="27" t="s">
        <v>40</v>
      </c>
      <c r="E51" s="1" t="s">
        <v>62</v>
      </c>
      <c r="F51" s="1"/>
      <c r="G51" s="1"/>
      <c r="H51" s="1"/>
      <c r="I51" s="1"/>
      <c r="J51" s="1"/>
      <c r="K51" s="1"/>
      <c r="L51" s="1"/>
      <c r="M51" s="2"/>
      <c r="N51" s="62"/>
      <c r="O51" s="387"/>
    </row>
    <row r="52" spans="1:15" ht="15" customHeight="1">
      <c r="A52" s="1"/>
      <c r="B52" s="50"/>
      <c r="C52" s="1" t="s">
        <v>63</v>
      </c>
      <c r="D52" s="27" t="s">
        <v>40</v>
      </c>
      <c r="E52" s="1" t="s">
        <v>64</v>
      </c>
      <c r="F52" s="1"/>
      <c r="G52" s="1"/>
      <c r="H52" s="1"/>
      <c r="I52" s="1"/>
      <c r="J52" s="1"/>
      <c r="K52" s="1"/>
      <c r="L52" s="1"/>
      <c r="M52" s="2"/>
      <c r="N52" s="62"/>
      <c r="O52" s="387"/>
    </row>
    <row r="53" spans="1:15" ht="15" customHeight="1">
      <c r="A53" s="1"/>
      <c r="B53" s="50"/>
      <c r="C53" s="1"/>
      <c r="D53" s="1"/>
      <c r="E53" s="27"/>
      <c r="F53" s="1"/>
      <c r="G53" s="1"/>
      <c r="H53" s="1"/>
      <c r="I53" s="1"/>
      <c r="J53" s="1"/>
      <c r="K53" s="1"/>
      <c r="L53" s="1"/>
      <c r="M53" s="2"/>
      <c r="N53" s="62"/>
      <c r="O53" s="389"/>
    </row>
    <row r="54" spans="1:15" ht="15" customHeight="1">
      <c r="A54" s="1"/>
      <c r="B54" s="50"/>
      <c r="C54" s="1"/>
      <c r="D54" s="1"/>
      <c r="E54" s="27"/>
      <c r="F54" s="1"/>
      <c r="G54" s="51"/>
      <c r="H54" s="1"/>
      <c r="I54" s="1"/>
      <c r="J54" s="1"/>
      <c r="K54" s="1"/>
      <c r="L54" s="1"/>
      <c r="M54" s="2"/>
      <c r="N54" s="62"/>
      <c r="O54" s="387"/>
    </row>
    <row r="55" spans="1:15" ht="15" customHeight="1">
      <c r="A55" s="1"/>
      <c r="B55" s="50"/>
      <c r="C55" s="1"/>
      <c r="D55" s="1"/>
      <c r="E55" s="27"/>
      <c r="F55" s="1"/>
      <c r="G55" s="51"/>
      <c r="H55" s="1"/>
      <c r="I55" s="1"/>
      <c r="J55" s="1"/>
      <c r="K55" s="1"/>
      <c r="L55" s="1"/>
      <c r="M55" s="2"/>
      <c r="N55" s="62"/>
      <c r="O55" s="387"/>
    </row>
    <row r="56" spans="1:15" ht="15" customHeight="1">
      <c r="A56" s="1"/>
      <c r="B56" s="50"/>
      <c r="C56" s="1"/>
      <c r="D56" s="1"/>
      <c r="E56" s="27"/>
      <c r="F56" s="1"/>
      <c r="G56" s="51"/>
      <c r="H56" s="1"/>
      <c r="I56" s="1"/>
      <c r="J56" s="1"/>
      <c r="K56" s="1"/>
      <c r="L56" s="1"/>
      <c r="M56" s="2"/>
      <c r="N56" s="62"/>
      <c r="O56" s="387"/>
    </row>
    <row r="57" spans="1:15" ht="15" customHeight="1">
      <c r="A57" s="1"/>
      <c r="B57" s="50"/>
      <c r="C57" s="1"/>
      <c r="D57" s="1"/>
      <c r="E57" s="27"/>
      <c r="F57" s="1"/>
      <c r="G57" s="51"/>
      <c r="H57" s="1"/>
      <c r="I57" s="1"/>
      <c r="J57" s="1"/>
      <c r="K57" s="1"/>
      <c r="L57" s="1"/>
      <c r="M57" s="2"/>
      <c r="N57" s="62"/>
      <c r="O57" s="387"/>
    </row>
    <row r="58" spans="1:15" ht="15" customHeight="1">
      <c r="A58" s="1"/>
      <c r="B58" s="50"/>
      <c r="C58" s="1"/>
      <c r="D58" s="1"/>
      <c r="E58" s="27"/>
      <c r="F58" s="1"/>
      <c r="G58" s="51"/>
      <c r="H58" s="1"/>
      <c r="I58" s="1"/>
      <c r="J58" s="1"/>
      <c r="K58" s="1"/>
      <c r="L58" s="1"/>
      <c r="M58" s="2"/>
      <c r="N58" s="62"/>
      <c r="O58" s="387"/>
    </row>
    <row r="59" spans="1:15" ht="15" customHeight="1">
      <c r="A59" s="1"/>
      <c r="B59" s="50"/>
      <c r="C59" s="1"/>
      <c r="D59" s="1"/>
      <c r="E59" s="27"/>
      <c r="F59" s="1"/>
      <c r="G59" s="51"/>
      <c r="H59" s="1"/>
      <c r="I59" s="1"/>
      <c r="J59" s="1"/>
      <c r="K59" s="1"/>
      <c r="L59" s="1"/>
      <c r="M59" s="2"/>
      <c r="N59" s="62"/>
      <c r="O59" s="387"/>
    </row>
    <row r="60" spans="1:15" ht="15" customHeight="1">
      <c r="A60" s="1"/>
      <c r="B60" s="50"/>
      <c r="C60" s="1"/>
      <c r="D60" s="1"/>
      <c r="E60" s="27"/>
      <c r="F60" s="1"/>
      <c r="G60" s="51"/>
      <c r="H60" s="1"/>
      <c r="I60" s="1"/>
      <c r="J60" s="1"/>
      <c r="K60" s="1"/>
      <c r="L60" s="1"/>
      <c r="M60" s="2"/>
      <c r="N60" s="62"/>
      <c r="O60" s="387"/>
    </row>
    <row r="61" spans="1:15" ht="15" customHeight="1">
      <c r="A61" s="1"/>
      <c r="B61" s="50"/>
      <c r="C61" s="1"/>
      <c r="D61" s="1"/>
      <c r="E61" s="27"/>
      <c r="F61" s="1"/>
      <c r="G61" s="51"/>
      <c r="H61" s="1"/>
      <c r="I61" s="1"/>
      <c r="J61" s="1"/>
      <c r="K61" s="1"/>
      <c r="L61" s="1"/>
      <c r="M61" s="2"/>
      <c r="N61" s="62"/>
      <c r="O61" s="387"/>
    </row>
    <row r="62" spans="1:15" ht="15" customHeight="1">
      <c r="A62" s="1"/>
      <c r="B62" s="50"/>
      <c r="C62" s="1"/>
      <c r="D62" s="1"/>
      <c r="E62" s="27"/>
      <c r="F62" s="1"/>
      <c r="G62" s="51"/>
      <c r="H62" s="1"/>
      <c r="I62" s="1"/>
      <c r="J62" s="1"/>
      <c r="K62" s="1"/>
      <c r="L62" s="1"/>
      <c r="M62" s="2"/>
      <c r="N62" s="62"/>
      <c r="O62" s="387"/>
    </row>
    <row r="63" spans="1:15" ht="15" customHeight="1">
      <c r="A63" s="1"/>
      <c r="B63" s="50"/>
      <c r="C63" s="1"/>
      <c r="D63" s="1"/>
      <c r="E63" s="27"/>
      <c r="F63" s="1"/>
      <c r="G63" s="51"/>
      <c r="H63" s="1"/>
      <c r="I63" s="1"/>
      <c r="J63" s="1"/>
      <c r="K63" s="1"/>
      <c r="L63" s="1"/>
      <c r="M63" s="2"/>
      <c r="N63" s="62"/>
      <c r="O63" s="387"/>
    </row>
    <row r="64" spans="1:15" ht="15" customHeight="1">
      <c r="A64" s="1"/>
      <c r="B64" s="108" t="s">
        <v>65</v>
      </c>
      <c r="C64" s="52" t="s">
        <v>66</v>
      </c>
      <c r="D64" s="27"/>
      <c r="E64" s="1"/>
      <c r="F64" s="51"/>
      <c r="G64" s="1"/>
      <c r="H64" s="1"/>
      <c r="I64" s="1"/>
      <c r="J64" s="1"/>
      <c r="K64" s="1"/>
      <c r="L64" s="1"/>
      <c r="M64" s="2"/>
      <c r="N64" s="62"/>
      <c r="O64" s="387"/>
    </row>
    <row r="65" spans="1:15" ht="15" customHeight="1">
      <c r="A65" s="1"/>
      <c r="B65" s="50"/>
      <c r="C65" s="1"/>
      <c r="D65" s="1" t="s">
        <v>67</v>
      </c>
      <c r="E65" s="1"/>
      <c r="F65" s="51"/>
      <c r="G65" s="1"/>
      <c r="H65" s="1"/>
      <c r="I65" s="1"/>
      <c r="J65" s="1"/>
      <c r="K65" s="1"/>
      <c r="L65" s="1"/>
      <c r="M65" s="2"/>
      <c r="N65" s="62"/>
      <c r="O65" s="387"/>
    </row>
    <row r="66" spans="1:15" ht="15" customHeight="1">
      <c r="A66" s="1"/>
      <c r="B66" s="50"/>
      <c r="C66" s="1"/>
      <c r="D66" s="27" t="s">
        <v>68</v>
      </c>
      <c r="E66" s="1"/>
      <c r="F66" s="51"/>
      <c r="G66" s="1"/>
      <c r="H66" s="1"/>
      <c r="I66" s="1"/>
      <c r="J66" s="1"/>
      <c r="K66" s="1"/>
      <c r="L66" s="1"/>
      <c r="M66" s="2"/>
      <c r="N66" s="62"/>
      <c r="O66" s="387"/>
    </row>
    <row r="67" spans="1:15" ht="15" customHeight="1">
      <c r="A67" s="1"/>
      <c r="B67" s="50"/>
      <c r="C67" s="1"/>
      <c r="D67" s="53" t="s">
        <v>69</v>
      </c>
      <c r="E67" s="1"/>
      <c r="F67" s="51"/>
      <c r="G67" s="1"/>
      <c r="H67" s="1"/>
      <c r="I67" s="1"/>
      <c r="J67" s="1"/>
      <c r="K67" s="1"/>
      <c r="L67" s="1"/>
      <c r="M67" s="2"/>
      <c r="N67" s="62"/>
      <c r="O67" s="387"/>
    </row>
    <row r="68" spans="1:15" ht="15" customHeight="1">
      <c r="A68" s="1"/>
      <c r="B68" s="50"/>
      <c r="C68" s="1"/>
      <c r="D68" s="1" t="s">
        <v>70</v>
      </c>
      <c r="E68" s="1"/>
      <c r="F68" s="51"/>
      <c r="G68" s="1"/>
      <c r="H68" s="1"/>
      <c r="I68" s="1"/>
      <c r="J68" s="1"/>
      <c r="K68" s="1"/>
      <c r="L68" s="1"/>
      <c r="M68" s="2"/>
      <c r="N68" s="62"/>
      <c r="O68" s="387"/>
    </row>
    <row r="69" spans="1:15" ht="15" customHeight="1">
      <c r="A69" s="1"/>
      <c r="B69" s="108" t="s">
        <v>65</v>
      </c>
      <c r="C69" s="52" t="s">
        <v>71</v>
      </c>
      <c r="D69" s="27"/>
      <c r="E69" s="1"/>
      <c r="F69" s="51"/>
      <c r="G69" s="1"/>
      <c r="H69" s="1"/>
      <c r="I69" s="1"/>
      <c r="J69" s="1"/>
      <c r="K69" s="1"/>
      <c r="L69" s="1"/>
      <c r="M69" s="2"/>
      <c r="N69" s="62"/>
      <c r="O69" s="387"/>
    </row>
    <row r="70" spans="1:15" ht="15" customHeight="1">
      <c r="A70" s="1"/>
      <c r="B70" s="50"/>
      <c r="C70" s="1"/>
      <c r="D70" s="1" t="s">
        <v>72</v>
      </c>
      <c r="E70" s="1"/>
      <c r="F70" s="51"/>
      <c r="G70" s="1"/>
      <c r="H70" s="1"/>
      <c r="I70" s="1"/>
      <c r="J70" s="1"/>
      <c r="K70" s="1"/>
      <c r="L70" s="1"/>
      <c r="M70" s="2"/>
      <c r="N70" s="62"/>
      <c r="O70" s="387"/>
    </row>
    <row r="71" spans="1:15" ht="15" customHeight="1">
      <c r="A71" s="1"/>
      <c r="B71" s="50"/>
      <c r="C71" s="1"/>
      <c r="D71" s="27" t="s">
        <v>73</v>
      </c>
      <c r="E71" s="1"/>
      <c r="F71" s="51"/>
      <c r="G71" s="1"/>
      <c r="H71" s="1"/>
      <c r="I71" s="1"/>
      <c r="J71" s="1"/>
      <c r="K71" s="1"/>
      <c r="L71" s="1"/>
      <c r="M71" s="2"/>
      <c r="N71" s="62"/>
      <c r="O71" s="387"/>
    </row>
    <row r="72" spans="1:15" ht="15" customHeight="1">
      <c r="A72" s="1"/>
      <c r="B72" s="50"/>
      <c r="C72" s="1"/>
      <c r="D72" s="1" t="s">
        <v>74</v>
      </c>
      <c r="E72" s="1"/>
      <c r="F72" s="51"/>
      <c r="G72" s="1"/>
      <c r="H72" s="1"/>
      <c r="I72" s="1"/>
      <c r="J72" s="1"/>
      <c r="K72" s="1"/>
      <c r="L72" s="1"/>
      <c r="M72" s="2"/>
      <c r="N72" s="62"/>
      <c r="O72" s="387"/>
    </row>
    <row r="73" spans="1:15" ht="15" customHeight="1">
      <c r="A73" s="1"/>
      <c r="B73" s="50"/>
      <c r="C73" s="1"/>
      <c r="D73" s="27" t="s">
        <v>75</v>
      </c>
      <c r="E73" s="1"/>
      <c r="F73" s="51"/>
      <c r="G73" s="1"/>
      <c r="H73" s="1"/>
      <c r="I73" s="1"/>
      <c r="J73" s="1"/>
      <c r="K73" s="1"/>
      <c r="L73" s="1"/>
      <c r="M73" s="2"/>
      <c r="N73" s="62"/>
      <c r="O73" s="387"/>
    </row>
    <row r="74" spans="1:15" ht="15" customHeight="1">
      <c r="A74" s="1"/>
      <c r="B74" s="108" t="s">
        <v>65</v>
      </c>
      <c r="C74" s="52" t="s">
        <v>76</v>
      </c>
      <c r="D74" s="27"/>
      <c r="E74" s="1"/>
      <c r="F74" s="51"/>
      <c r="G74" s="1"/>
      <c r="H74" s="1"/>
      <c r="I74" s="1"/>
      <c r="J74" s="1"/>
      <c r="K74" s="1"/>
      <c r="L74" s="1"/>
      <c r="M74" s="2"/>
      <c r="N74" s="62"/>
      <c r="O74" s="387"/>
    </row>
    <row r="75" spans="1:15" ht="15" customHeight="1">
      <c r="A75" s="1"/>
      <c r="B75" s="50"/>
      <c r="C75" s="1"/>
      <c r="D75" s="1" t="s">
        <v>77</v>
      </c>
      <c r="E75" s="1"/>
      <c r="F75" s="51"/>
      <c r="G75" s="1"/>
      <c r="H75" s="1"/>
      <c r="I75" s="1"/>
      <c r="J75" s="1"/>
      <c r="K75" s="1"/>
      <c r="L75" s="1"/>
      <c r="M75" s="2"/>
      <c r="N75" s="62"/>
      <c r="O75" s="387"/>
    </row>
    <row r="76" spans="1:15" ht="15" customHeight="1">
      <c r="A76" s="1"/>
      <c r="B76" s="50"/>
      <c r="C76" s="1"/>
      <c r="D76" s="27" t="s">
        <v>78</v>
      </c>
      <c r="E76" s="1"/>
      <c r="F76" s="51"/>
      <c r="G76" s="1"/>
      <c r="H76" s="1"/>
      <c r="I76" s="1"/>
      <c r="J76" s="1"/>
      <c r="K76" s="1"/>
      <c r="L76" s="1"/>
      <c r="M76" s="2"/>
      <c r="N76" s="62"/>
      <c r="O76" s="387"/>
    </row>
    <row r="77" spans="1:15" ht="15" customHeight="1">
      <c r="A77" s="1"/>
      <c r="B77" s="50"/>
      <c r="C77" s="1"/>
      <c r="D77" s="1" t="s">
        <v>79</v>
      </c>
      <c r="E77" s="54">
        <f>INPUT!$B$3</f>
        <v>3</v>
      </c>
      <c r="F77" s="1" t="s">
        <v>80</v>
      </c>
      <c r="G77" s="1"/>
      <c r="H77" s="54"/>
      <c r="I77" s="1"/>
      <c r="J77" s="1"/>
      <c r="K77" s="1"/>
      <c r="L77" s="1"/>
      <c r="M77" s="2"/>
      <c r="N77" s="62"/>
      <c r="O77" s="387"/>
    </row>
    <row r="78" spans="1:15" ht="15" customHeight="1">
      <c r="A78" s="1"/>
      <c r="B78" s="108" t="s">
        <v>65</v>
      </c>
      <c r="C78" s="52" t="s">
        <v>81</v>
      </c>
      <c r="D78" s="27"/>
      <c r="E78" s="1"/>
      <c r="F78" s="51"/>
      <c r="G78" s="1"/>
      <c r="H78" s="1"/>
      <c r="I78" s="1"/>
      <c r="J78" s="1"/>
      <c r="K78" s="1"/>
      <c r="L78" s="1"/>
      <c r="M78" s="2"/>
      <c r="N78" s="62"/>
      <c r="O78" s="387"/>
    </row>
    <row r="79" spans="1:15" ht="15" customHeight="1">
      <c r="A79" s="1"/>
      <c r="B79" s="50"/>
      <c r="C79" s="1"/>
      <c r="D79" s="1" t="s">
        <v>82</v>
      </c>
      <c r="E79" s="1"/>
      <c r="F79" s="51"/>
      <c r="G79" s="1"/>
      <c r="H79" s="1"/>
      <c r="I79" s="1"/>
      <c r="J79" s="1"/>
      <c r="K79" s="1"/>
      <c r="L79" s="1"/>
      <c r="M79" s="2"/>
      <c r="N79" s="62"/>
      <c r="O79" s="387"/>
    </row>
    <row r="80" spans="1:15" ht="15" customHeight="1">
      <c r="A80" s="1"/>
      <c r="B80" s="50"/>
      <c r="C80" s="1"/>
      <c r="D80" s="1" t="s">
        <v>83</v>
      </c>
      <c r="E80" s="1"/>
      <c r="F80" s="51"/>
      <c r="G80" s="1"/>
      <c r="H80" s="1"/>
      <c r="I80" s="1"/>
      <c r="J80" s="1"/>
      <c r="K80" s="1"/>
      <c r="L80" s="1"/>
      <c r="M80" s="2"/>
      <c r="N80" s="62"/>
      <c r="O80" s="387"/>
    </row>
    <row r="81" spans="1:15" ht="15" customHeight="1">
      <c r="A81" s="1"/>
      <c r="B81" s="50"/>
      <c r="D81" s="501" t="s">
        <v>84</v>
      </c>
      <c r="E81" s="509" t="s">
        <v>40</v>
      </c>
      <c r="F81" s="47" t="s">
        <v>85</v>
      </c>
      <c r="G81" s="50"/>
      <c r="H81" s="1"/>
      <c r="I81" s="1"/>
      <c r="J81" s="1"/>
      <c r="K81" s="1"/>
      <c r="L81" s="1"/>
      <c r="M81" s="1"/>
      <c r="N81" s="1"/>
      <c r="O81" s="387"/>
    </row>
    <row r="82" spans="1:15" ht="15" customHeight="1">
      <c r="A82" s="8"/>
      <c r="B82" s="1"/>
      <c r="D82" s="501"/>
      <c r="E82" s="509"/>
      <c r="F82" s="55" t="s">
        <v>86</v>
      </c>
      <c r="G82" s="1"/>
      <c r="H82" s="1"/>
      <c r="I82" s="1"/>
      <c r="J82" s="1"/>
      <c r="K82" s="1"/>
      <c r="L82" s="1"/>
      <c r="M82" s="1"/>
      <c r="N82" s="1"/>
      <c r="O82" s="387"/>
    </row>
    <row r="83" spans="1:15" ht="15" customHeight="1">
      <c r="A83" s="1"/>
      <c r="B83" s="1"/>
      <c r="D83" s="501" t="s">
        <v>87</v>
      </c>
      <c r="E83" s="509" t="s">
        <v>40</v>
      </c>
      <c r="F83" s="502" t="s">
        <v>88</v>
      </c>
      <c r="G83" s="502"/>
      <c r="H83" s="502"/>
      <c r="I83" s="1"/>
      <c r="J83" s="1"/>
      <c r="K83" s="1"/>
      <c r="L83" s="1"/>
      <c r="M83" s="1"/>
      <c r="N83" s="1"/>
      <c r="O83" s="387"/>
    </row>
    <row r="84" spans="1:15" ht="15" customHeight="1">
      <c r="A84" s="1"/>
      <c r="B84" s="1"/>
      <c r="D84" s="501"/>
      <c r="E84" s="509"/>
      <c r="F84" s="1" t="s">
        <v>89</v>
      </c>
      <c r="G84" s="1"/>
      <c r="H84" s="1"/>
      <c r="I84" s="1"/>
      <c r="J84" s="1"/>
      <c r="K84" s="1"/>
      <c r="L84" s="1"/>
      <c r="M84" s="1"/>
      <c r="N84" s="1"/>
      <c r="O84" s="387"/>
    </row>
    <row r="85" spans="1:15" ht="1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87"/>
    </row>
    <row r="86" spans="1:15" ht="15" customHeight="1">
      <c r="A86" s="1"/>
      <c r="B86" s="1"/>
      <c r="D86" s="1" t="s">
        <v>90</v>
      </c>
      <c r="E86" s="27" t="s">
        <v>40</v>
      </c>
      <c r="F86" s="1" t="s">
        <v>91</v>
      </c>
      <c r="G86" s="1"/>
      <c r="H86" s="1"/>
      <c r="I86" s="1"/>
      <c r="J86" s="1"/>
      <c r="K86" s="1"/>
      <c r="L86" s="1"/>
      <c r="M86" s="1"/>
      <c r="N86" s="1"/>
      <c r="O86" s="387"/>
    </row>
    <row r="87" spans="1:15" ht="15" customHeight="1">
      <c r="A87" s="1"/>
      <c r="B87" s="1"/>
      <c r="D87" s="1" t="s">
        <v>92</v>
      </c>
      <c r="E87" s="27" t="s">
        <v>40</v>
      </c>
      <c r="F87" s="1" t="s">
        <v>93</v>
      </c>
      <c r="G87" s="1"/>
      <c r="H87" s="1"/>
      <c r="I87" s="1"/>
      <c r="J87" s="1"/>
      <c r="K87" s="1"/>
      <c r="L87" s="1"/>
      <c r="M87" s="1"/>
      <c r="N87" s="1"/>
      <c r="O87" s="387"/>
    </row>
    <row r="88" spans="1:15" ht="15" customHeight="1">
      <c r="A88" s="1"/>
      <c r="B88" s="1"/>
      <c r="D88" s="1" t="s">
        <v>94</v>
      </c>
      <c r="E88" s="27" t="s">
        <v>40</v>
      </c>
      <c r="F88" s="1" t="s">
        <v>95</v>
      </c>
      <c r="G88" s="50"/>
      <c r="H88" s="1"/>
      <c r="I88" s="1"/>
      <c r="J88" s="1"/>
      <c r="K88" s="1"/>
      <c r="L88" s="1"/>
      <c r="M88" s="1"/>
      <c r="N88" s="1"/>
      <c r="O88" s="387"/>
    </row>
    <row r="89" spans="1:15" ht="15" customHeight="1">
      <c r="A89" s="1"/>
      <c r="B89" s="1"/>
      <c r="D89" s="1"/>
      <c r="E89" s="1"/>
      <c r="F89" s="1" t="s">
        <v>96</v>
      </c>
      <c r="G89" s="1"/>
      <c r="H89" s="1"/>
      <c r="I89" s="1"/>
      <c r="J89" s="1"/>
      <c r="K89" s="1"/>
      <c r="L89" s="1"/>
      <c r="M89" s="1"/>
      <c r="N89" s="1"/>
      <c r="O89" s="390"/>
    </row>
    <row r="90" spans="1:15" ht="15" customHeight="1">
      <c r="A90" s="1"/>
      <c r="B90" s="1"/>
      <c r="C90" s="1"/>
      <c r="D90" s="1"/>
      <c r="E90" s="27"/>
      <c r="F90" s="1"/>
      <c r="G90" s="1"/>
      <c r="H90" s="1"/>
      <c r="I90" s="1"/>
      <c r="J90" s="1"/>
      <c r="K90" s="1"/>
      <c r="L90" s="1"/>
      <c r="M90" s="1"/>
      <c r="N90" s="61"/>
      <c r="O90" s="297"/>
    </row>
    <row r="91" spans="1:15" ht="15" customHeight="1" thickBot="1">
      <c r="A91" s="56" t="s">
        <v>97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61"/>
      <c r="O91" s="297"/>
    </row>
    <row r="92" spans="1:15" ht="15" customHeight="1">
      <c r="A92" s="69" t="s">
        <v>98</v>
      </c>
      <c r="B92" s="489" t="s">
        <v>99</v>
      </c>
      <c r="C92" s="493"/>
      <c r="D92" s="493"/>
      <c r="E92" s="493"/>
      <c r="F92" s="493"/>
      <c r="G92" s="493"/>
      <c r="H92" s="490"/>
      <c r="I92" s="489" t="s">
        <v>100</v>
      </c>
      <c r="J92" s="493"/>
      <c r="K92" s="490"/>
      <c r="L92" s="70" t="s">
        <v>61</v>
      </c>
      <c r="M92" s="70" t="s">
        <v>101</v>
      </c>
      <c r="N92" s="71" t="s">
        <v>63</v>
      </c>
      <c r="O92" s="297"/>
    </row>
    <row r="93" spans="1:15" ht="15" customHeight="1">
      <c r="A93" s="72"/>
      <c r="B93" s="73" t="s">
        <v>39</v>
      </c>
      <c r="C93" s="73" t="s">
        <v>102</v>
      </c>
      <c r="D93" s="73" t="s">
        <v>103</v>
      </c>
      <c r="E93" s="73" t="s">
        <v>104</v>
      </c>
      <c r="F93" s="73" t="s">
        <v>105</v>
      </c>
      <c r="G93" s="73" t="s">
        <v>106</v>
      </c>
      <c r="H93" s="73" t="s">
        <v>107</v>
      </c>
      <c r="I93" s="73" t="s">
        <v>108</v>
      </c>
      <c r="J93" s="73" t="s">
        <v>109</v>
      </c>
      <c r="K93" s="73" t="s">
        <v>59</v>
      </c>
      <c r="L93" s="73"/>
      <c r="M93" s="73"/>
      <c r="N93" s="74"/>
      <c r="O93" s="297"/>
    </row>
    <row r="94" spans="1:15" ht="15" customHeight="1">
      <c r="A94" s="174" t="str">
        <f>INPUT!D3</f>
        <v>1001i</v>
      </c>
      <c r="B94" s="175">
        <f>INPUT!AI3</f>
        <v>5000</v>
      </c>
      <c r="C94" s="175">
        <f>INPUT!H3*INPUT!I3*INPUT!J3+INPUT!M3*INPUT!N3+INPUT!K3*INPUT!L3*2/COS(G94)+INPUT!AC3*INPUT!AD3*INPUT!AE3+INPUT!AF3*INPUT!AG3*INPUT!AH3</f>
        <v>113290.69412373184</v>
      </c>
      <c r="D94" s="175">
        <f>(INPUT!M3-2*INPUT!O3)*INPUT!P3+INPUT!P3*INPUT!P3*G94</f>
        <v>0</v>
      </c>
      <c r="E94" s="185">
        <f>INPUT!Q3*INPUT!Z3+2*INPUT!R3*INPUT!S3</f>
        <v>1580500</v>
      </c>
      <c r="F94" s="487">
        <f>(C94*7.85+(D94+E94)*2.5)/10^5/2</f>
        <v>24.202909744356475</v>
      </c>
      <c r="G94" s="176">
        <f>(INPUT!T3/2 - 0.5*(INPUT!M3-2*INPUT!O3))/INPUT!K3</f>
        <v>0.125</v>
      </c>
      <c r="H94" s="177">
        <f>F94*G94*B94^2/12/10^6</f>
        <v>6.3028410792594993</v>
      </c>
      <c r="I94" s="177">
        <f>INPUT!K3/(INPUT!V3+G94*INPUT!K3)</f>
        <v>1.7333333333333334</v>
      </c>
      <c r="J94" s="177">
        <f>INPUT!V3*INPUT!Q3/10^6*25</f>
        <v>8.5187500000000007</v>
      </c>
      <c r="K94" s="177">
        <f>0.5*J94/I94*B94*B94/12/10^6</f>
        <v>5.1194411057692308</v>
      </c>
      <c r="L94" s="177">
        <f>0.5*$E$77/I94*B94*B94/12/10^6</f>
        <v>1.802884615384615</v>
      </c>
      <c r="M94" s="178">
        <f>INPUT!G3</f>
        <v>0</v>
      </c>
      <c r="N94" s="179">
        <f>IF(M94&gt;0,(INPUT!#REF!+INPUT!#REF!+INPUT!#REF!)*B94*B94/12/M94/INPUT!K3,0)</f>
        <v>0</v>
      </c>
      <c r="O94" s="297"/>
    </row>
    <row r="95" spans="1:15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61"/>
      <c r="O95" s="297"/>
    </row>
    <row r="96" spans="1:15" ht="15" customHeight="1" thickBot="1">
      <c r="A96" s="56" t="s">
        <v>110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61"/>
      <c r="O96" s="297"/>
    </row>
    <row r="97" spans="1:15" ht="15" customHeight="1">
      <c r="A97" s="69" t="s">
        <v>98</v>
      </c>
      <c r="B97" s="489" t="s">
        <v>90</v>
      </c>
      <c r="C97" s="490"/>
      <c r="D97" s="75" t="s">
        <v>111</v>
      </c>
      <c r="E97" s="70" t="s">
        <v>92</v>
      </c>
      <c r="F97" s="70" t="s">
        <v>87</v>
      </c>
      <c r="G97" s="70" t="s">
        <v>94</v>
      </c>
      <c r="H97" s="70" t="s">
        <v>112</v>
      </c>
      <c r="I97" s="70" t="s">
        <v>84</v>
      </c>
      <c r="J97" s="70" t="s">
        <v>42</v>
      </c>
      <c r="K97" s="70" t="s">
        <v>113</v>
      </c>
      <c r="L97" s="70" t="s">
        <v>114</v>
      </c>
      <c r="M97" s="70" t="s">
        <v>115</v>
      </c>
      <c r="N97" s="71" t="s">
        <v>116</v>
      </c>
      <c r="O97" s="297"/>
    </row>
    <row r="98" spans="1:15" ht="15" customHeight="1">
      <c r="A98" s="72"/>
      <c r="B98" s="73" t="s">
        <v>117</v>
      </c>
      <c r="C98" s="73" t="s">
        <v>118</v>
      </c>
      <c r="D98" s="76" t="s">
        <v>119</v>
      </c>
      <c r="E98" s="73"/>
      <c r="F98" s="73"/>
      <c r="G98" s="73"/>
      <c r="H98" s="73"/>
      <c r="I98" s="73"/>
      <c r="J98" s="73"/>
      <c r="K98" s="73"/>
      <c r="L98" s="73"/>
      <c r="M98" s="73"/>
      <c r="N98" s="74"/>
      <c r="O98" s="297"/>
    </row>
    <row r="99" spans="1:15" ht="15" customHeight="1">
      <c r="A99" s="180" t="str">
        <f>A94</f>
        <v>1001i</v>
      </c>
      <c r="B99" s="181">
        <f>INPUT!AO3</f>
        <v>4.3452189183266598E-4</v>
      </c>
      <c r="C99" s="181">
        <f>INPUT!AP3</f>
        <v>-3.8833456155582799E-4</v>
      </c>
      <c r="D99" s="57" t="str">
        <f>IF(B99&lt;=0,"Positive","Negative")</f>
        <v>Negative</v>
      </c>
      <c r="E99" s="181">
        <f>INPUT!AS3</f>
        <v>0</v>
      </c>
      <c r="F99" s="182">
        <f>INPUT!I3/SQRT(12*(1+E99*INPUT!L3/(3*INPUT!I3*INPUT!J3)))</f>
        <v>144.33756729740645</v>
      </c>
      <c r="G99" s="183">
        <f>+(INPUT!J3*INPUT!I3^2)/6</f>
        <v>916666.66666666663</v>
      </c>
      <c r="H99" s="128">
        <f>IF(INPUT!H3=1,0,(H94*1.25+K94*1.25+L94*1.5+1.5*N94)/G99*10^6)</f>
        <v>18.526014168395822</v>
      </c>
      <c r="I99" s="182">
        <f>1*1*PI()^2*INPUT!$B$2/((B94/F99)^2)</f>
        <v>1727.180770190638</v>
      </c>
      <c r="J99" s="178">
        <f>1*F99*SQRT(INPUT!$B$2/INPUT!AK3)</f>
        <v>3393.1044626914809</v>
      </c>
      <c r="K99" s="128">
        <f>IF(D99="Positive",IF(B94&lt;=IF(B99=0,0,1.2*J99*SQRT(1*1*INPUT!AK3/ABS(B99))),H99,H99*MAX(0.85/(1-ABS(B99)/I99),1)),H99)</f>
        <v>18.526014168395822</v>
      </c>
      <c r="L99" s="178">
        <f>0.6*INPUT!AK3</f>
        <v>228</v>
      </c>
      <c r="M99" s="398" t="str">
        <f>IF(ABS(K99)&lt;=L99,"OK","NG")</f>
        <v>OK</v>
      </c>
      <c r="N99" s="184">
        <f>IF(K99=0,"Inf",L99/ABS(K99))</f>
        <v>12.307018548488061</v>
      </c>
      <c r="O99" s="297"/>
    </row>
    <row r="100" spans="1:15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61"/>
      <c r="O100" s="297"/>
    </row>
    <row r="101" spans="1:15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61"/>
      <c r="O101" s="297"/>
    </row>
    <row r="102" spans="1:15" ht="15" customHeight="1">
      <c r="A102" s="36" t="s">
        <v>348</v>
      </c>
      <c r="B102" s="16"/>
      <c r="C102" s="1"/>
      <c r="D102" s="1"/>
      <c r="E102" s="1"/>
      <c r="F102" s="1"/>
      <c r="G102" s="35"/>
      <c r="H102" s="1"/>
      <c r="I102" s="1"/>
      <c r="J102" s="1"/>
      <c r="K102" s="1"/>
      <c r="L102" s="2"/>
      <c r="M102" s="1"/>
      <c r="N102" s="62"/>
      <c r="O102" s="391"/>
    </row>
    <row r="103" spans="1:15" ht="15" customHeight="1" thickBot="1"/>
    <row r="104" spans="1:15" ht="20.100000000000001" customHeight="1">
      <c r="B104" s="94"/>
      <c r="C104" s="95"/>
      <c r="D104" s="96"/>
      <c r="E104" s="97"/>
      <c r="F104" s="96"/>
      <c r="G104" s="98" t="s">
        <v>5</v>
      </c>
      <c r="H104" s="96"/>
      <c r="I104" s="97"/>
      <c r="J104" s="99"/>
      <c r="K104" s="100" t="s">
        <v>18</v>
      </c>
      <c r="L104" s="96"/>
      <c r="M104" s="101"/>
    </row>
    <row r="105" spans="1:15" ht="15" customHeight="1">
      <c r="B105" s="80"/>
      <c r="C105" s="77" t="s">
        <v>6</v>
      </c>
      <c r="D105" s="68"/>
      <c r="E105" s="84"/>
      <c r="F105" s="77"/>
      <c r="G105" s="78" t="s">
        <v>7</v>
      </c>
      <c r="H105" s="77"/>
      <c r="I105" s="83"/>
      <c r="J105" s="25"/>
      <c r="K105" s="78" t="s">
        <v>19</v>
      </c>
      <c r="L105" s="77"/>
      <c r="M105" s="17"/>
    </row>
    <row r="106" spans="1:15" ht="15" customHeight="1">
      <c r="B106" s="80"/>
      <c r="C106" s="77"/>
      <c r="D106" s="68"/>
      <c r="E106" s="83"/>
      <c r="F106" s="77"/>
      <c r="G106" s="78" t="s">
        <v>9</v>
      </c>
      <c r="H106" s="77"/>
      <c r="I106" s="83"/>
      <c r="J106" s="25"/>
      <c r="K106" s="77"/>
      <c r="L106" s="77"/>
      <c r="M106" s="17"/>
    </row>
    <row r="107" spans="1:15" ht="15" customHeight="1">
      <c r="B107" s="87"/>
      <c r="C107" s="88" t="s">
        <v>11</v>
      </c>
      <c r="D107" s="89"/>
      <c r="E107" s="90"/>
      <c r="F107" s="46"/>
      <c r="G107" s="91" t="s">
        <v>12</v>
      </c>
      <c r="H107" s="46"/>
      <c r="I107" s="90"/>
      <c r="J107" s="92"/>
      <c r="K107" s="46"/>
      <c r="L107" s="46"/>
      <c r="M107" s="93"/>
    </row>
    <row r="108" spans="1:15" ht="15" customHeight="1">
      <c r="B108" s="80"/>
      <c r="C108" s="77" t="s">
        <v>14</v>
      </c>
      <c r="D108" s="68"/>
      <c r="E108" s="85"/>
      <c r="F108" s="77"/>
      <c r="G108" s="78" t="s">
        <v>15</v>
      </c>
      <c r="H108" s="77"/>
      <c r="I108" s="83"/>
      <c r="J108" s="25"/>
      <c r="K108" s="78" t="s">
        <v>21</v>
      </c>
      <c r="L108" s="77"/>
      <c r="M108" s="17"/>
    </row>
    <row r="109" spans="1:15" ht="15" customHeight="1">
      <c r="B109" s="80"/>
      <c r="C109" s="79" t="s">
        <v>11</v>
      </c>
      <c r="D109" s="68"/>
      <c r="E109" s="83"/>
      <c r="F109" s="77"/>
      <c r="G109" s="78" t="s">
        <v>12</v>
      </c>
      <c r="H109" s="77"/>
      <c r="I109" s="83"/>
      <c r="J109" s="25"/>
      <c r="K109" s="77"/>
      <c r="L109" s="77"/>
      <c r="M109" s="17"/>
    </row>
    <row r="110" spans="1:15" ht="15" customHeight="1" thickBot="1">
      <c r="B110" s="86"/>
      <c r="C110" s="32"/>
      <c r="D110" s="32"/>
      <c r="E110" s="34"/>
      <c r="F110" s="32"/>
      <c r="G110" s="81"/>
      <c r="H110" s="32"/>
      <c r="I110" s="34"/>
      <c r="J110" s="31"/>
      <c r="K110" s="32"/>
      <c r="L110" s="32"/>
      <c r="M110" s="82"/>
    </row>
    <row r="112" spans="1:15" ht="15" customHeight="1">
      <c r="A112" s="8"/>
      <c r="B112" s="16" t="s">
        <v>124</v>
      </c>
      <c r="C112" s="1"/>
    </row>
    <row r="113" spans="1:39" ht="15" customHeight="1">
      <c r="A113" s="8"/>
      <c r="B113" s="512" t="s">
        <v>65</v>
      </c>
      <c r="C113" s="510" t="s">
        <v>377</v>
      </c>
      <c r="D113" s="491" t="s">
        <v>354</v>
      </c>
      <c r="E113" s="491"/>
      <c r="F113" s="491"/>
      <c r="G113" s="511" t="s">
        <v>121</v>
      </c>
      <c r="H113" s="491" t="s">
        <v>355</v>
      </c>
      <c r="I113" s="491"/>
      <c r="J113" s="1"/>
      <c r="K113" s="1"/>
      <c r="L113" s="2"/>
      <c r="M113" s="1"/>
      <c r="N113" s="1"/>
      <c r="O113" s="297"/>
    </row>
    <row r="114" spans="1:39" ht="15" customHeight="1">
      <c r="A114" s="1"/>
      <c r="B114" s="512"/>
      <c r="C114" s="510"/>
      <c r="D114" s="492" t="s">
        <v>378</v>
      </c>
      <c r="E114" s="492"/>
      <c r="F114" s="492"/>
      <c r="G114" s="510"/>
      <c r="H114" s="492" t="s">
        <v>379</v>
      </c>
      <c r="I114" s="492"/>
      <c r="J114" s="1"/>
      <c r="K114" s="1"/>
      <c r="L114" s="2"/>
      <c r="M114" s="1"/>
      <c r="N114" s="1"/>
      <c r="O114" s="297"/>
    </row>
    <row r="115" spans="1:39" ht="15" customHeight="1">
      <c r="A115" s="1"/>
      <c r="B115" s="8"/>
      <c r="C115" s="1"/>
      <c r="D115" s="1"/>
      <c r="E115" s="1"/>
      <c r="F115" s="35"/>
      <c r="G115" s="1"/>
      <c r="H115" s="1"/>
      <c r="I115" s="1"/>
      <c r="J115" s="1"/>
      <c r="K115" s="1"/>
      <c r="L115" s="2"/>
      <c r="M115" s="1"/>
      <c r="N115" s="1"/>
      <c r="O115" s="297"/>
    </row>
    <row r="116" spans="1:39" s="1" customFormat="1" ht="15" customHeight="1">
      <c r="B116" s="162" t="s">
        <v>65</v>
      </c>
      <c r="C116" s="1" t="s">
        <v>380</v>
      </c>
      <c r="F116" s="35"/>
      <c r="L116" s="163"/>
      <c r="O116" s="297"/>
      <c r="P116" s="368"/>
      <c r="Y116" s="163"/>
      <c r="AD116" s="163"/>
      <c r="AF116" s="163"/>
      <c r="AJ116" s="168"/>
      <c r="AM116" s="27"/>
    </row>
    <row r="117" spans="1:39" s="1" customFormat="1" ht="15" customHeight="1">
      <c r="B117" s="162"/>
      <c r="F117" s="35"/>
      <c r="L117" s="163"/>
      <c r="O117" s="297"/>
      <c r="P117" s="368"/>
      <c r="Y117" s="163"/>
      <c r="AD117" s="163"/>
      <c r="AF117" s="163"/>
      <c r="AJ117" s="168"/>
      <c r="AM117" s="27"/>
    </row>
    <row r="118" spans="1:39" ht="15" customHeight="1">
      <c r="A118" s="8"/>
      <c r="B118" s="108" t="s">
        <v>65</v>
      </c>
      <c r="C118" s="158" t="s">
        <v>381</v>
      </c>
      <c r="D118" s="1"/>
      <c r="E118" s="16"/>
      <c r="F118" s="1"/>
      <c r="G118" s="1"/>
      <c r="H118" s="1"/>
      <c r="I118" s="1"/>
      <c r="J118" s="102"/>
      <c r="K118" s="2"/>
      <c r="L118" s="1"/>
      <c r="M118" s="1"/>
      <c r="N118" s="65" t="s">
        <v>125</v>
      </c>
    </row>
    <row r="119" spans="1:39" ht="20.100000000000001" customHeight="1">
      <c r="A119" s="1"/>
      <c r="B119" s="8"/>
      <c r="C119" s="43" t="s">
        <v>30</v>
      </c>
      <c r="D119" s="44"/>
      <c r="E119" s="44"/>
      <c r="F119" s="44"/>
      <c r="G119" s="44"/>
      <c r="H119" s="43" t="s">
        <v>122</v>
      </c>
      <c r="I119" s="44"/>
      <c r="J119" s="44"/>
      <c r="K119" s="104"/>
      <c r="L119" s="2"/>
      <c r="M119" s="1"/>
      <c r="N119" s="1"/>
    </row>
    <row r="120" spans="1:39" ht="20.100000000000001" customHeight="1">
      <c r="A120" s="1"/>
      <c r="B120" s="8"/>
      <c r="C120" s="1" t="s">
        <v>382</v>
      </c>
      <c r="D120" s="1"/>
      <c r="E120" s="1"/>
      <c r="F120" s="1"/>
      <c r="G120" s="1"/>
      <c r="H120" s="51">
        <v>1</v>
      </c>
      <c r="I120" s="1"/>
      <c r="J120" s="1"/>
      <c r="K120" s="103"/>
      <c r="L120" s="2"/>
      <c r="M120" s="1"/>
      <c r="N120" s="1"/>
    </row>
    <row r="121" spans="1:39" ht="20.100000000000001" customHeight="1">
      <c r="A121" s="1"/>
      <c r="B121" s="8"/>
      <c r="C121" s="19" t="s">
        <v>34</v>
      </c>
      <c r="D121" s="19"/>
      <c r="E121" s="19"/>
      <c r="F121" s="19"/>
      <c r="G121" s="19"/>
      <c r="H121" s="19" t="s">
        <v>123</v>
      </c>
      <c r="I121" s="19"/>
      <c r="J121" s="19"/>
      <c r="K121" s="105"/>
      <c r="L121" s="2"/>
      <c r="M121" s="1"/>
      <c r="N121" s="1"/>
    </row>
    <row r="122" spans="1:39" ht="15" customHeight="1">
      <c r="A122" s="1"/>
      <c r="B122" s="1"/>
      <c r="C122" s="53" t="s">
        <v>383</v>
      </c>
      <c r="D122" s="106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39" ht="15" customHeight="1">
      <c r="A123" s="1"/>
      <c r="B123" s="1"/>
      <c r="C123" s="58" t="s">
        <v>384</v>
      </c>
      <c r="D123" s="106"/>
      <c r="E123" s="106"/>
      <c r="F123" s="1"/>
      <c r="G123" s="107"/>
      <c r="H123" s="107"/>
      <c r="I123" s="107"/>
      <c r="J123" s="1"/>
      <c r="K123" s="1"/>
      <c r="L123" s="2"/>
      <c r="M123" s="1"/>
      <c r="N123" s="103"/>
    </row>
    <row r="124" spans="1:39" ht="15" customHeight="1">
      <c r="A124" s="1"/>
      <c r="B124" s="1"/>
      <c r="C124" s="53" t="s">
        <v>385</v>
      </c>
      <c r="D124" s="106"/>
      <c r="E124" s="1"/>
      <c r="F124" s="1"/>
      <c r="G124" s="1"/>
      <c r="H124" s="107"/>
      <c r="I124" s="107"/>
      <c r="J124" s="1"/>
      <c r="K124" s="1"/>
      <c r="L124" s="2"/>
      <c r="M124" s="1"/>
      <c r="N124" s="103"/>
    </row>
    <row r="125" spans="1:39" ht="15" customHeight="1">
      <c r="A125" s="1"/>
      <c r="B125" s="1"/>
      <c r="C125" s="1" t="s">
        <v>386</v>
      </c>
      <c r="D125" s="106"/>
      <c r="E125" s="1"/>
      <c r="F125" s="1"/>
      <c r="G125" s="1"/>
      <c r="H125" s="107"/>
      <c r="I125" s="107"/>
      <c r="J125" s="1"/>
      <c r="K125" s="1"/>
      <c r="L125" s="2"/>
      <c r="M125" s="1"/>
      <c r="N125" s="1"/>
    </row>
    <row r="126" spans="1:39" ht="15" customHeight="1">
      <c r="A126" s="1"/>
      <c r="B126" s="1"/>
      <c r="C126" s="1" t="s">
        <v>387</v>
      </c>
      <c r="D126" s="106"/>
      <c r="E126" s="1"/>
      <c r="F126" s="1"/>
      <c r="G126" s="1"/>
      <c r="H126" s="107"/>
      <c r="I126" s="107"/>
      <c r="J126" s="1"/>
      <c r="K126" s="1"/>
      <c r="L126" s="2"/>
      <c r="M126" s="1"/>
      <c r="N126" s="1"/>
    </row>
    <row r="127" spans="1:39" ht="15" customHeight="1">
      <c r="A127" s="1"/>
      <c r="B127" s="1"/>
      <c r="C127" s="1"/>
      <c r="D127" s="106"/>
      <c r="E127" s="1"/>
      <c r="F127" s="1"/>
      <c r="G127" s="1"/>
      <c r="H127" s="107"/>
      <c r="I127" s="107"/>
      <c r="J127" s="1"/>
      <c r="K127" s="1"/>
      <c r="L127" s="2"/>
      <c r="M127" s="1"/>
      <c r="N127" s="1"/>
    </row>
    <row r="128" spans="1:39" ht="15" customHeight="1">
      <c r="A128" s="8"/>
      <c r="B128" s="109" t="s">
        <v>388</v>
      </c>
      <c r="C128" s="54"/>
      <c r="D128" s="1"/>
      <c r="E128" s="1"/>
      <c r="F128" s="2"/>
      <c r="G128" s="1"/>
      <c r="H128" s="2"/>
      <c r="I128" s="1"/>
      <c r="J128" s="2"/>
      <c r="K128" s="1"/>
      <c r="L128" s="2"/>
      <c r="M128" s="1"/>
      <c r="N128" s="1"/>
    </row>
    <row r="129" spans="1:14" ht="15" customHeight="1">
      <c r="A129" s="110"/>
      <c r="B129" s="109"/>
      <c r="C129" s="54"/>
      <c r="D129" s="1"/>
      <c r="E129" s="1"/>
      <c r="F129" s="2"/>
      <c r="G129" s="1"/>
      <c r="H129" s="2"/>
      <c r="I129" s="1"/>
      <c r="J129" s="2"/>
      <c r="K129" s="1"/>
      <c r="L129" s="2"/>
      <c r="M129" s="1"/>
      <c r="N129" s="1"/>
    </row>
    <row r="130" spans="1:14" ht="20.100000000000001" customHeight="1">
      <c r="A130" s="8"/>
      <c r="B130" s="1"/>
      <c r="C130" s="43" t="s">
        <v>30</v>
      </c>
      <c r="D130" s="43"/>
      <c r="E130" s="43"/>
      <c r="F130" s="43"/>
      <c r="G130" s="43"/>
      <c r="H130" s="43" t="s">
        <v>126</v>
      </c>
      <c r="I130" s="43"/>
      <c r="J130" s="43"/>
      <c r="K130" s="43"/>
      <c r="L130" s="1"/>
      <c r="M130" s="1"/>
      <c r="N130" s="1"/>
    </row>
    <row r="131" spans="1:14" ht="20.100000000000001" customHeight="1">
      <c r="A131" s="8"/>
      <c r="B131" s="1"/>
      <c r="C131" s="111" t="s">
        <v>127</v>
      </c>
      <c r="D131" s="111"/>
      <c r="E131" s="111"/>
      <c r="F131" s="111"/>
      <c r="G131" s="111"/>
      <c r="H131" s="111" t="s">
        <v>128</v>
      </c>
      <c r="I131" s="111"/>
      <c r="J131" s="111"/>
      <c r="K131" s="111"/>
      <c r="L131" s="1"/>
      <c r="M131" s="1"/>
      <c r="N131" s="65" t="s">
        <v>162</v>
      </c>
    </row>
    <row r="132" spans="1:14" ht="20.100000000000001" customHeight="1">
      <c r="A132" s="8"/>
      <c r="B132" s="1"/>
      <c r="C132" s="114" t="s">
        <v>129</v>
      </c>
      <c r="D132" s="114"/>
      <c r="E132" s="114"/>
      <c r="F132" s="114"/>
      <c r="G132" s="114"/>
      <c r="H132" s="114" t="s">
        <v>167</v>
      </c>
      <c r="I132" s="119"/>
      <c r="J132" s="120"/>
      <c r="K132" s="114"/>
      <c r="L132" s="1"/>
      <c r="M132" s="1"/>
      <c r="N132" s="65" t="s">
        <v>163</v>
      </c>
    </row>
    <row r="133" spans="1:14" ht="15" customHeight="1">
      <c r="A133" s="1"/>
      <c r="B133" s="1"/>
      <c r="C133" s="1"/>
      <c r="D133" s="1"/>
      <c r="E133" s="1"/>
      <c r="F133" s="2"/>
      <c r="G133" s="1"/>
      <c r="H133" s="2"/>
      <c r="I133" s="1"/>
      <c r="J133" s="2"/>
      <c r="K133" s="1"/>
      <c r="L133" s="2"/>
      <c r="M133" s="1"/>
      <c r="N133" s="1"/>
    </row>
    <row r="134" spans="1:14" ht="15" customHeight="1">
      <c r="A134" s="1"/>
      <c r="B134" s="108" t="s">
        <v>65</v>
      </c>
      <c r="C134" s="1" t="s">
        <v>389</v>
      </c>
      <c r="D134" s="102"/>
      <c r="E134" s="16"/>
      <c r="F134" s="102"/>
      <c r="G134" s="102"/>
      <c r="H134" s="102"/>
      <c r="I134" s="1"/>
      <c r="J134" s="1"/>
      <c r="K134" s="2"/>
      <c r="L134" s="1"/>
      <c r="M134" s="2"/>
      <c r="N134" s="65" t="s">
        <v>164</v>
      </c>
    </row>
    <row r="135" spans="1:14" ht="20.100000000000001" customHeight="1">
      <c r="A135" s="1"/>
      <c r="B135" s="1"/>
      <c r="C135" s="43" t="s">
        <v>30</v>
      </c>
      <c r="D135" s="44"/>
      <c r="E135" s="44"/>
      <c r="F135" s="44"/>
      <c r="G135" s="44"/>
      <c r="H135" s="43" t="s">
        <v>130</v>
      </c>
      <c r="I135" s="44"/>
      <c r="J135" s="44"/>
      <c r="K135" s="44"/>
      <c r="L135" s="1"/>
      <c r="M135" s="1"/>
      <c r="N135" s="1"/>
    </row>
    <row r="136" spans="1:14" ht="20.100000000000001" customHeight="1">
      <c r="A136" s="1"/>
      <c r="B136" s="1"/>
      <c r="C136" s="122" t="s">
        <v>390</v>
      </c>
      <c r="D136" s="121"/>
      <c r="E136" s="111"/>
      <c r="F136" s="111"/>
      <c r="G136" s="111"/>
      <c r="H136" s="111" t="s">
        <v>131</v>
      </c>
      <c r="I136" s="111"/>
      <c r="J136" s="111"/>
      <c r="K136" s="111"/>
      <c r="L136" s="1"/>
      <c r="M136" s="1"/>
      <c r="N136" s="1"/>
    </row>
    <row r="137" spans="1:14" ht="20.100000000000001" customHeight="1">
      <c r="A137" s="1"/>
      <c r="B137" s="1"/>
      <c r="C137" s="114" t="s">
        <v>34</v>
      </c>
      <c r="D137" s="114"/>
      <c r="E137" s="114"/>
      <c r="F137" s="114" t="s">
        <v>169</v>
      </c>
      <c r="G137" s="114"/>
      <c r="H137" s="125"/>
      <c r="I137" s="114"/>
      <c r="J137" s="120"/>
      <c r="K137" s="114"/>
      <c r="L137" s="1"/>
      <c r="M137" s="1"/>
      <c r="N137" s="1"/>
    </row>
    <row r="138" spans="1:14" ht="15" customHeight="1">
      <c r="A138" s="1"/>
      <c r="B138" s="1"/>
      <c r="C138" s="58"/>
      <c r="D138" s="1" t="s">
        <v>132</v>
      </c>
      <c r="E138" s="1"/>
      <c r="F138" s="1"/>
      <c r="G138" s="1"/>
      <c r="H138" s="1"/>
      <c r="I138" s="1"/>
      <c r="J138" s="16"/>
      <c r="K138" s="1"/>
      <c r="L138" s="1"/>
      <c r="M138" s="1"/>
      <c r="N138" s="1"/>
    </row>
    <row r="139" spans="1:14" ht="15" customHeight="1">
      <c r="A139" s="1"/>
      <c r="B139" s="1"/>
      <c r="C139" s="58"/>
      <c r="D139" s="1" t="s">
        <v>133</v>
      </c>
      <c r="E139" s="1"/>
      <c r="F139" s="1"/>
      <c r="G139" s="1"/>
      <c r="H139" s="1"/>
      <c r="I139" s="16"/>
      <c r="J139" s="1"/>
      <c r="K139" s="1"/>
      <c r="L139" s="1"/>
      <c r="M139" s="113"/>
      <c r="N139" s="1"/>
    </row>
    <row r="140" spans="1:14" ht="15" customHeight="1">
      <c r="A140" s="1"/>
      <c r="B140" s="1"/>
      <c r="C140" s="58"/>
      <c r="D140" s="1" t="s">
        <v>134</v>
      </c>
      <c r="E140" s="1"/>
      <c r="F140" s="1"/>
      <c r="G140" s="1"/>
      <c r="H140" s="1"/>
      <c r="I140" s="1"/>
      <c r="J140" s="16"/>
      <c r="K140" s="1"/>
      <c r="L140" s="1"/>
      <c r="M140" s="1"/>
      <c r="N140" s="1"/>
    </row>
    <row r="141" spans="1:14" ht="15" customHeight="1">
      <c r="A141" s="1"/>
      <c r="B141" s="1"/>
      <c r="C141" s="58"/>
      <c r="D141" s="1" t="s">
        <v>135</v>
      </c>
      <c r="E141" s="1"/>
      <c r="F141" s="1"/>
      <c r="G141" s="1"/>
      <c r="H141" s="1"/>
      <c r="I141" s="1"/>
      <c r="J141" s="16"/>
      <c r="K141" s="1"/>
      <c r="L141" s="1"/>
      <c r="M141" s="1"/>
      <c r="N141" s="1"/>
    </row>
    <row r="142" spans="1:14" ht="15" customHeight="1">
      <c r="A142" s="1"/>
      <c r="B142" s="1"/>
      <c r="C142" s="58"/>
      <c r="D142" s="1" t="s">
        <v>136</v>
      </c>
      <c r="E142" s="58"/>
      <c r="F142" s="1"/>
      <c r="G142" s="1"/>
      <c r="H142" s="1"/>
      <c r="I142" s="1"/>
      <c r="J142" s="16"/>
      <c r="K142" s="1"/>
      <c r="L142" s="1"/>
      <c r="M142" s="1"/>
      <c r="N142" s="1"/>
    </row>
    <row r="143" spans="1:14" ht="15" customHeight="1">
      <c r="A143" s="1"/>
      <c r="B143" s="1"/>
      <c r="C143" s="1"/>
      <c r="D143" s="1"/>
      <c r="E143" s="1"/>
      <c r="F143" s="2"/>
      <c r="G143" s="1"/>
      <c r="H143" s="2"/>
      <c r="I143" s="1"/>
      <c r="J143" s="2"/>
      <c r="K143" s="1"/>
      <c r="L143" s="2"/>
      <c r="M143" s="1"/>
      <c r="N143" s="1"/>
    </row>
    <row r="144" spans="1:14" ht="15" customHeight="1">
      <c r="A144" s="1"/>
      <c r="B144" s="108" t="s">
        <v>65</v>
      </c>
      <c r="C144" s="1" t="s">
        <v>394</v>
      </c>
      <c r="D144" s="102"/>
      <c r="E144" s="16"/>
      <c r="F144" s="102"/>
      <c r="G144" s="102"/>
      <c r="H144" s="102"/>
      <c r="I144" s="1"/>
      <c r="J144" s="1"/>
      <c r="K144" s="2"/>
      <c r="L144" s="1"/>
      <c r="M144" s="2"/>
      <c r="N144" s="65" t="s">
        <v>165</v>
      </c>
    </row>
    <row r="145" spans="1:14" ht="20.100000000000001" customHeight="1">
      <c r="A145" s="1"/>
      <c r="B145" s="1"/>
      <c r="C145" s="43" t="s">
        <v>30</v>
      </c>
      <c r="D145" s="44"/>
      <c r="E145" s="44"/>
      <c r="F145" s="44"/>
      <c r="G145" s="44"/>
      <c r="H145" s="43" t="s">
        <v>137</v>
      </c>
      <c r="I145" s="44"/>
      <c r="J145" s="44"/>
      <c r="K145" s="44"/>
      <c r="L145" s="1"/>
      <c r="M145" s="1"/>
      <c r="N145" s="1"/>
    </row>
    <row r="146" spans="1:14" ht="20.100000000000001" customHeight="1">
      <c r="A146" s="1"/>
      <c r="B146" s="1"/>
      <c r="C146" s="111" t="s">
        <v>391</v>
      </c>
      <c r="D146" s="111"/>
      <c r="E146" s="111"/>
      <c r="F146" s="111"/>
      <c r="G146" s="111"/>
      <c r="H146" s="111" t="s">
        <v>131</v>
      </c>
      <c r="I146" s="111"/>
      <c r="J146" s="111"/>
      <c r="K146" s="111"/>
      <c r="L146" s="1"/>
      <c r="M146" s="1"/>
      <c r="N146" s="1"/>
    </row>
    <row r="147" spans="1:14" ht="20.100000000000001" customHeight="1">
      <c r="A147" s="1"/>
      <c r="B147" s="1"/>
      <c r="C147" s="112" t="s">
        <v>392</v>
      </c>
      <c r="D147" s="112"/>
      <c r="E147" s="112"/>
      <c r="F147" s="112" t="s">
        <v>168</v>
      </c>
      <c r="G147" s="112"/>
      <c r="H147" s="112"/>
      <c r="I147" s="112"/>
      <c r="J147" s="112"/>
      <c r="K147" s="112"/>
      <c r="L147" s="1"/>
      <c r="M147" s="1"/>
      <c r="N147" s="1"/>
    </row>
    <row r="148" spans="1:14" ht="20.100000000000001" customHeight="1">
      <c r="A148" s="1"/>
      <c r="B148" s="1"/>
      <c r="C148" s="19" t="s">
        <v>393</v>
      </c>
      <c r="D148" s="19"/>
      <c r="E148" s="19"/>
      <c r="F148" s="19"/>
      <c r="G148" s="19"/>
      <c r="H148" s="19" t="s">
        <v>138</v>
      </c>
      <c r="I148" s="19"/>
      <c r="J148" s="19"/>
      <c r="K148" s="19"/>
      <c r="L148" s="1"/>
      <c r="M148" s="1"/>
      <c r="N148" s="1"/>
    </row>
    <row r="149" spans="1:14" ht="15" customHeight="1">
      <c r="A149" s="1"/>
      <c r="B149" s="1"/>
      <c r="C149" s="1"/>
      <c r="D149" s="1" t="s">
        <v>139</v>
      </c>
      <c r="E149" s="1"/>
      <c r="F149" s="1"/>
      <c r="G149" s="2"/>
      <c r="H149" s="1"/>
      <c r="J149" s="1"/>
      <c r="K149" s="2"/>
      <c r="L149" s="1"/>
      <c r="M149" s="2"/>
      <c r="N149" s="1"/>
    </row>
    <row r="150" spans="1:14" ht="15" customHeight="1">
      <c r="A150" s="1"/>
      <c r="B150" s="1"/>
      <c r="C150" s="1"/>
      <c r="D150" s="1" t="s">
        <v>140</v>
      </c>
      <c r="E150" s="1"/>
      <c r="F150" s="1"/>
      <c r="G150" s="2"/>
      <c r="H150" s="499" t="s">
        <v>170</v>
      </c>
      <c r="I150" s="123" t="s">
        <v>171</v>
      </c>
      <c r="J150" s="123"/>
      <c r="K150" s="2"/>
      <c r="L150" s="1"/>
      <c r="M150" s="2"/>
      <c r="N150" s="1"/>
    </row>
    <row r="151" spans="1:14" ht="15" customHeight="1">
      <c r="A151" s="1"/>
      <c r="B151" s="1"/>
      <c r="C151" s="1"/>
      <c r="D151" s="1" t="s">
        <v>141</v>
      </c>
      <c r="E151" s="1"/>
      <c r="F151" s="1"/>
      <c r="G151" s="2"/>
      <c r="H151" s="499"/>
      <c r="I151" s="124" t="s">
        <v>172</v>
      </c>
      <c r="J151" s="124"/>
      <c r="K151" s="2"/>
      <c r="L151" s="1"/>
      <c r="M151" s="2"/>
      <c r="N151" s="1"/>
    </row>
    <row r="152" spans="1:14" ht="15" customHeight="1">
      <c r="A152" s="1"/>
      <c r="B152" s="1"/>
      <c r="C152" s="1"/>
      <c r="D152" s="1"/>
      <c r="E152" s="1"/>
      <c r="F152" s="1"/>
      <c r="G152" s="2"/>
      <c r="H152" s="1"/>
      <c r="I152" s="2"/>
      <c r="J152" s="1"/>
      <c r="K152" s="2"/>
      <c r="L152" s="1"/>
      <c r="M152" s="2"/>
      <c r="N152" s="1"/>
    </row>
    <row r="153" spans="1:14" ht="15" customHeight="1">
      <c r="A153" s="1"/>
      <c r="B153" s="108" t="s">
        <v>65</v>
      </c>
      <c r="C153" s="1" t="s">
        <v>395</v>
      </c>
      <c r="D153" s="102"/>
      <c r="E153" s="16"/>
      <c r="F153" s="102"/>
      <c r="G153" s="102"/>
      <c r="H153" s="102"/>
      <c r="I153" s="1"/>
      <c r="J153" s="1"/>
      <c r="K153" s="2"/>
      <c r="L153" s="1"/>
      <c r="M153" s="2"/>
      <c r="N153" s="65" t="s">
        <v>166</v>
      </c>
    </row>
    <row r="154" spans="1:14" ht="20.100000000000001" customHeight="1">
      <c r="A154" s="1"/>
      <c r="B154" s="1"/>
      <c r="C154" s="43" t="s">
        <v>30</v>
      </c>
      <c r="D154" s="44"/>
      <c r="E154" s="44"/>
      <c r="F154" s="44"/>
      <c r="G154" s="44"/>
      <c r="H154" s="43" t="s">
        <v>142</v>
      </c>
      <c r="I154" s="44"/>
      <c r="J154" s="44"/>
      <c r="K154" s="44"/>
      <c r="L154" s="1"/>
      <c r="M154" s="1"/>
      <c r="N154" s="1"/>
    </row>
    <row r="155" spans="1:14" ht="20.100000000000001" customHeight="1">
      <c r="A155" s="1"/>
      <c r="B155" s="1"/>
      <c r="C155" s="111" t="s">
        <v>396</v>
      </c>
      <c r="D155" s="111"/>
      <c r="E155" s="111"/>
      <c r="F155" s="111"/>
      <c r="G155" s="111"/>
      <c r="H155" s="111" t="s">
        <v>143</v>
      </c>
      <c r="I155" s="111"/>
      <c r="J155" s="111"/>
      <c r="K155" s="111"/>
      <c r="L155" s="1"/>
      <c r="M155" s="1"/>
      <c r="N155" s="1"/>
    </row>
    <row r="156" spans="1:14" ht="20.100000000000001" customHeight="1">
      <c r="A156" s="1"/>
      <c r="B156" s="1"/>
      <c r="C156" s="112" t="s">
        <v>397</v>
      </c>
      <c r="D156" s="112"/>
      <c r="E156" s="112"/>
      <c r="F156" s="1"/>
      <c r="G156" s="112" t="s">
        <v>173</v>
      </c>
      <c r="I156" s="1"/>
      <c r="J156" s="1"/>
      <c r="K156" s="1"/>
      <c r="L156" s="1"/>
      <c r="M156" s="1"/>
      <c r="N156" s="1"/>
    </row>
    <row r="157" spans="1:14" ht="20.100000000000001" customHeight="1">
      <c r="A157" s="1"/>
      <c r="B157" s="1"/>
      <c r="C157" s="114" t="s">
        <v>398</v>
      </c>
      <c r="D157" s="114"/>
      <c r="E157" s="114"/>
      <c r="F157" s="114"/>
      <c r="G157" s="114"/>
      <c r="H157" s="114" t="s">
        <v>144</v>
      </c>
      <c r="I157" s="114"/>
      <c r="J157" s="114"/>
      <c r="K157" s="114"/>
      <c r="L157" s="1"/>
      <c r="M157" s="1"/>
      <c r="N157" s="1"/>
    </row>
    <row r="158" spans="1:14" ht="15" customHeight="1">
      <c r="A158" s="1"/>
      <c r="B158" s="1"/>
      <c r="C158" s="1"/>
      <c r="D158" s="1"/>
      <c r="E158" s="1"/>
      <c r="F158" s="2"/>
      <c r="G158" s="1"/>
      <c r="H158" s="2"/>
      <c r="I158" s="1"/>
      <c r="J158" s="1"/>
      <c r="K158" s="1"/>
      <c r="L158" s="2"/>
      <c r="M158" s="1"/>
      <c r="N158" s="1"/>
    </row>
    <row r="159" spans="1:14" ht="15" customHeight="1">
      <c r="A159" s="1"/>
      <c r="B159" s="1"/>
      <c r="C159" s="169" t="s">
        <v>399</v>
      </c>
      <c r="D159" s="1"/>
      <c r="E159" s="1" t="s">
        <v>174</v>
      </c>
      <c r="F159" s="2"/>
      <c r="G159" s="1"/>
      <c r="H159" s="2"/>
      <c r="I159" s="1"/>
      <c r="J159" s="2"/>
      <c r="K159" s="1"/>
      <c r="L159" s="2"/>
      <c r="M159" s="1"/>
      <c r="N159" s="1"/>
    </row>
    <row r="160" spans="1:14" ht="15" customHeight="1">
      <c r="A160" s="1"/>
      <c r="B160" s="1"/>
      <c r="C160" s="169" t="s">
        <v>400</v>
      </c>
      <c r="D160" s="1"/>
      <c r="E160" s="1" t="s">
        <v>175</v>
      </c>
      <c r="F160" s="2"/>
      <c r="G160" s="1"/>
      <c r="H160" s="2"/>
      <c r="I160" s="1"/>
      <c r="J160" s="2"/>
      <c r="K160" s="1"/>
      <c r="L160" s="2"/>
      <c r="M160" s="1"/>
      <c r="N160" s="1"/>
    </row>
    <row r="161" spans="1:15" ht="15" customHeight="1">
      <c r="A161" s="1"/>
      <c r="B161" s="1"/>
      <c r="C161" s="159" t="s">
        <v>401</v>
      </c>
      <c r="D161" s="1"/>
      <c r="E161" s="1"/>
      <c r="F161" s="2"/>
      <c r="G161" s="1"/>
      <c r="H161" s="127" t="s">
        <v>176</v>
      </c>
      <c r="I161" s="1"/>
      <c r="J161" s="2"/>
      <c r="K161" s="1"/>
      <c r="L161" s="2"/>
      <c r="M161" s="1"/>
      <c r="N161" s="1"/>
    </row>
    <row r="162" spans="1:15" ht="15" customHeight="1">
      <c r="A162" s="8"/>
      <c r="B162" s="1"/>
      <c r="C162" s="127" t="s">
        <v>402</v>
      </c>
      <c r="D162" s="1"/>
      <c r="E162" s="1"/>
      <c r="F162" s="2"/>
      <c r="G162" s="1"/>
      <c r="H162" s="58" t="s">
        <v>177</v>
      </c>
      <c r="I162" s="1"/>
      <c r="J162" s="2"/>
      <c r="K162" s="1"/>
      <c r="L162" s="2"/>
      <c r="M162" s="1"/>
      <c r="N162" s="1"/>
    </row>
    <row r="163" spans="1:15" ht="15" customHeight="1">
      <c r="A163" s="8"/>
      <c r="B163" s="1"/>
      <c r="C163" s="1" t="s">
        <v>145</v>
      </c>
      <c r="D163" s="27" t="s">
        <v>146</v>
      </c>
      <c r="E163" s="1" t="s">
        <v>147</v>
      </c>
      <c r="F163" s="1"/>
      <c r="G163" s="1"/>
      <c r="H163" s="2"/>
      <c r="I163" s="1"/>
      <c r="J163" s="2"/>
      <c r="K163" s="1"/>
      <c r="L163" s="2"/>
      <c r="M163" s="1"/>
      <c r="N163" s="1"/>
    </row>
    <row r="164" spans="1:15" ht="15" customHeight="1">
      <c r="A164" s="8"/>
      <c r="B164" s="1"/>
      <c r="C164" s="1" t="s">
        <v>403</v>
      </c>
      <c r="D164" s="27" t="s">
        <v>146</v>
      </c>
      <c r="E164" s="1" t="s">
        <v>148</v>
      </c>
      <c r="F164" s="1"/>
      <c r="G164" s="1"/>
      <c r="H164" s="2"/>
      <c r="I164" s="1"/>
      <c r="J164" s="2"/>
      <c r="K164" s="1"/>
      <c r="L164" s="2"/>
      <c r="M164" s="1"/>
      <c r="N164" s="1"/>
    </row>
    <row r="165" spans="1:15" ht="15" customHeight="1">
      <c r="A165" s="8"/>
      <c r="B165" s="1"/>
      <c r="C165" s="1" t="s">
        <v>149</v>
      </c>
      <c r="D165" s="27" t="s">
        <v>146</v>
      </c>
      <c r="E165" s="1" t="s">
        <v>178</v>
      </c>
      <c r="F165" s="1"/>
      <c r="G165" s="1"/>
      <c r="H165" s="2"/>
      <c r="I165" s="1"/>
      <c r="J165" s="2"/>
      <c r="K165" s="1"/>
      <c r="L165" s="2"/>
      <c r="M165" s="1"/>
      <c r="N165" s="1"/>
    </row>
    <row r="166" spans="1:15" ht="15" customHeight="1">
      <c r="A166" s="8"/>
      <c r="B166" s="1"/>
      <c r="C166" s="1"/>
      <c r="E166" s="1" t="s">
        <v>179</v>
      </c>
      <c r="F166" s="1"/>
      <c r="G166" s="1"/>
      <c r="H166" s="2"/>
      <c r="I166" s="1"/>
      <c r="J166" s="2"/>
      <c r="K166" s="1"/>
      <c r="L166" s="2"/>
      <c r="M166" s="1"/>
      <c r="N166" s="1"/>
    </row>
    <row r="167" spans="1:15" ht="15" customHeight="1">
      <c r="A167" s="8"/>
      <c r="B167" s="1"/>
      <c r="C167" s="1"/>
      <c r="D167" s="1"/>
      <c r="E167" s="1"/>
      <c r="F167" s="1"/>
      <c r="G167" s="1"/>
      <c r="H167" s="2"/>
      <c r="I167" s="1"/>
      <c r="J167" s="2"/>
      <c r="K167" s="1"/>
      <c r="L167" s="2"/>
      <c r="M167" s="1"/>
      <c r="N167" s="1"/>
    </row>
    <row r="168" spans="1:15" ht="15" customHeight="1">
      <c r="A168" s="8"/>
      <c r="B168" s="108" t="s">
        <v>65</v>
      </c>
      <c r="C168" s="1" t="s">
        <v>404</v>
      </c>
      <c r="D168" s="102"/>
      <c r="E168" s="16"/>
      <c r="F168" s="102"/>
      <c r="G168" s="102"/>
      <c r="H168" s="102"/>
      <c r="I168" s="1"/>
      <c r="J168" s="1"/>
      <c r="K168" s="1"/>
      <c r="L168" s="1"/>
      <c r="M168" s="2"/>
      <c r="N168" s="65" t="s">
        <v>166</v>
      </c>
    </row>
    <row r="169" spans="1:15" ht="20.100000000000001" customHeight="1">
      <c r="A169" s="1"/>
      <c r="B169" s="1"/>
      <c r="C169" s="43" t="s">
        <v>30</v>
      </c>
      <c r="D169" s="44"/>
      <c r="E169" s="43"/>
      <c r="F169" s="43"/>
      <c r="G169" s="44"/>
      <c r="H169" s="43" t="s">
        <v>150</v>
      </c>
      <c r="I169" s="44"/>
      <c r="J169" s="44"/>
      <c r="K169" s="44"/>
      <c r="L169" s="1"/>
      <c r="M169" s="1"/>
      <c r="N169" s="1"/>
      <c r="O169" s="297"/>
    </row>
    <row r="170" spans="1:15" ht="20.100000000000001" customHeight="1">
      <c r="A170" s="1"/>
      <c r="B170" s="8"/>
      <c r="C170" s="45" t="s">
        <v>405</v>
      </c>
      <c r="D170" s="45"/>
      <c r="E170" s="45"/>
      <c r="F170" s="45"/>
      <c r="G170" s="45"/>
      <c r="H170" s="45" t="s">
        <v>151</v>
      </c>
      <c r="I170" s="45"/>
      <c r="J170" s="45"/>
      <c r="K170" s="45"/>
      <c r="L170" s="1"/>
      <c r="M170" s="1"/>
      <c r="N170" s="1"/>
      <c r="O170" s="297"/>
    </row>
    <row r="171" spans="1:15" ht="20.100000000000001" customHeight="1">
      <c r="A171" s="1"/>
      <c r="B171" s="1"/>
      <c r="C171" s="161" t="s">
        <v>406</v>
      </c>
      <c r="D171" s="115"/>
      <c r="E171" s="116"/>
      <c r="F171" s="115"/>
      <c r="G171" s="115"/>
      <c r="H171" s="115" t="s">
        <v>152</v>
      </c>
      <c r="I171" s="115"/>
      <c r="J171" s="115"/>
      <c r="K171" s="115"/>
      <c r="L171" s="1"/>
      <c r="M171" s="1"/>
      <c r="N171" s="1"/>
      <c r="O171" s="297"/>
    </row>
    <row r="172" spans="1:15" ht="20.100000000000001" customHeight="1">
      <c r="A172" s="1"/>
      <c r="B172" s="1"/>
      <c r="C172" s="160" t="s">
        <v>407</v>
      </c>
      <c r="D172" s="19"/>
      <c r="E172" s="19"/>
      <c r="F172" s="19"/>
      <c r="G172" s="19"/>
      <c r="H172" s="19" t="s">
        <v>153</v>
      </c>
      <c r="I172" s="19"/>
      <c r="J172" s="19"/>
      <c r="K172" s="19"/>
      <c r="L172" s="1"/>
      <c r="M172" s="1"/>
      <c r="N172" s="1"/>
      <c r="O172" s="297"/>
    </row>
    <row r="173" spans="1:15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97"/>
    </row>
    <row r="174" spans="1:15" ht="15" customHeight="1">
      <c r="A174" s="1"/>
      <c r="B174" s="108" t="s">
        <v>65</v>
      </c>
      <c r="C174" s="19" t="s">
        <v>356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60"/>
      <c r="N174" s="19"/>
      <c r="O174" s="297"/>
    </row>
    <row r="175" spans="1:15" ht="15" customHeight="1">
      <c r="A175" s="1"/>
      <c r="B175" s="1"/>
      <c r="C175" s="43" t="s">
        <v>30</v>
      </c>
      <c r="D175" s="43"/>
      <c r="E175" s="44"/>
      <c r="F175" s="44"/>
      <c r="G175" s="43" t="s">
        <v>154</v>
      </c>
      <c r="H175" s="44"/>
      <c r="I175" s="44"/>
      <c r="J175" s="44"/>
      <c r="K175" s="43" t="s">
        <v>155</v>
      </c>
      <c r="L175" s="44"/>
      <c r="M175" s="44"/>
      <c r="N175" s="44"/>
      <c r="O175" s="309"/>
    </row>
    <row r="176" spans="1:15" ht="15" customHeight="1">
      <c r="A176" s="1"/>
      <c r="B176" s="1"/>
      <c r="C176" s="111" t="s">
        <v>156</v>
      </c>
      <c r="D176" s="111"/>
      <c r="E176" s="111"/>
      <c r="F176" s="111"/>
      <c r="G176" s="117">
        <v>4</v>
      </c>
      <c r="H176" s="111"/>
      <c r="I176" s="111"/>
      <c r="J176" s="111"/>
      <c r="K176" s="118">
        <v>5.34</v>
      </c>
      <c r="L176" s="111"/>
      <c r="M176" s="111"/>
      <c r="N176" s="111"/>
      <c r="O176" s="309"/>
    </row>
    <row r="177" spans="1:15" ht="15" customHeight="1">
      <c r="A177" s="1"/>
      <c r="B177" s="1"/>
      <c r="C177" s="1"/>
      <c r="D177" s="1"/>
      <c r="E177" s="1" t="s">
        <v>157</v>
      </c>
      <c r="F177" s="1"/>
      <c r="G177" s="1" t="s">
        <v>158</v>
      </c>
      <c r="H177" s="1"/>
      <c r="I177" s="1"/>
      <c r="J177" s="1"/>
      <c r="K177" s="1"/>
      <c r="L177" s="1"/>
      <c r="M177" s="1"/>
      <c r="N177" s="1"/>
      <c r="O177" s="309"/>
    </row>
    <row r="178" spans="1:15" ht="15" customHeight="1">
      <c r="A178" s="1"/>
      <c r="B178" s="1"/>
      <c r="C178" s="1" t="s">
        <v>159</v>
      </c>
      <c r="D178" s="1"/>
      <c r="E178" s="1"/>
      <c r="F178" s="1"/>
      <c r="G178" s="1"/>
      <c r="H178" s="1"/>
      <c r="I178" s="1"/>
      <c r="J178" s="1"/>
      <c r="K178" s="19" t="s">
        <v>180</v>
      </c>
      <c r="L178" s="19"/>
      <c r="M178" s="19"/>
      <c r="N178" s="506" t="s">
        <v>182</v>
      </c>
      <c r="O178" s="309"/>
    </row>
    <row r="179" spans="1:15" ht="15" customHeight="1">
      <c r="A179" s="1"/>
      <c r="B179" s="8"/>
      <c r="C179" s="1"/>
      <c r="D179" s="1"/>
      <c r="E179" s="1" t="s">
        <v>160</v>
      </c>
      <c r="F179" s="1"/>
      <c r="G179" s="1" t="s">
        <v>161</v>
      </c>
      <c r="H179" s="1"/>
      <c r="I179" s="1"/>
      <c r="J179" s="1"/>
      <c r="K179" s="124" t="s">
        <v>181</v>
      </c>
      <c r="L179" s="124"/>
      <c r="M179" s="124"/>
      <c r="N179" s="507"/>
      <c r="O179" s="309"/>
    </row>
    <row r="180" spans="1:15" ht="15" customHeight="1">
      <c r="A180" s="1"/>
      <c r="B180" s="1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309"/>
    </row>
    <row r="181" spans="1:15" ht="15" customHeight="1">
      <c r="A181" s="1"/>
      <c r="B181" s="1"/>
      <c r="C181" s="1" t="s">
        <v>183</v>
      </c>
      <c r="D181" s="27" t="s">
        <v>185</v>
      </c>
      <c r="E181" s="1" t="s">
        <v>184</v>
      </c>
      <c r="F181" s="1"/>
      <c r="G181" s="35"/>
      <c r="H181" s="1"/>
      <c r="I181" s="1"/>
      <c r="J181" s="1"/>
      <c r="K181" s="1"/>
      <c r="L181" s="2"/>
      <c r="M181" s="1"/>
      <c r="N181" s="1"/>
      <c r="O181" s="297"/>
    </row>
    <row r="182" spans="1:15" ht="15" customHeight="1">
      <c r="A182" s="1"/>
      <c r="B182" s="1"/>
      <c r="C182" s="58" t="s">
        <v>408</v>
      </c>
      <c r="D182" s="27" t="s">
        <v>185</v>
      </c>
      <c r="E182" s="58" t="s">
        <v>186</v>
      </c>
      <c r="F182" s="1"/>
      <c r="G182" s="35"/>
      <c r="H182" s="1"/>
      <c r="I182" s="1"/>
      <c r="J182" s="1"/>
      <c r="K182" s="1"/>
      <c r="L182" s="2"/>
      <c r="M182" s="1"/>
      <c r="N182" s="1"/>
      <c r="O182" s="297"/>
    </row>
    <row r="183" spans="1:15" ht="15" customHeight="1">
      <c r="A183" s="1"/>
      <c r="B183" s="58"/>
      <c r="C183" s="1"/>
      <c r="D183" s="1"/>
      <c r="E183" s="1"/>
      <c r="F183" s="1"/>
      <c r="G183" s="35"/>
      <c r="H183" s="1"/>
      <c r="I183" s="1"/>
      <c r="J183" s="1"/>
      <c r="K183" s="1"/>
      <c r="L183" s="2"/>
      <c r="M183" s="1"/>
      <c r="N183" s="1"/>
      <c r="O183" s="297"/>
    </row>
    <row r="184" spans="1:15" ht="15" customHeight="1" thickBot="1">
      <c r="A184" s="56" t="s">
        <v>187</v>
      </c>
      <c r="B184" s="1"/>
      <c r="C184" s="1"/>
      <c r="D184" s="1"/>
      <c r="E184" s="1"/>
      <c r="F184" s="1"/>
      <c r="G184" s="107"/>
      <c r="H184" s="107"/>
      <c r="I184" s="107"/>
      <c r="J184" s="1"/>
      <c r="K184" s="1"/>
      <c r="L184" s="2"/>
      <c r="M184" s="1"/>
      <c r="N184" s="1"/>
      <c r="O184" s="308"/>
    </row>
    <row r="185" spans="1:15" ht="15" customHeight="1">
      <c r="A185" s="132" t="s">
        <v>188</v>
      </c>
      <c r="B185" s="489" t="s">
        <v>189</v>
      </c>
      <c r="C185" s="493"/>
      <c r="D185" s="493"/>
      <c r="E185" s="493"/>
      <c r="F185" s="490"/>
      <c r="G185" s="489" t="s">
        <v>190</v>
      </c>
      <c r="H185" s="493"/>
      <c r="I185" s="493"/>
      <c r="J185" s="490"/>
      <c r="K185" s="517" t="s">
        <v>205</v>
      </c>
      <c r="L185" s="75" t="s">
        <v>192</v>
      </c>
      <c r="M185" s="75" t="s">
        <v>193</v>
      </c>
      <c r="N185" s="71" t="s">
        <v>194</v>
      </c>
    </row>
    <row r="186" spans="1:15" ht="15" customHeight="1">
      <c r="A186" s="133"/>
      <c r="B186" s="134" t="s">
        <v>195</v>
      </c>
      <c r="C186" s="134" t="s">
        <v>196</v>
      </c>
      <c r="D186" s="134" t="s">
        <v>197</v>
      </c>
      <c r="E186" s="134" t="s">
        <v>198</v>
      </c>
      <c r="F186" s="134" t="s">
        <v>199</v>
      </c>
      <c r="G186" s="76" t="s">
        <v>200</v>
      </c>
      <c r="H186" s="76" t="s">
        <v>201</v>
      </c>
      <c r="I186" s="76" t="s">
        <v>202</v>
      </c>
      <c r="J186" s="76" t="s">
        <v>203</v>
      </c>
      <c r="K186" s="518"/>
      <c r="L186" s="76"/>
      <c r="M186" s="76"/>
      <c r="N186" s="74"/>
    </row>
    <row r="187" spans="1:15" ht="15" customHeight="1">
      <c r="A187" s="186" t="str">
        <f>A99</f>
        <v>1001i</v>
      </c>
      <c r="B187" s="187">
        <f>INPUT!AQ3</f>
        <v>1390.9238462846199</v>
      </c>
      <c r="C187" s="187">
        <f>INPUT!AR3</f>
        <v>1243.0761537153801</v>
      </c>
      <c r="D187" s="187">
        <f>INPUT!J3</f>
        <v>22</v>
      </c>
      <c r="E187" s="187">
        <f>INPUT!N3</f>
        <v>12</v>
      </c>
      <c r="F187" s="188">
        <f>MAX(B187-D187,C187-E187)</f>
        <v>1368.9238462846199</v>
      </c>
      <c r="G187" s="189">
        <f>INPUT!H3</f>
        <v>2</v>
      </c>
      <c r="H187" s="189">
        <f>INPUT!I3</f>
        <v>500</v>
      </c>
      <c r="I187" s="189">
        <f>INPUT!M3</f>
        <v>1940</v>
      </c>
      <c r="J187" s="171">
        <f>IF(B187-D187&gt;=C187-E187,G187*H187*D187,I187*E187)</f>
        <v>22000</v>
      </c>
      <c r="K187" s="191">
        <f>MIN(INPUT!AM3/MAX(ABS(B99),ABS(C99),INPUT!AK3),1)</f>
        <v>0.93421052631578949</v>
      </c>
      <c r="L187" s="192">
        <f>INPUT!L3</f>
        <v>12</v>
      </c>
      <c r="M187" s="191">
        <f>2*F187*L187/J187</f>
        <v>1.4933714686741308</v>
      </c>
      <c r="N187" s="193">
        <f>IF(INPUT!AM3&gt;=INPUT!AK3,1,(12+M187*(3*K187-K187^3))/(12+2*M187))</f>
        <v>0.99873449260718128</v>
      </c>
    </row>
    <row r="189" spans="1:15" ht="15" customHeight="1" thickBot="1">
      <c r="A189" s="56" t="s">
        <v>206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</row>
    <row r="190" spans="1:15" ht="15" customHeight="1">
      <c r="A190" s="69" t="s">
        <v>98</v>
      </c>
      <c r="B190" s="75" t="s">
        <v>207</v>
      </c>
      <c r="C190" s="70" t="s">
        <v>208</v>
      </c>
      <c r="D190" s="489" t="s">
        <v>209</v>
      </c>
      <c r="E190" s="493"/>
      <c r="F190" s="493"/>
      <c r="G190" s="490"/>
      <c r="H190" s="489" t="s">
        <v>210</v>
      </c>
      <c r="I190" s="493"/>
      <c r="J190" s="493"/>
      <c r="K190" s="493"/>
      <c r="L190" s="490"/>
      <c r="M190" s="71" t="s">
        <v>211</v>
      </c>
    </row>
    <row r="191" spans="1:15" ht="15" customHeight="1">
      <c r="A191" s="72"/>
      <c r="B191" s="76" t="s">
        <v>212</v>
      </c>
      <c r="C191" s="73"/>
      <c r="D191" s="73" t="s">
        <v>213</v>
      </c>
      <c r="E191" s="76" t="s">
        <v>214</v>
      </c>
      <c r="F191" s="76" t="s">
        <v>215</v>
      </c>
      <c r="G191" s="76" t="s">
        <v>216</v>
      </c>
      <c r="H191" s="76" t="s">
        <v>217</v>
      </c>
      <c r="I191" s="76" t="s">
        <v>218</v>
      </c>
      <c r="J191" s="76" t="s">
        <v>219</v>
      </c>
      <c r="K191" s="76" t="s">
        <v>220</v>
      </c>
      <c r="L191" s="76" t="s">
        <v>221</v>
      </c>
      <c r="M191" s="74" t="s">
        <v>222</v>
      </c>
    </row>
    <row r="192" spans="1:15" ht="15" customHeight="1">
      <c r="A192" s="180" t="str">
        <f>A187</f>
        <v>1001i</v>
      </c>
      <c r="B192" s="128" t="str">
        <f>D99</f>
        <v>Negative</v>
      </c>
      <c r="C192" s="194" t="str">
        <f>IF(B192="Positive",IF(G187=2,"OF","BF"),"BF")</f>
        <v>BF</v>
      </c>
      <c r="D192" s="177">
        <f>H187/2/D187</f>
        <v>11.363636363636363</v>
      </c>
      <c r="E192" s="191">
        <f>0.38*SQRT(INPUT!$B$2/INPUT!AK3)</f>
        <v>8.9330845736509179</v>
      </c>
      <c r="F192" s="191">
        <f>0.56*SQRT(INPUT!$B$2/MAX(MIN(0.7*INPUT!AK3,INPUT!AM3),0.5*INPUT!AK3))</f>
        <v>15.73464163457246</v>
      </c>
      <c r="G192" s="188">
        <f>IF(D192&lt;=E192,1*N187*INPUT!AK3,(1-(1-MAX(MIN(0.7*INPUT!AK3,INPUT!AM3),0.5*INPUT!AK3)/N187/INPUT!AK3)*((D192-E192)/(F192-E192)))*1*N187*INPUT!AK3)</f>
        <v>338.95279763710562</v>
      </c>
      <c r="H192" s="187">
        <f>B94</f>
        <v>5000</v>
      </c>
      <c r="I192" s="195">
        <f>J99</f>
        <v>3393.1044626914809</v>
      </c>
      <c r="J192" s="190">
        <f>+PI()*F99*SQRT(INPUT!$B$2/MAX(MIN(0.7*INPUT!AK3,INPUT!AM3),0.5*INPUT!AK3))</f>
        <v>12740.840621982492</v>
      </c>
      <c r="K192" s="190">
        <f>1*1*(PI()^2)*INPUT!$B$2/(H192/F99)^2</f>
        <v>1727.180770190638</v>
      </c>
      <c r="L192" s="191">
        <f>IF(H192&lt;=I192,1*N187*INPUT!AK3,IF(H192&lt;=J192,MIN(1*(1-(1-MAX(MIN(0.7*INPUT!AK3,INPUT!AM3),0.5*INPUT!AK3)/N187/INPUT!AK3)*((H192-I192)/(J192-I192)))*1*N187*INPUT!AK3,1*N187*INPUT!AK3),MIN(K192,1*N187*INPUT!AK3)))</f>
        <v>360.0049335303263</v>
      </c>
      <c r="M192" s="193" t="str">
        <f>IF(C192="BF","BF",MIN(G192,L192))</f>
        <v>BF</v>
      </c>
    </row>
    <row r="194" spans="1:13" ht="15" customHeight="1" thickBot="1">
      <c r="A194" s="56" t="s">
        <v>223</v>
      </c>
      <c r="B194" s="1"/>
      <c r="C194" s="1"/>
      <c r="D194" s="1"/>
      <c r="E194" s="1"/>
      <c r="F194" s="1"/>
      <c r="G194" s="107"/>
      <c r="H194" s="107"/>
      <c r="I194" s="107"/>
      <c r="J194" s="1"/>
      <c r="K194" s="1"/>
      <c r="L194" s="2"/>
      <c r="M194" s="1"/>
    </row>
    <row r="195" spans="1:13" ht="15" customHeight="1">
      <c r="A195" s="132" t="s">
        <v>98</v>
      </c>
      <c r="B195" s="489" t="s">
        <v>224</v>
      </c>
      <c r="C195" s="493"/>
      <c r="D195" s="493"/>
      <c r="E195" s="493"/>
      <c r="F195" s="493"/>
      <c r="G195" s="493"/>
      <c r="H195" s="490"/>
      <c r="I195" s="489" t="s">
        <v>225</v>
      </c>
      <c r="J195" s="493"/>
      <c r="K195" s="490"/>
      <c r="L195" s="75" t="s">
        <v>226</v>
      </c>
      <c r="M195" s="71" t="s">
        <v>227</v>
      </c>
    </row>
    <row r="196" spans="1:13" ht="15" customHeight="1">
      <c r="A196" s="133"/>
      <c r="B196" s="76" t="s">
        <v>197</v>
      </c>
      <c r="C196" s="76" t="s">
        <v>202</v>
      </c>
      <c r="D196" s="76" t="s">
        <v>198</v>
      </c>
      <c r="E196" s="73" t="s">
        <v>228</v>
      </c>
      <c r="F196" s="76" t="s">
        <v>149</v>
      </c>
      <c r="G196" s="73" t="s">
        <v>229</v>
      </c>
      <c r="H196" s="76" t="s">
        <v>230</v>
      </c>
      <c r="I196" s="134" t="s">
        <v>231</v>
      </c>
      <c r="J196" s="134" t="s">
        <v>232</v>
      </c>
      <c r="K196" s="134" t="s">
        <v>233</v>
      </c>
      <c r="L196" s="76"/>
      <c r="M196" s="74"/>
    </row>
    <row r="197" spans="1:13" ht="15" customHeight="1">
      <c r="A197" s="186" t="str">
        <f>A192</f>
        <v>1001i</v>
      </c>
      <c r="B197" s="188">
        <f>D187</f>
        <v>22</v>
      </c>
      <c r="C197" s="196">
        <f>I187</f>
        <v>1940</v>
      </c>
      <c r="D197" s="188">
        <f>E187</f>
        <v>12</v>
      </c>
      <c r="E197" s="187">
        <f>INPUT!O3</f>
        <v>120</v>
      </c>
      <c r="F197" s="187">
        <f>INPUT!T3</f>
        <v>2350</v>
      </c>
      <c r="G197" s="187">
        <f>INPUT!K3</f>
        <v>2600</v>
      </c>
      <c r="H197" s="173">
        <f>+(F197+C197-2*E197)*(G197+B197/2+D197/2)/2</f>
        <v>5299425</v>
      </c>
      <c r="I197" s="197">
        <f>INPUT!AT3</f>
        <v>0</v>
      </c>
      <c r="J197" s="197">
        <f>INPUT!AU3</f>
        <v>0</v>
      </c>
      <c r="K197" s="197">
        <f>INPUT!AV3</f>
        <v>0</v>
      </c>
      <c r="L197" s="171">
        <f>1.25*(I197+J197+K197)/2/H197/IF(B192="Positive",B197,D197)*10^6</f>
        <v>0</v>
      </c>
      <c r="M197" s="193">
        <f>SQRT(1-(L197/INPUT!AK3)^2)</f>
        <v>1</v>
      </c>
    </row>
    <row r="199" spans="1:13" ht="15" customHeight="1" thickBot="1">
      <c r="A199" s="56" t="s">
        <v>234</v>
      </c>
      <c r="B199" s="129"/>
      <c r="C199" s="130"/>
      <c r="D199" s="131"/>
      <c r="E199" s="129"/>
      <c r="F199" s="129"/>
      <c r="G199" s="106"/>
      <c r="H199" s="129"/>
      <c r="I199" s="129"/>
      <c r="J199" s="130"/>
      <c r="K199" s="130"/>
      <c r="L199" s="130"/>
      <c r="M199" s="130"/>
    </row>
    <row r="200" spans="1:13" ht="15" customHeight="1">
      <c r="A200" s="69" t="s">
        <v>98</v>
      </c>
      <c r="B200" s="75" t="s">
        <v>207</v>
      </c>
      <c r="C200" s="519" t="s">
        <v>235</v>
      </c>
      <c r="D200" s="520"/>
      <c r="E200" s="520"/>
      <c r="F200" s="520"/>
      <c r="G200" s="521"/>
      <c r="H200" s="75" t="s">
        <v>149</v>
      </c>
      <c r="I200" s="75" t="s">
        <v>236</v>
      </c>
      <c r="J200" s="75" t="s">
        <v>237</v>
      </c>
      <c r="K200" s="75" t="s">
        <v>238</v>
      </c>
      <c r="L200" s="70" t="s">
        <v>154</v>
      </c>
      <c r="M200" s="71" t="s">
        <v>239</v>
      </c>
    </row>
    <row r="201" spans="1:13" ht="15" customHeight="1">
      <c r="A201" s="72"/>
      <c r="B201" s="76" t="s">
        <v>212</v>
      </c>
      <c r="C201" s="73" t="s">
        <v>240</v>
      </c>
      <c r="D201" s="73" t="s">
        <v>241</v>
      </c>
      <c r="E201" s="73" t="s">
        <v>242</v>
      </c>
      <c r="F201" s="73" t="s">
        <v>243</v>
      </c>
      <c r="G201" s="73" t="s">
        <v>244</v>
      </c>
      <c r="H201" s="73"/>
      <c r="I201" s="73"/>
      <c r="J201" s="73"/>
      <c r="K201" s="73"/>
      <c r="L201" s="73"/>
      <c r="M201" s="74"/>
    </row>
    <row r="202" spans="1:13" ht="15" customHeight="1">
      <c r="A202" s="180" t="str">
        <f>A197</f>
        <v>1001i</v>
      </c>
      <c r="B202" s="128" t="str">
        <f>B192</f>
        <v>Negative</v>
      </c>
      <c r="C202" s="178">
        <f>INPUT!AE3</f>
        <v>160</v>
      </c>
      <c r="D202" s="178">
        <f>INPUT!AD3</f>
        <v>16</v>
      </c>
      <c r="E202" s="178">
        <f>INPUT!AH3</f>
        <v>0</v>
      </c>
      <c r="F202" s="178">
        <f>INPUT!AG3</f>
        <v>0</v>
      </c>
      <c r="G202" s="172">
        <f>IF(B202="Positive",1/3*F202*E202^3,1/3*D202*C202^3)</f>
        <v>21845333.333333332</v>
      </c>
      <c r="H202" s="198">
        <f>IF(B202="Positive",IF(E202=0,0,(F197-K202*F202)/(K202+1)),IF(C202=0,0,(C197-2*E197-K202*D202)/(K202+1)))</f>
        <v>556</v>
      </c>
      <c r="I202" s="198">
        <f>IF(B202="Positive",D187,E187)</f>
        <v>12</v>
      </c>
      <c r="J202" s="198">
        <f>IF(B202="Positive",H187,I187)</f>
        <v>1940</v>
      </c>
      <c r="K202" s="178">
        <f>IF(B202="Positive",INPUT!AF3,INPUT!AC3)</f>
        <v>2</v>
      </c>
      <c r="L202" s="128">
        <f>IF(H202=0,4,MIN(MAX((IF(K202=1,8,0.894)*G202/H202/I202^3)^(1/3),1),4))</f>
        <v>2.7291404622167161</v>
      </c>
      <c r="M202" s="193">
        <f>IF(H202=0,5.34,MIN((5.34+2.84*(G202/H202/I202^3)^(1/3))/((K202+1)^2),5.34))</f>
        <v>1.4873025121999799</v>
      </c>
    </row>
    <row r="204" spans="1:13" ht="15" customHeight="1" thickBot="1">
      <c r="A204" s="56" t="s">
        <v>245</v>
      </c>
      <c r="B204" s="130"/>
      <c r="C204" s="129"/>
      <c r="D204" s="106"/>
      <c r="E204" s="129"/>
      <c r="F204" s="130"/>
      <c r="G204" s="130"/>
      <c r="H204" s="131"/>
      <c r="I204" s="129"/>
      <c r="J204" s="1"/>
      <c r="K204" s="1"/>
    </row>
    <row r="205" spans="1:13" ht="15" customHeight="1">
      <c r="A205" s="69" t="s">
        <v>98</v>
      </c>
      <c r="B205" s="75" t="s">
        <v>207</v>
      </c>
      <c r="C205" s="70" t="s">
        <v>208</v>
      </c>
      <c r="D205" s="489" t="s">
        <v>246</v>
      </c>
      <c r="E205" s="493"/>
      <c r="F205" s="493"/>
      <c r="G205" s="490"/>
      <c r="H205" s="70" t="s">
        <v>247</v>
      </c>
      <c r="I205" s="70" t="s">
        <v>248</v>
      </c>
      <c r="J205" s="71" t="s">
        <v>211</v>
      </c>
    </row>
    <row r="206" spans="1:13" ht="15" customHeight="1">
      <c r="A206" s="72"/>
      <c r="B206" s="76" t="s">
        <v>212</v>
      </c>
      <c r="C206" s="73"/>
      <c r="D206" s="73" t="s">
        <v>213</v>
      </c>
      <c r="E206" s="73" t="s">
        <v>249</v>
      </c>
      <c r="F206" s="73" t="s">
        <v>250</v>
      </c>
      <c r="G206" s="73" t="s">
        <v>251</v>
      </c>
      <c r="H206" s="73"/>
      <c r="I206" s="73"/>
      <c r="J206" s="74" t="s">
        <v>252</v>
      </c>
    </row>
    <row r="207" spans="1:13" ht="15" customHeight="1">
      <c r="A207" s="180" t="str">
        <f>A202</f>
        <v>1001i</v>
      </c>
      <c r="B207" s="128" t="str">
        <f>B202</f>
        <v>Negative</v>
      </c>
      <c r="C207" s="194" t="str">
        <f>C192</f>
        <v>BF</v>
      </c>
      <c r="D207" s="128">
        <f>IF(K202=0,J202,H202)/I202</f>
        <v>46.333333333333336</v>
      </c>
      <c r="E207" s="128">
        <f>0.95*SQRT(INPUT!$B$2*L202/(M197-0.3)/INPUT!AK3)</f>
        <v>44.096627754618716</v>
      </c>
      <c r="F207" s="128">
        <f>0.57*SQRT(INPUT!$B$2*L202/INPUT!AK3/M197)</f>
        <v>22.13633144834553</v>
      </c>
      <c r="G207" s="128">
        <f>IF(D207&lt;=F207,1*N187*INPUT!AK3*M197,IF(D207&lt;=E207,1*N187*INPUT!AK3*(M197-(M197-(M197-0.3)/N187)*((D207-F207)/(E207-F207))),0.9*INPUT!$B$2*1*L202/D207/D207))</f>
        <v>240.2705825904784</v>
      </c>
      <c r="H207" s="128">
        <f>IF(D207&lt;=1.12*SQRT(INPUT!$B$2*M202/INPUT!AK3),0.58*INPUT!AK3,IF(D207&lt;=1.4*SQRT(INPUT!$B$2*M202/INPUT!AK3),0.65*SQRT(INPUT!AK3*INPUT!$B$2*M202)/D207,0.9*INPUT!$B$2*M202/D207/D207))</f>
        <v>130.94050894116066</v>
      </c>
      <c r="I207" s="128">
        <f>L197</f>
        <v>0</v>
      </c>
      <c r="J207" s="479">
        <f>IF(C207="OF","OF",G207*SQRT(1-(I207/H207)^2))</f>
        <v>240.2705825904784</v>
      </c>
    </row>
    <row r="209" spans="1:15" ht="15" customHeight="1" thickBot="1">
      <c r="A209" s="56" t="s">
        <v>1091</v>
      </c>
      <c r="B209" s="130"/>
      <c r="C209" s="129"/>
      <c r="D209" s="106"/>
      <c r="E209" s="129"/>
      <c r="F209" s="130"/>
      <c r="G209" s="130"/>
      <c r="H209" s="131"/>
      <c r="I209" s="129"/>
      <c r="J209" s="1"/>
      <c r="K209" s="1"/>
    </row>
    <row r="210" spans="1:15" ht="15" customHeight="1">
      <c r="A210" s="69" t="s">
        <v>98</v>
      </c>
      <c r="B210" s="70" t="s">
        <v>207</v>
      </c>
      <c r="C210" s="522" t="s">
        <v>1094</v>
      </c>
      <c r="D210" s="522"/>
      <c r="E210" s="522"/>
      <c r="F210" s="522"/>
      <c r="G210" s="522"/>
      <c r="H210" s="522" t="s">
        <v>1095</v>
      </c>
      <c r="I210" s="522"/>
      <c r="J210" s="522"/>
      <c r="K210" s="522"/>
      <c r="L210" s="523"/>
    </row>
    <row r="211" spans="1:15" ht="15" customHeight="1">
      <c r="A211" s="72"/>
      <c r="B211" s="73" t="s">
        <v>212</v>
      </c>
      <c r="C211" s="73" t="s">
        <v>208</v>
      </c>
      <c r="D211" s="73" t="s">
        <v>352</v>
      </c>
      <c r="E211" s="73" t="s">
        <v>1092</v>
      </c>
      <c r="F211" s="73" t="s">
        <v>1093</v>
      </c>
      <c r="G211" s="73" t="s">
        <v>867</v>
      </c>
      <c r="H211" s="73" t="s">
        <v>208</v>
      </c>
      <c r="I211" s="73" t="s">
        <v>1096</v>
      </c>
      <c r="J211" s="73" t="s">
        <v>1097</v>
      </c>
      <c r="K211" s="73" t="s">
        <v>800</v>
      </c>
      <c r="L211" s="74" t="s">
        <v>1098</v>
      </c>
    </row>
    <row r="212" spans="1:15" ht="15" customHeight="1">
      <c r="A212" s="180" t="str">
        <f>A207</f>
        <v>1001i</v>
      </c>
      <c r="B212" s="128" t="str">
        <f>B207</f>
        <v>Negative</v>
      </c>
      <c r="C212" s="194" t="str">
        <f>C192</f>
        <v>BF</v>
      </c>
      <c r="D212" s="128">
        <f>IF(B212="Positive",INPUT!AK3,INPUT!AL3)</f>
        <v>380</v>
      </c>
      <c r="E212" s="128" t="str">
        <f>M192</f>
        <v>BF</v>
      </c>
      <c r="F212" s="128">
        <f>J207</f>
        <v>240.2705825904784</v>
      </c>
      <c r="G212" s="128">
        <f>IF(C212="OF",M192,J207)</f>
        <v>240.2705825904784</v>
      </c>
      <c r="H212" s="194" t="str">
        <f>IF(B212="Positive","BF",IF(G187=2,"OF","BF"))</f>
        <v>OF</v>
      </c>
      <c r="I212" s="128">
        <f>IF(B212="Positive",INPUT!AL3,INPUT!AK3)</f>
        <v>380</v>
      </c>
      <c r="J212" s="128">
        <f>+I212*N187</f>
        <v>379.5191071907289</v>
      </c>
      <c r="K212" s="194">
        <f>J212*M197</f>
        <v>379.5191071907289</v>
      </c>
      <c r="L212" s="193">
        <f>IF(H212="BF",K212,J212)</f>
        <v>379.5191071907289</v>
      </c>
    </row>
    <row r="215" spans="1:15" ht="15" customHeight="1" thickBot="1">
      <c r="A215" s="2"/>
      <c r="B215" s="37" t="s">
        <v>253</v>
      </c>
      <c r="C215" s="1"/>
      <c r="D215" s="1"/>
      <c r="E215" s="1"/>
      <c r="F215" s="130"/>
      <c r="G215" s="130"/>
      <c r="H215" s="130"/>
      <c r="I215" s="135"/>
      <c r="J215" s="135"/>
      <c r="K215" s="2"/>
      <c r="L215" s="2"/>
      <c r="M215" s="130"/>
      <c r="N215" s="130"/>
      <c r="O215" s="392"/>
    </row>
    <row r="216" spans="1:15" ht="20.100000000000001" customHeight="1">
      <c r="A216" s="2"/>
      <c r="B216" s="99"/>
      <c r="C216" s="96"/>
      <c r="D216" s="96"/>
      <c r="E216" s="136"/>
      <c r="F216" s="96" t="s">
        <v>254</v>
      </c>
      <c r="G216" s="96"/>
      <c r="H216" s="96"/>
      <c r="I216" s="96"/>
      <c r="J216" s="96" t="s">
        <v>255</v>
      </c>
      <c r="K216" s="96"/>
      <c r="L216" s="97"/>
      <c r="M216" s="130"/>
      <c r="N216" s="130"/>
      <c r="O216" s="392"/>
    </row>
    <row r="217" spans="1:15" ht="20.100000000000001" customHeight="1">
      <c r="A217" s="37"/>
      <c r="B217" s="494" t="s">
        <v>256</v>
      </c>
      <c r="C217" s="488"/>
      <c r="D217" s="488"/>
      <c r="E217" s="137"/>
      <c r="F217" s="138" t="s">
        <v>257</v>
      </c>
      <c r="G217" s="139"/>
      <c r="H217" s="139"/>
      <c r="I217" s="139"/>
      <c r="J217" s="138" t="s">
        <v>258</v>
      </c>
      <c r="K217" s="139"/>
      <c r="L217" s="140"/>
      <c r="M217" s="1"/>
      <c r="N217" s="1"/>
      <c r="O217" s="297"/>
    </row>
    <row r="218" spans="1:15" ht="20.100000000000001" customHeight="1">
      <c r="A218" s="37"/>
      <c r="B218" s="495"/>
      <c r="C218" s="496"/>
      <c r="D218" s="496"/>
      <c r="E218" s="141"/>
      <c r="F218" s="91" t="s">
        <v>259</v>
      </c>
      <c r="G218" s="91"/>
      <c r="H218" s="91"/>
      <c r="I218" s="91"/>
      <c r="J218" s="46"/>
      <c r="K218" s="46"/>
      <c r="L218" s="142"/>
      <c r="M218" s="1"/>
      <c r="N218" s="1"/>
      <c r="O218" s="297"/>
    </row>
    <row r="219" spans="1:15" ht="20.100000000000001" customHeight="1" thickBot="1">
      <c r="A219" s="37"/>
      <c r="B219" s="497" t="s">
        <v>260</v>
      </c>
      <c r="C219" s="498"/>
      <c r="D219" s="498"/>
      <c r="E219" s="143"/>
      <c r="F219" s="81" t="s">
        <v>261</v>
      </c>
      <c r="G219" s="144"/>
      <c r="H219" s="144"/>
      <c r="I219" s="32"/>
      <c r="J219" s="81" t="s">
        <v>262</v>
      </c>
      <c r="K219" s="81"/>
      <c r="L219" s="145"/>
      <c r="M219" s="1"/>
      <c r="N219" s="1"/>
      <c r="O219" s="297"/>
    </row>
    <row r="220" spans="1:15" ht="15" customHeight="1">
      <c r="A220" s="3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297"/>
    </row>
    <row r="221" spans="1:15" ht="15" customHeight="1">
      <c r="A221" s="2"/>
      <c r="B221" s="146" t="s">
        <v>263</v>
      </c>
      <c r="C221" s="1"/>
      <c r="D221" s="1"/>
      <c r="E221" s="1"/>
      <c r="F221" s="130"/>
      <c r="G221" s="130"/>
      <c r="H221" s="130"/>
      <c r="I221" s="135"/>
      <c r="J221" s="135"/>
      <c r="K221" s="2"/>
      <c r="L221" s="2"/>
      <c r="M221" s="130"/>
      <c r="N221" s="130"/>
      <c r="O221" s="392"/>
    </row>
    <row r="222" spans="1:15" ht="15" customHeight="1">
      <c r="A222" s="2"/>
      <c r="B222" s="27" t="s">
        <v>264</v>
      </c>
      <c r="C222" s="1"/>
      <c r="D222" s="1"/>
      <c r="E222" s="1"/>
      <c r="F222" s="130"/>
      <c r="G222" s="130"/>
      <c r="H222" s="130"/>
      <c r="I222" s="135"/>
      <c r="J222" s="135"/>
      <c r="K222" s="2"/>
      <c r="L222" s="2"/>
      <c r="M222" s="130"/>
      <c r="N222" s="130"/>
      <c r="O222" s="392"/>
    </row>
    <row r="223" spans="1:15" ht="15" customHeight="1">
      <c r="A223" s="2"/>
      <c r="B223" s="37"/>
      <c r="C223" s="1"/>
      <c r="D223" s="1"/>
      <c r="E223" s="1"/>
      <c r="F223" s="130"/>
      <c r="G223" s="130"/>
      <c r="H223" s="130"/>
      <c r="I223" s="135"/>
      <c r="J223" s="135"/>
      <c r="K223" s="2"/>
      <c r="L223" s="2"/>
      <c r="M223" s="130"/>
      <c r="N223" s="130"/>
      <c r="O223" s="392"/>
    </row>
    <row r="224" spans="1:15" ht="15" customHeight="1" thickBot="1">
      <c r="A224" s="56" t="s">
        <v>1099</v>
      </c>
      <c r="B224" s="460"/>
      <c r="C224" s="460"/>
      <c r="D224" s="460"/>
      <c r="E224" s="130"/>
      <c r="F224" s="130"/>
      <c r="G224" s="130"/>
      <c r="H224" s="130"/>
      <c r="I224" s="135"/>
      <c r="J224" s="135"/>
      <c r="K224" s="460"/>
      <c r="L224" s="460"/>
      <c r="M224" s="130"/>
      <c r="N224" s="130"/>
    </row>
    <row r="225" spans="1:16" ht="15" customHeight="1">
      <c r="A225" s="69" t="s">
        <v>98</v>
      </c>
      <c r="B225" s="70" t="s">
        <v>1086</v>
      </c>
      <c r="C225" s="516" t="s">
        <v>1084</v>
      </c>
      <c r="D225" s="516"/>
      <c r="E225" s="516"/>
      <c r="F225" s="516"/>
      <c r="G225" s="516"/>
      <c r="H225" s="516" t="s">
        <v>1090</v>
      </c>
      <c r="I225" s="516"/>
      <c r="J225" s="516"/>
      <c r="K225" s="516"/>
      <c r="L225" s="513" t="s">
        <v>1101</v>
      </c>
      <c r="M225" s="514"/>
      <c r="N225" s="515"/>
    </row>
    <row r="226" spans="1:16" ht="15" customHeight="1">
      <c r="A226" s="72"/>
      <c r="B226" s="147"/>
      <c r="C226" s="73" t="s">
        <v>1087</v>
      </c>
      <c r="D226" s="462" t="s">
        <v>1081</v>
      </c>
      <c r="E226" s="478" t="s">
        <v>1082</v>
      </c>
      <c r="F226" s="147" t="s">
        <v>1083</v>
      </c>
      <c r="G226" s="147" t="s">
        <v>1085</v>
      </c>
      <c r="H226" s="462" t="s">
        <v>1088</v>
      </c>
      <c r="I226" s="478" t="s">
        <v>1089</v>
      </c>
      <c r="J226" s="147" t="s">
        <v>1085</v>
      </c>
      <c r="K226" s="147" t="s">
        <v>268</v>
      </c>
      <c r="L226" s="462" t="s">
        <v>1081</v>
      </c>
      <c r="M226" s="478" t="s">
        <v>1100</v>
      </c>
      <c r="N226" s="148" t="s">
        <v>1085</v>
      </c>
    </row>
    <row r="227" spans="1:16" ht="15" customHeight="1">
      <c r="A227" s="180" t="str">
        <f>A207</f>
        <v>1001i</v>
      </c>
      <c r="B227" s="177">
        <f>+INPUT!AO3</f>
        <v>4.3452189183266598E-4</v>
      </c>
      <c r="C227" s="128">
        <f>+ABS(K99)</f>
        <v>18.526014168395822</v>
      </c>
      <c r="D227" s="194" t="str">
        <f>IF(B227&gt;=0,"-",-B227+C227)</f>
        <v>-</v>
      </c>
      <c r="E227" s="199">
        <f>D212*N187</f>
        <v>379.5191071907289</v>
      </c>
      <c r="F227" s="194">
        <f>INPUT!AW3</f>
        <v>0</v>
      </c>
      <c r="G227" s="200" t="str">
        <f>IF(OR(AND(F227="S",C227=0),D227="-"),"-",IF(D227&lt;=E227,"OK","NG"))</f>
        <v>-</v>
      </c>
      <c r="H227" s="128" t="str">
        <f>IF(B227&gt;=0,"-",-B227+C227/3)</f>
        <v>-</v>
      </c>
      <c r="I227" s="199">
        <f>+G212</f>
        <v>240.2705825904784</v>
      </c>
      <c r="J227" s="200" t="str">
        <f>IF(H227="-","-",IF(H227&lt;=I227,"OK","NG"))</f>
        <v>-</v>
      </c>
      <c r="K227" s="200" t="str">
        <f>IF(H227="-","-",I227/H227)</f>
        <v>-</v>
      </c>
      <c r="L227" s="128">
        <f>IF(B227&gt;=0,B227+C227,"-")</f>
        <v>18.526448690287655</v>
      </c>
      <c r="M227" s="128">
        <f>+L212</f>
        <v>379.5191071907289</v>
      </c>
      <c r="N227" s="480" t="str">
        <f>IF(L227="-","-",IF(L227&lt;=M227,"OK","NG"))</f>
        <v>OK</v>
      </c>
    </row>
    <row r="228" spans="1:16" ht="15" customHeight="1">
      <c r="A228" s="409"/>
      <c r="B228" s="293"/>
      <c r="C228" s="293"/>
      <c r="D228" s="476"/>
      <c r="E228" s="293"/>
      <c r="F228" s="476"/>
      <c r="G228" s="293"/>
      <c r="H228" s="477"/>
      <c r="I228" s="474"/>
      <c r="J228" s="475"/>
      <c r="K228" s="293"/>
      <c r="L228" s="293"/>
      <c r="M228" s="474"/>
      <c r="N228" s="474"/>
    </row>
    <row r="229" spans="1:16" ht="15" customHeight="1" thickBot="1">
      <c r="A229" s="56" t="s">
        <v>1102</v>
      </c>
      <c r="B229" s="460"/>
      <c r="C229" s="460"/>
      <c r="D229" s="460"/>
      <c r="E229" s="130"/>
      <c r="F229" s="130"/>
      <c r="G229" s="130"/>
      <c r="H229" s="130"/>
      <c r="I229" s="135"/>
      <c r="J229" s="135"/>
      <c r="K229" s="460"/>
      <c r="L229" s="460"/>
      <c r="M229" s="130"/>
      <c r="N229" s="130"/>
    </row>
    <row r="230" spans="1:16" ht="15" customHeight="1">
      <c r="A230" s="69" t="s">
        <v>98</v>
      </c>
      <c r="B230" s="70" t="s">
        <v>1086</v>
      </c>
      <c r="C230" s="516" t="s">
        <v>1103</v>
      </c>
      <c r="D230" s="516"/>
      <c r="E230" s="516"/>
      <c r="F230" s="516"/>
      <c r="G230" s="513" t="s">
        <v>437</v>
      </c>
      <c r="H230" s="514"/>
      <c r="I230" s="514"/>
      <c r="J230" s="515"/>
      <c r="K230" s="368"/>
      <c r="N230"/>
      <c r="P230"/>
    </row>
    <row r="231" spans="1:16" ht="15" customHeight="1">
      <c r="A231" s="72"/>
      <c r="B231" s="147"/>
      <c r="C231" s="462" t="s">
        <v>1086</v>
      </c>
      <c r="D231" s="478" t="s">
        <v>1089</v>
      </c>
      <c r="E231" s="147" t="s">
        <v>1085</v>
      </c>
      <c r="F231" s="147" t="s">
        <v>268</v>
      </c>
      <c r="G231" s="339" t="s">
        <v>1086</v>
      </c>
      <c r="H231" s="483" t="s">
        <v>1100</v>
      </c>
      <c r="I231" s="484" t="s">
        <v>1085</v>
      </c>
      <c r="J231" s="485" t="s">
        <v>1104</v>
      </c>
      <c r="K231" s="368"/>
      <c r="N231"/>
      <c r="P231"/>
    </row>
    <row r="232" spans="1:16" ht="15" customHeight="1">
      <c r="A232" s="180" t="str">
        <f>A212</f>
        <v>1001i</v>
      </c>
      <c r="B232" s="177">
        <f>+INPUT!AP3</f>
        <v>-3.8833456155582799E-4</v>
      </c>
      <c r="C232" s="128">
        <f>IF(B232&gt;=0,"-",-B232)</f>
        <v>3.8833456155582799E-4</v>
      </c>
      <c r="D232" s="199">
        <f>+G212</f>
        <v>240.2705825904784</v>
      </c>
      <c r="E232" s="200" t="str">
        <f>IF(C232="-","-",IF(C232&lt;=D232,"OK","NG"))</f>
        <v>OK</v>
      </c>
      <c r="F232" s="200">
        <f>IF(C232="-","-",D232/C232)</f>
        <v>618720.57338356809</v>
      </c>
      <c r="G232" s="128" t="str">
        <f>IF(B232&gt;=0,B232,"-")</f>
        <v>-</v>
      </c>
      <c r="H232" s="128">
        <f>+L212</f>
        <v>379.5191071907289</v>
      </c>
      <c r="I232" s="200" t="str">
        <f>IF(G232="-","-",IF(G232&lt;=H232,"OK","NG"))</f>
        <v>-</v>
      </c>
      <c r="J232" s="203" t="str">
        <f>IF(G232="-","-",H232/G232)</f>
        <v>-</v>
      </c>
      <c r="K232" s="368"/>
      <c r="N232"/>
      <c r="P232"/>
    </row>
    <row r="233" spans="1:16" ht="15" customHeight="1">
      <c r="A233" s="409"/>
      <c r="B233" s="477"/>
      <c r="C233" s="293"/>
      <c r="D233" s="481"/>
      <c r="E233" s="476"/>
      <c r="F233" s="481"/>
      <c r="G233" s="475"/>
      <c r="H233" s="293"/>
      <c r="I233" s="476"/>
      <c r="J233" s="475"/>
      <c r="K233" s="475"/>
      <c r="L233" s="293"/>
      <c r="M233" s="293"/>
      <c r="N233" s="482"/>
    </row>
    <row r="235" spans="1:16" ht="15" customHeight="1">
      <c r="A235" s="8"/>
      <c r="B235" s="37" t="s">
        <v>271</v>
      </c>
      <c r="C235" s="102"/>
      <c r="D235" s="102"/>
      <c r="E235" s="102"/>
      <c r="F235" s="102"/>
      <c r="G235" s="102"/>
      <c r="H235" s="1"/>
      <c r="I235" s="1"/>
      <c r="J235" s="1"/>
      <c r="K235" s="1"/>
      <c r="L235" s="2"/>
      <c r="M235" s="1"/>
      <c r="N235" s="65" t="s">
        <v>318</v>
      </c>
    </row>
    <row r="236" spans="1:16" ht="15" customHeight="1" thickBot="1">
      <c r="A236" s="8"/>
      <c r="B236" s="37"/>
      <c r="C236" s="102"/>
      <c r="D236" s="102"/>
      <c r="E236" s="102"/>
      <c r="F236" s="102"/>
      <c r="G236" s="102"/>
      <c r="H236" s="1"/>
      <c r="I236" s="1"/>
      <c r="J236" s="1"/>
      <c r="K236" s="1"/>
      <c r="L236" s="2"/>
      <c r="M236" s="1"/>
      <c r="N236" s="1"/>
      <c r="O236" s="393"/>
    </row>
    <row r="237" spans="1:16" ht="20.100000000000001" customHeight="1" thickBot="1">
      <c r="A237" s="37"/>
      <c r="B237" s="16"/>
      <c r="C237" s="38"/>
      <c r="D237" s="39"/>
      <c r="E237" s="40" t="s">
        <v>317</v>
      </c>
      <c r="F237" s="39"/>
      <c r="G237" s="41"/>
      <c r="H237" s="42"/>
      <c r="I237" s="1"/>
      <c r="J237" s="1"/>
      <c r="K237" s="1"/>
      <c r="L237" s="2"/>
      <c r="M237" s="1"/>
      <c r="N237" s="1"/>
      <c r="O237" s="297"/>
    </row>
    <row r="238" spans="1:16" ht="15" customHeight="1">
      <c r="A238" s="8"/>
      <c r="B238" s="37"/>
      <c r="C238" s="150"/>
      <c r="D238" s="102"/>
      <c r="E238" s="102"/>
      <c r="F238" s="102"/>
      <c r="G238" s="102"/>
      <c r="H238" s="1"/>
      <c r="I238" s="1"/>
      <c r="J238" s="1"/>
      <c r="K238" s="1"/>
      <c r="L238" s="2"/>
      <c r="M238" s="1"/>
      <c r="N238" s="1"/>
      <c r="O238" s="297"/>
    </row>
    <row r="239" spans="1:16" ht="15" customHeight="1">
      <c r="A239" s="8"/>
      <c r="B239" s="37"/>
      <c r="C239" s="151" t="s">
        <v>272</v>
      </c>
      <c r="D239" s="102"/>
      <c r="E239" s="102"/>
      <c r="F239" s="102"/>
      <c r="G239" s="102"/>
      <c r="H239" s="1"/>
      <c r="I239" s="1"/>
      <c r="J239" s="1"/>
      <c r="K239" s="1"/>
      <c r="L239" s="2"/>
      <c r="M239" s="1"/>
      <c r="N239" s="1"/>
      <c r="O239" s="297"/>
    </row>
    <row r="240" spans="1:16" ht="15" customHeight="1">
      <c r="A240" s="8"/>
      <c r="B240" s="37"/>
      <c r="C240" s="1"/>
      <c r="D240" s="102"/>
      <c r="E240" s="102"/>
      <c r="F240" s="102"/>
      <c r="G240" s="102"/>
      <c r="H240" s="1"/>
      <c r="I240" s="1"/>
      <c r="J240" s="1"/>
      <c r="K240" s="1"/>
      <c r="L240" s="2"/>
      <c r="M240" s="1"/>
      <c r="N240" s="1"/>
      <c r="O240" s="297"/>
    </row>
    <row r="241" spans="1:15" ht="15" customHeight="1">
      <c r="A241" s="8"/>
      <c r="B241" s="108" t="s">
        <v>65</v>
      </c>
      <c r="C241" s="59" t="s">
        <v>273</v>
      </c>
      <c r="D241" s="102"/>
      <c r="E241" s="102"/>
      <c r="F241" s="102"/>
      <c r="G241" s="102"/>
      <c r="H241" s="1"/>
      <c r="I241" s="1"/>
      <c r="J241" s="1"/>
      <c r="K241" s="1"/>
      <c r="L241" s="2"/>
      <c r="M241" s="1"/>
      <c r="N241" s="1"/>
      <c r="O241" s="297"/>
    </row>
    <row r="242" spans="1:15" ht="15" customHeight="1">
      <c r="A242" s="8"/>
      <c r="B242" s="37"/>
      <c r="C242" s="43" t="s">
        <v>30</v>
      </c>
      <c r="D242" s="43"/>
      <c r="E242" s="43"/>
      <c r="F242" s="43"/>
      <c r="G242" s="43"/>
      <c r="H242" s="43" t="s">
        <v>274</v>
      </c>
      <c r="I242" s="43"/>
      <c r="J242" s="43"/>
      <c r="K242" s="43"/>
      <c r="L242" s="43"/>
      <c r="M242" s="1"/>
      <c r="N242" s="1"/>
      <c r="O242" s="297"/>
    </row>
    <row r="243" spans="1:15" ht="15" customHeight="1">
      <c r="A243" s="8"/>
      <c r="B243" s="37"/>
      <c r="C243" s="152" t="s">
        <v>275</v>
      </c>
      <c r="D243" s="500" t="s">
        <v>276</v>
      </c>
      <c r="E243" s="500"/>
      <c r="F243" s="45"/>
      <c r="G243" s="1"/>
      <c r="H243" s="488" t="s">
        <v>277</v>
      </c>
      <c r="I243" s="488"/>
      <c r="J243" s="488"/>
      <c r="K243" s="488"/>
      <c r="L243" s="45"/>
      <c r="M243" s="1"/>
      <c r="N243" s="1"/>
      <c r="O243" s="297"/>
    </row>
    <row r="244" spans="1:15" ht="15" customHeight="1">
      <c r="A244" s="8"/>
      <c r="B244" s="37"/>
      <c r="C244" s="2" t="s">
        <v>192</v>
      </c>
      <c r="D244" s="499"/>
      <c r="E244" s="499"/>
      <c r="F244" s="1"/>
      <c r="G244" s="1"/>
      <c r="H244" s="501"/>
      <c r="I244" s="501"/>
      <c r="J244" s="501"/>
      <c r="K244" s="501"/>
      <c r="L244" s="1"/>
      <c r="M244" s="1"/>
      <c r="N244" s="1"/>
      <c r="O244" s="297"/>
    </row>
    <row r="245" spans="1:15" ht="15" customHeight="1">
      <c r="A245" s="8"/>
      <c r="B245" s="37"/>
      <c r="C245" s="60" t="s">
        <v>275</v>
      </c>
      <c r="D245" s="499" t="s">
        <v>278</v>
      </c>
      <c r="E245" s="499"/>
      <c r="F245" s="1"/>
      <c r="G245" s="1"/>
      <c r="H245" s="501" t="s">
        <v>279</v>
      </c>
      <c r="I245" s="501"/>
      <c r="J245" s="501"/>
      <c r="K245" s="501"/>
      <c r="L245" s="1"/>
      <c r="M245" s="1"/>
      <c r="N245" s="1"/>
      <c r="O245" s="297"/>
    </row>
    <row r="246" spans="1:15" ht="15" customHeight="1">
      <c r="A246" s="8"/>
      <c r="B246" s="37"/>
      <c r="C246" s="60" t="s">
        <v>192</v>
      </c>
      <c r="D246" s="502"/>
      <c r="E246" s="502"/>
      <c r="F246" s="19"/>
      <c r="G246" s="19"/>
      <c r="H246" s="503"/>
      <c r="I246" s="503"/>
      <c r="J246" s="503"/>
      <c r="K246" s="503"/>
      <c r="L246" s="19"/>
      <c r="M246" s="1"/>
      <c r="N246" s="1"/>
      <c r="O246" s="297"/>
    </row>
    <row r="247" spans="1:15" ht="15" customHeight="1">
      <c r="A247" s="8"/>
      <c r="B247" s="37"/>
      <c r="C247" s="150"/>
      <c r="D247" s="102"/>
      <c r="E247" s="102"/>
      <c r="F247" s="102"/>
      <c r="G247" s="102"/>
      <c r="H247" s="1"/>
      <c r="I247" s="1"/>
      <c r="J247" s="1"/>
      <c r="K247" s="1"/>
      <c r="L247" s="2"/>
      <c r="M247" s="1"/>
      <c r="N247" s="1"/>
      <c r="O247" s="297"/>
    </row>
    <row r="248" spans="1:15" ht="15" customHeight="1">
      <c r="A248" s="8"/>
      <c r="B248" s="37"/>
      <c r="C248" s="127" t="s">
        <v>280</v>
      </c>
      <c r="D248" s="102"/>
      <c r="E248" s="102"/>
      <c r="F248" s="102"/>
      <c r="G248" s="102"/>
      <c r="H248" s="1"/>
      <c r="I248" s="1"/>
      <c r="J248" s="1"/>
      <c r="K248" s="1"/>
      <c r="L248" s="2"/>
      <c r="M248" s="1"/>
      <c r="N248" s="1"/>
      <c r="O248" s="297"/>
    </row>
    <row r="249" spans="1:15" ht="15" customHeight="1">
      <c r="A249" s="8"/>
      <c r="B249" s="37"/>
      <c r="C249" s="499" t="s">
        <v>281</v>
      </c>
      <c r="D249" s="499"/>
      <c r="E249" s="19" t="s">
        <v>282</v>
      </c>
      <c r="F249" s="499" t="s">
        <v>283</v>
      </c>
      <c r="G249" s="499"/>
      <c r="H249" s="499"/>
      <c r="I249" s="499"/>
      <c r="J249" s="1"/>
      <c r="K249" s="1"/>
      <c r="L249" s="1"/>
      <c r="M249" s="1"/>
      <c r="N249" s="1"/>
      <c r="O249" s="297"/>
    </row>
    <row r="250" spans="1:15" ht="15" customHeight="1">
      <c r="A250" s="110"/>
      <c r="B250" s="16"/>
      <c r="C250" s="499"/>
      <c r="D250" s="499"/>
      <c r="E250" s="45" t="s">
        <v>284</v>
      </c>
      <c r="F250" s="499"/>
      <c r="G250" s="499"/>
      <c r="H250" s="499"/>
      <c r="I250" s="499"/>
      <c r="J250" s="1"/>
      <c r="K250" s="1"/>
      <c r="L250" s="1"/>
      <c r="M250" s="1"/>
      <c r="N250" s="1"/>
      <c r="O250" s="297"/>
    </row>
    <row r="251" spans="1:15" ht="15" customHeight="1">
      <c r="A251" s="110"/>
      <c r="B251" s="1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1"/>
      <c r="O251" s="297"/>
    </row>
    <row r="252" spans="1:15" ht="15" customHeight="1">
      <c r="A252" s="1"/>
      <c r="B252" s="108" t="s">
        <v>65</v>
      </c>
      <c r="C252" s="1" t="s">
        <v>285</v>
      </c>
      <c r="D252" s="153"/>
      <c r="E252" s="153"/>
      <c r="F252" s="153"/>
      <c r="G252" s="153"/>
      <c r="H252" s="153"/>
      <c r="I252" s="153"/>
      <c r="J252" s="1"/>
      <c r="K252" s="1"/>
      <c r="L252" s="1"/>
      <c r="M252" s="2"/>
      <c r="N252" s="1"/>
      <c r="O252" s="297"/>
    </row>
    <row r="253" spans="1:15" ht="15" customHeight="1">
      <c r="A253" s="1"/>
      <c r="B253" s="8"/>
      <c r="C253" s="1"/>
      <c r="D253" s="153"/>
      <c r="E253" s="153"/>
      <c r="F253" s="153"/>
      <c r="G253" s="153"/>
      <c r="H253" s="153"/>
      <c r="I253" s="153"/>
      <c r="J253" s="1"/>
      <c r="K253" s="1"/>
      <c r="L253" s="1"/>
      <c r="M253" s="2"/>
      <c r="N253" s="1"/>
      <c r="O253" s="297"/>
    </row>
    <row r="254" spans="1:15" ht="15" customHeight="1">
      <c r="A254" s="1"/>
      <c r="B254" s="8"/>
      <c r="C254" s="1" t="s">
        <v>286</v>
      </c>
      <c r="D254" s="153"/>
      <c r="E254" s="153"/>
      <c r="F254" s="153"/>
      <c r="G254" s="1" t="s">
        <v>287</v>
      </c>
      <c r="H254" s="153"/>
      <c r="I254" s="153"/>
      <c r="J254" s="1"/>
      <c r="K254" s="1"/>
      <c r="L254" s="1"/>
      <c r="M254" s="2"/>
      <c r="N254" s="1"/>
      <c r="O254" s="297"/>
    </row>
    <row r="255" spans="1:15" ht="15" customHeight="1">
      <c r="A255" s="1"/>
      <c r="B255" s="8"/>
      <c r="C255" s="1"/>
      <c r="D255" s="153"/>
      <c r="E255" s="153"/>
      <c r="F255" s="153"/>
      <c r="G255" s="1"/>
      <c r="H255" s="153"/>
      <c r="I255" s="153"/>
      <c r="J255" s="1"/>
      <c r="K255" s="1"/>
      <c r="L255" s="1"/>
      <c r="M255" s="2"/>
      <c r="N255" s="1"/>
      <c r="O255" s="297"/>
    </row>
    <row r="256" spans="1:15" ht="15" customHeight="1">
      <c r="A256" s="1"/>
      <c r="B256" s="8"/>
      <c r="C256" s="19" t="s">
        <v>288</v>
      </c>
      <c r="D256" s="154"/>
      <c r="E256" s="154"/>
      <c r="F256" s="154"/>
      <c r="G256" s="154"/>
      <c r="H256" s="154"/>
      <c r="I256" s="154"/>
      <c r="J256" s="1"/>
      <c r="K256" s="1"/>
      <c r="L256" s="1"/>
      <c r="M256" s="2"/>
      <c r="N256" s="65" t="s">
        <v>319</v>
      </c>
    </row>
    <row r="257" spans="1:15" ht="20.100000000000001" customHeight="1">
      <c r="A257" s="1"/>
      <c r="B257" s="1"/>
      <c r="C257" s="43" t="s">
        <v>30</v>
      </c>
      <c r="D257" s="43"/>
      <c r="E257" s="43"/>
      <c r="F257" s="43"/>
      <c r="G257" s="43"/>
      <c r="H257" s="43" t="s">
        <v>154</v>
      </c>
      <c r="I257" s="43"/>
      <c r="J257" s="43"/>
      <c r="K257" s="43"/>
      <c r="L257" s="43"/>
      <c r="M257" s="1"/>
      <c r="N257" s="1"/>
      <c r="O257" s="297"/>
    </row>
    <row r="258" spans="1:15" ht="20.100000000000001" customHeight="1">
      <c r="A258" s="1"/>
      <c r="B258" s="1"/>
      <c r="C258" s="1" t="s">
        <v>289</v>
      </c>
      <c r="D258" s="1"/>
      <c r="E258" s="1"/>
      <c r="F258" s="1"/>
      <c r="G258" s="1"/>
      <c r="H258" s="488">
        <v>7.2</v>
      </c>
      <c r="I258" s="488"/>
      <c r="J258" s="1"/>
      <c r="K258" s="1"/>
      <c r="L258" s="1"/>
      <c r="M258" s="1"/>
      <c r="N258" s="1"/>
      <c r="O258" s="297"/>
    </row>
    <row r="259" spans="1:15" ht="20.100000000000001" customHeight="1">
      <c r="A259" s="1"/>
      <c r="B259" s="1"/>
      <c r="C259" s="1" t="s">
        <v>290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97"/>
    </row>
    <row r="260" spans="1:15" ht="20.100000000000001" customHeight="1">
      <c r="A260" s="1"/>
      <c r="B260" s="1"/>
      <c r="C260" s="1"/>
      <c r="D260" s="1" t="s">
        <v>291</v>
      </c>
      <c r="E260" s="1"/>
      <c r="F260" s="1"/>
      <c r="G260" s="1"/>
      <c r="H260" s="1" t="s">
        <v>292</v>
      </c>
      <c r="I260" s="1"/>
      <c r="J260" s="1"/>
      <c r="K260" s="1"/>
      <c r="L260" s="1"/>
      <c r="M260" s="1"/>
      <c r="N260" s="1"/>
      <c r="O260" s="297"/>
    </row>
    <row r="261" spans="1:15" ht="20.100000000000001" customHeight="1">
      <c r="A261" s="1"/>
      <c r="B261" s="1"/>
      <c r="C261" s="19"/>
      <c r="D261" s="19" t="s">
        <v>293</v>
      </c>
      <c r="E261" s="19"/>
      <c r="F261" s="19"/>
      <c r="G261" s="19"/>
      <c r="H261" s="19" t="s">
        <v>294</v>
      </c>
      <c r="I261" s="19"/>
      <c r="J261" s="19"/>
      <c r="K261" s="19"/>
      <c r="L261" s="19"/>
      <c r="M261" s="1"/>
      <c r="N261" s="1"/>
      <c r="O261" s="297"/>
    </row>
    <row r="262" spans="1:15" ht="1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97"/>
    </row>
    <row r="263" spans="1:15" ht="15" customHeight="1">
      <c r="A263" s="1"/>
      <c r="B263" s="1"/>
      <c r="C263" s="1" t="s">
        <v>295</v>
      </c>
      <c r="D263" s="27" t="s">
        <v>146</v>
      </c>
      <c r="E263" s="1" t="s">
        <v>296</v>
      </c>
      <c r="F263" s="1"/>
      <c r="G263" s="1"/>
      <c r="H263" s="1"/>
      <c r="I263" s="1"/>
      <c r="J263" s="1"/>
      <c r="K263" s="1"/>
      <c r="L263" s="1"/>
      <c r="M263" s="1"/>
      <c r="N263" s="1"/>
      <c r="O263" s="297"/>
    </row>
    <row r="264" spans="1:15" ht="15" customHeight="1">
      <c r="A264" s="1"/>
      <c r="B264" s="1"/>
      <c r="C264" s="1"/>
      <c r="D264" s="27" t="s">
        <v>146</v>
      </c>
      <c r="E264" s="1" t="s">
        <v>297</v>
      </c>
      <c r="F264" s="1"/>
      <c r="G264" s="1"/>
      <c r="H264" s="1"/>
      <c r="I264" s="1"/>
      <c r="J264" s="1"/>
      <c r="K264" s="1"/>
      <c r="L264" s="1"/>
      <c r="M264" s="1"/>
      <c r="N264" s="1"/>
      <c r="O264" s="297"/>
    </row>
    <row r="265" spans="1:15" ht="15" customHeight="1">
      <c r="A265" s="1"/>
      <c r="B265" s="1"/>
      <c r="C265" s="1" t="s">
        <v>298</v>
      </c>
      <c r="D265" s="27" t="s">
        <v>146</v>
      </c>
      <c r="E265" s="1" t="s">
        <v>299</v>
      </c>
      <c r="F265" s="1"/>
      <c r="G265" s="1"/>
      <c r="H265" s="1"/>
      <c r="I265" s="1"/>
      <c r="J265" s="1"/>
      <c r="K265" s="1"/>
      <c r="L265" s="1"/>
      <c r="M265" s="1"/>
      <c r="N265" s="1"/>
      <c r="O265" s="297"/>
    </row>
    <row r="266" spans="1:15" ht="15" customHeight="1">
      <c r="A266" s="1"/>
      <c r="B266" s="1"/>
      <c r="C266" s="1" t="s">
        <v>300</v>
      </c>
      <c r="D266" s="2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97"/>
    </row>
    <row r="267" spans="1:15" ht="15" customHeight="1">
      <c r="A267" s="1"/>
      <c r="B267" s="1"/>
      <c r="C267" s="1"/>
      <c r="D267" s="2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97"/>
    </row>
    <row r="268" spans="1:15" ht="15" customHeight="1">
      <c r="A268" s="1"/>
      <c r="B268" s="1" t="s">
        <v>301</v>
      </c>
      <c r="C268" s="2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5" ht="15" customHeight="1">
      <c r="A269" s="1"/>
      <c r="B269" s="56" t="s">
        <v>302</v>
      </c>
      <c r="C269" s="2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5" ht="15" customHeight="1">
      <c r="A270" s="1"/>
      <c r="B270" s="153" t="s">
        <v>303</v>
      </c>
      <c r="C270" s="2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5" ht="20.100000000000001" customHeight="1">
      <c r="A271" s="1"/>
      <c r="B271" s="43" t="s">
        <v>30</v>
      </c>
      <c r="C271" s="43"/>
      <c r="D271" s="43"/>
      <c r="E271" s="43"/>
      <c r="F271" s="43"/>
      <c r="G271" s="43" t="s">
        <v>154</v>
      </c>
      <c r="H271" s="43"/>
      <c r="I271" s="43"/>
      <c r="J271" s="43"/>
      <c r="K271" s="43"/>
      <c r="L271" s="1"/>
      <c r="M271" s="1"/>
      <c r="N271" s="1"/>
    </row>
    <row r="272" spans="1:15" ht="20.100000000000001" customHeight="1">
      <c r="A272" s="1"/>
      <c r="B272" s="155" t="s">
        <v>304</v>
      </c>
      <c r="C272" s="1"/>
      <c r="D272" s="1" t="s">
        <v>305</v>
      </c>
      <c r="E272" s="1"/>
      <c r="F272" s="1"/>
      <c r="G272" s="1" t="s">
        <v>306</v>
      </c>
      <c r="H272" s="1"/>
      <c r="I272" s="1"/>
      <c r="J272" s="1"/>
      <c r="K272" s="1"/>
      <c r="L272" s="1"/>
      <c r="M272" s="1"/>
      <c r="N272" s="1"/>
    </row>
    <row r="273" spans="1:14" ht="20.100000000000001" customHeight="1">
      <c r="A273" s="1"/>
      <c r="B273" s="46"/>
      <c r="C273" s="46"/>
      <c r="D273" s="46" t="s">
        <v>307</v>
      </c>
      <c r="E273" s="46"/>
      <c r="F273" s="46"/>
      <c r="G273" s="46" t="s">
        <v>308</v>
      </c>
      <c r="H273" s="46"/>
      <c r="I273" s="46"/>
      <c r="J273" s="46"/>
      <c r="K273" s="46"/>
      <c r="L273" s="1"/>
      <c r="M273" s="1"/>
      <c r="N273" s="1"/>
    </row>
    <row r="274" spans="1:14" ht="20.100000000000001" customHeight="1">
      <c r="A274" s="1"/>
      <c r="B274" s="156" t="s">
        <v>309</v>
      </c>
      <c r="C274" s="19"/>
      <c r="D274" s="19"/>
      <c r="E274" s="19"/>
      <c r="F274" s="19"/>
      <c r="G274" s="19" t="s">
        <v>310</v>
      </c>
      <c r="H274" s="19"/>
      <c r="I274" s="19"/>
      <c r="J274" s="19"/>
      <c r="K274" s="19"/>
      <c r="L274" s="1"/>
      <c r="M274" s="1"/>
      <c r="N274" s="1"/>
    </row>
    <row r="275" spans="1:14" ht="15" customHeight="1">
      <c r="A275" s="1"/>
      <c r="B275" s="153"/>
      <c r="C275" s="2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" customHeight="1">
      <c r="A276" s="1"/>
      <c r="B276" s="1" t="s">
        <v>311</v>
      </c>
      <c r="C276" s="27" t="s">
        <v>146</v>
      </c>
      <c r="D276" s="1" t="s">
        <v>312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" customHeight="1">
      <c r="A277" s="1"/>
      <c r="B277" s="153"/>
      <c r="C277" s="27"/>
      <c r="D277" s="1" t="s">
        <v>313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" customHeight="1">
      <c r="A278" s="1"/>
      <c r="B278" s="126" t="s">
        <v>314</v>
      </c>
      <c r="C278" s="27" t="s">
        <v>146</v>
      </c>
      <c r="D278" s="1" t="s">
        <v>315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" customHeight="1">
      <c r="A279" s="1"/>
      <c r="B279" s="127" t="s">
        <v>320</v>
      </c>
      <c r="C279" s="2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" customHeight="1">
      <c r="A280" s="1"/>
      <c r="B280" s="127" t="s">
        <v>321</v>
      </c>
      <c r="C280" s="2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" customHeight="1">
      <c r="A281" s="1"/>
      <c r="B281" s="1" t="s">
        <v>316</v>
      </c>
      <c r="C281" s="1"/>
      <c r="D281" s="27"/>
      <c r="E281" s="1"/>
      <c r="F281" s="35"/>
      <c r="G281" s="1"/>
      <c r="H281" s="1"/>
      <c r="I281" s="1"/>
      <c r="J281" s="1"/>
      <c r="K281" s="2"/>
      <c r="L281" s="1"/>
      <c r="M281" s="1"/>
      <c r="N281" s="1"/>
    </row>
    <row r="283" spans="1:14" ht="15" customHeight="1" thickBot="1">
      <c r="A283" s="56" t="s">
        <v>1105</v>
      </c>
      <c r="B283" s="1"/>
      <c r="C283" s="1"/>
      <c r="D283" s="1"/>
      <c r="E283" s="1"/>
      <c r="F283" s="1"/>
      <c r="G283" s="35"/>
      <c r="H283" s="1"/>
      <c r="I283" s="1"/>
      <c r="J283" s="1"/>
      <c r="K283" s="1"/>
      <c r="L283" s="2"/>
      <c r="M283" s="1"/>
    </row>
    <row r="284" spans="1:14" ht="15" customHeight="1">
      <c r="A284" s="69" t="s">
        <v>98</v>
      </c>
      <c r="B284" s="75" t="s">
        <v>207</v>
      </c>
      <c r="C284" s="489" t="s">
        <v>269</v>
      </c>
      <c r="D284" s="490"/>
      <c r="E284" s="70" t="s">
        <v>353</v>
      </c>
      <c r="F284" s="70" t="s">
        <v>295</v>
      </c>
      <c r="G284" s="70" t="s">
        <v>265</v>
      </c>
      <c r="H284" s="70" t="s">
        <v>322</v>
      </c>
      <c r="I284" s="70" t="s">
        <v>229</v>
      </c>
      <c r="J284" s="157" t="s">
        <v>314</v>
      </c>
      <c r="K284" s="70" t="s">
        <v>154</v>
      </c>
      <c r="L284" s="70" t="s">
        <v>323</v>
      </c>
      <c r="M284" s="70" t="s">
        <v>266</v>
      </c>
      <c r="N284" s="71" t="s">
        <v>268</v>
      </c>
    </row>
    <row r="285" spans="1:14" ht="15" customHeight="1">
      <c r="A285" s="72"/>
      <c r="B285" s="76" t="s">
        <v>212</v>
      </c>
      <c r="C285" s="76" t="s">
        <v>324</v>
      </c>
      <c r="D285" s="76" t="s">
        <v>325</v>
      </c>
      <c r="E285" s="73"/>
      <c r="F285" s="73"/>
      <c r="G285" s="73"/>
      <c r="H285" s="73" t="s">
        <v>311</v>
      </c>
      <c r="I285" s="73"/>
      <c r="J285" s="73"/>
      <c r="K285" s="73"/>
      <c r="L285" s="73"/>
      <c r="M285" s="76"/>
      <c r="N285" s="148"/>
    </row>
    <row r="286" spans="1:14" ht="15" customHeight="1">
      <c r="A286" s="180" t="str">
        <f>+A232</f>
        <v>1001i</v>
      </c>
      <c r="B286" s="57" t="str">
        <f>+B212</f>
        <v>Negative</v>
      </c>
      <c r="C286" s="197">
        <f>B99</f>
        <v>4.3452189183266598E-4</v>
      </c>
      <c r="D286" s="197">
        <f>C99</f>
        <v>-3.8833456155582799E-4</v>
      </c>
      <c r="E286" s="199">
        <f>INPUT!AM3</f>
        <v>355</v>
      </c>
      <c r="F286" s="181">
        <f>INPUT!AX3</f>
        <v>0</v>
      </c>
      <c r="G286" s="194" t="str">
        <f>IF(2*F286/COS(ATAN(G94))/L187&lt;=5.7*SQRT(INPUT!$B$2/D212),"C","S")</f>
        <v>C</v>
      </c>
      <c r="H286" s="178">
        <f>INPUT!AJ3</f>
        <v>650</v>
      </c>
      <c r="I286" s="182">
        <f>G197</f>
        <v>2600</v>
      </c>
      <c r="J286" s="128">
        <f>IF(OR(C286=0,D286=0),0,IF(B286="Positive",D286/C286,C286/D286))</f>
        <v>-1.1189369550106294</v>
      </c>
      <c r="K286" s="128">
        <f>IF(INPUT!AA3=0,9/(F286/I286)^2,IF(INPUT!AA3=0=1,IF(AND(C286&lt;=0,D286&lt;=0),7.2,IF(H286/F286&gt;=0.4,MAX(5.17/(H286/I286)^2,9/(F286/I286)^2),11.64/((F286-H286)/I286)^2)),IF(J286&gt;=-1,247.8*((H286/F286)^1.8)*(1-J286)^2.7,247.8*(1-J286)^0.32)))</f>
        <v>315.10774176999934</v>
      </c>
      <c r="L286" s="128">
        <f>MIN(0.9*INPUT!$B$2*K286/(I286/COS(ATAN(G94))/L187)^2,N187*D212,E286/0.7)</f>
        <v>379.5191071907289</v>
      </c>
      <c r="M286" s="201" t="str">
        <f>IF(G286="S",IF(ABS(MIN(C286,D286))&lt;=L286,"OK","NG"),"-")</f>
        <v>-</v>
      </c>
      <c r="N286" s="203" t="str">
        <f>IF(G286="S",IF(ABS(MIN(C286,D286))=0,"Inf",L286/ABS(MIN(C286,D286))),"-")</f>
        <v>-</v>
      </c>
    </row>
    <row r="289" spans="1:15" ht="15" customHeight="1">
      <c r="A289" s="36" t="s">
        <v>349</v>
      </c>
    </row>
    <row r="290" spans="1:15" ht="15" customHeight="1" thickBot="1">
      <c r="A290" s="36"/>
    </row>
    <row r="291" spans="1:15" ht="20.100000000000001" customHeight="1" thickBot="1">
      <c r="A291" s="37"/>
      <c r="B291" s="16"/>
      <c r="C291" s="38"/>
      <c r="D291" s="39"/>
      <c r="E291" s="40" t="s">
        <v>351</v>
      </c>
      <c r="F291" s="39"/>
      <c r="G291" s="41"/>
      <c r="H291" s="42"/>
      <c r="I291" s="1"/>
      <c r="J291" s="1"/>
      <c r="K291" s="1"/>
      <c r="L291" s="2"/>
      <c r="M291" s="1"/>
      <c r="N291" s="65" t="s">
        <v>350</v>
      </c>
    </row>
    <row r="292" spans="1:15" ht="15" customHeight="1">
      <c r="A292" s="1"/>
      <c r="B292" s="1"/>
      <c r="C292" s="16"/>
      <c r="D292" s="1"/>
      <c r="E292" s="1"/>
      <c r="F292" s="1"/>
      <c r="G292" s="35"/>
      <c r="H292" s="1"/>
      <c r="I292" s="1"/>
      <c r="J292" s="1"/>
      <c r="K292" s="1"/>
      <c r="L292" s="2"/>
      <c r="M292" s="1"/>
      <c r="N292" s="1"/>
      <c r="O292" s="297"/>
    </row>
    <row r="293" spans="1:15" ht="15" customHeight="1">
      <c r="A293" s="8"/>
      <c r="B293" s="1" t="s">
        <v>280</v>
      </c>
      <c r="C293" s="1"/>
      <c r="D293" s="1"/>
      <c r="E293" s="1"/>
      <c r="F293" s="1"/>
      <c r="G293" s="35"/>
      <c r="H293" s="1"/>
      <c r="I293" s="1"/>
      <c r="J293" s="1"/>
      <c r="K293" s="1"/>
      <c r="L293" s="2"/>
      <c r="M293" s="1"/>
      <c r="N293" s="1"/>
      <c r="O293" s="297"/>
    </row>
    <row r="294" spans="1:15" ht="15" customHeight="1">
      <c r="A294" s="8"/>
      <c r="B294" s="108" t="s">
        <v>65</v>
      </c>
      <c r="C294" s="1" t="s">
        <v>326</v>
      </c>
      <c r="D294" s="1"/>
      <c r="E294" s="1"/>
      <c r="F294" s="1"/>
      <c r="G294" s="35"/>
      <c r="H294" s="1"/>
      <c r="I294" s="1"/>
      <c r="J294" s="1"/>
      <c r="K294" s="1"/>
      <c r="L294" s="2"/>
      <c r="M294" s="1"/>
      <c r="N294" s="1"/>
      <c r="O294" s="297"/>
    </row>
    <row r="295" spans="1:15" ht="15" customHeight="1">
      <c r="A295" s="8"/>
      <c r="B295" s="1"/>
      <c r="C295" s="1" t="s">
        <v>327</v>
      </c>
      <c r="D295" s="1"/>
      <c r="E295" s="1"/>
      <c r="F295" s="1"/>
      <c r="G295" s="35"/>
      <c r="H295" s="1"/>
      <c r="I295" s="1"/>
      <c r="J295" s="1"/>
      <c r="K295" s="1"/>
      <c r="L295" s="2"/>
      <c r="M295" s="1"/>
      <c r="N295" s="1"/>
      <c r="O295" s="297"/>
    </row>
    <row r="296" spans="1:15" ht="15" customHeight="1">
      <c r="A296" s="8"/>
      <c r="B296" s="1"/>
      <c r="C296" s="1" t="s">
        <v>328</v>
      </c>
      <c r="D296" s="1"/>
      <c r="E296" s="1"/>
      <c r="F296" s="1"/>
      <c r="G296" s="35"/>
      <c r="H296" s="1"/>
      <c r="I296" s="1"/>
      <c r="J296" s="1"/>
      <c r="K296" s="1"/>
      <c r="L296" s="2"/>
      <c r="M296" s="1"/>
      <c r="N296" s="1"/>
      <c r="O296" s="297"/>
    </row>
    <row r="297" spans="1:15" ht="15" customHeight="1">
      <c r="A297" s="8"/>
      <c r="B297" s="102"/>
      <c r="C297" s="1"/>
      <c r="D297" s="1"/>
      <c r="E297" s="1"/>
      <c r="F297" s="1"/>
      <c r="G297" s="35"/>
      <c r="H297" s="1"/>
      <c r="I297" s="1"/>
      <c r="J297" s="1"/>
      <c r="K297" s="1"/>
      <c r="L297" s="2"/>
      <c r="M297" s="1"/>
      <c r="N297" s="1"/>
      <c r="O297" s="297"/>
    </row>
    <row r="298" spans="1:15" ht="15" customHeight="1">
      <c r="A298" s="8"/>
      <c r="B298" s="108" t="s">
        <v>65</v>
      </c>
      <c r="C298" s="1" t="s">
        <v>329</v>
      </c>
      <c r="D298" s="1"/>
      <c r="E298" s="1"/>
      <c r="F298" s="1"/>
      <c r="G298" s="35"/>
      <c r="H298" s="1"/>
      <c r="I298" s="1"/>
      <c r="J298" s="1"/>
      <c r="K298" s="1"/>
      <c r="L298" s="2"/>
      <c r="M298" s="1"/>
      <c r="N298" s="1"/>
      <c r="O298" s="297"/>
    </row>
    <row r="299" spans="1:15" ht="15" customHeight="1">
      <c r="A299" s="8"/>
      <c r="B299" s="1"/>
      <c r="C299" s="1" t="s">
        <v>330</v>
      </c>
      <c r="D299" s="1"/>
      <c r="E299" s="1"/>
      <c r="F299" s="1"/>
      <c r="G299" s="35"/>
      <c r="H299" s="1"/>
      <c r="I299" s="1"/>
      <c r="J299" s="1"/>
      <c r="K299" s="1"/>
      <c r="L299" s="2"/>
      <c r="M299" s="1"/>
      <c r="N299" s="1"/>
      <c r="O299" s="297"/>
    </row>
    <row r="300" spans="1:15" ht="15" customHeight="1">
      <c r="A300" s="8"/>
      <c r="B300" s="1"/>
      <c r="C300" s="1"/>
      <c r="D300" s="1"/>
      <c r="E300" s="1"/>
      <c r="F300" s="1"/>
      <c r="G300" s="35"/>
      <c r="H300" s="1"/>
      <c r="I300" s="1"/>
      <c r="J300" s="1"/>
      <c r="K300" s="1"/>
      <c r="L300" s="2"/>
      <c r="M300" s="1"/>
      <c r="N300" s="1"/>
      <c r="O300" s="297"/>
    </row>
    <row r="301" spans="1:15" ht="15" customHeight="1">
      <c r="A301" s="1"/>
      <c r="B301" s="108" t="s">
        <v>65</v>
      </c>
      <c r="C301" s="1" t="s">
        <v>331</v>
      </c>
      <c r="D301" s="102"/>
      <c r="E301" s="16"/>
      <c r="F301" s="102"/>
      <c r="G301" s="102"/>
      <c r="H301" s="102"/>
      <c r="I301" s="1"/>
      <c r="J301" s="1"/>
      <c r="K301" s="1"/>
      <c r="L301" s="2"/>
      <c r="M301" s="1"/>
      <c r="N301" s="1"/>
      <c r="O301" s="297"/>
    </row>
    <row r="302" spans="1:15" ht="20.100000000000001" customHeight="1">
      <c r="A302" s="1"/>
      <c r="B302" s="1"/>
      <c r="C302" s="43" t="s">
        <v>30</v>
      </c>
      <c r="D302" s="44"/>
      <c r="E302" s="43"/>
      <c r="F302" s="43"/>
      <c r="G302" s="43"/>
      <c r="H302" s="44"/>
      <c r="I302" s="43" t="s">
        <v>332</v>
      </c>
      <c r="J302" s="44"/>
      <c r="K302" s="44"/>
      <c r="L302" s="2"/>
      <c r="M302" s="1"/>
      <c r="N302" s="1"/>
      <c r="O302" s="297"/>
    </row>
    <row r="303" spans="1:15" ht="20.100000000000001" customHeight="1">
      <c r="A303" s="1"/>
      <c r="B303" s="1"/>
      <c r="C303" s="1" t="s">
        <v>333</v>
      </c>
      <c r="D303" s="1"/>
      <c r="E303" s="1"/>
      <c r="F303" s="1"/>
      <c r="G303" s="1"/>
      <c r="H303" s="1"/>
      <c r="I303" s="51">
        <v>1</v>
      </c>
      <c r="J303" s="1"/>
      <c r="K303" s="1"/>
      <c r="L303" s="2"/>
      <c r="M303" s="1"/>
      <c r="N303" s="1"/>
      <c r="O303" s="297"/>
    </row>
    <row r="304" spans="1:15" ht="20.100000000000001" customHeight="1">
      <c r="A304" s="1"/>
      <c r="B304" s="1"/>
      <c r="C304" s="1" t="s">
        <v>334</v>
      </c>
      <c r="D304" s="1"/>
      <c r="E304" s="16"/>
      <c r="F304" s="1"/>
      <c r="G304" s="1"/>
      <c r="H304" s="1"/>
      <c r="I304" s="1" t="s">
        <v>335</v>
      </c>
      <c r="J304" s="1"/>
      <c r="K304" s="1"/>
      <c r="L304" s="2"/>
      <c r="M304" s="1"/>
      <c r="N304" s="1"/>
      <c r="O304" s="297"/>
    </row>
    <row r="305" spans="1:15" ht="20.100000000000001" customHeight="1">
      <c r="A305" s="1"/>
      <c r="B305" s="1"/>
      <c r="C305" s="19" t="s">
        <v>336</v>
      </c>
      <c r="D305" s="19"/>
      <c r="E305" s="19"/>
      <c r="F305" s="19"/>
      <c r="G305" s="19"/>
      <c r="H305" s="19"/>
      <c r="I305" s="19" t="s">
        <v>337</v>
      </c>
      <c r="J305" s="19"/>
      <c r="K305" s="19"/>
      <c r="L305" s="2"/>
      <c r="M305" s="1"/>
      <c r="N305" s="1"/>
      <c r="O305" s="297"/>
    </row>
    <row r="306" spans="1:15" ht="15" customHeight="1">
      <c r="A306" s="1"/>
      <c r="B306" s="1"/>
      <c r="C306" s="1" t="s">
        <v>338</v>
      </c>
      <c r="D306" s="1"/>
      <c r="E306" s="1"/>
      <c r="F306" s="1"/>
      <c r="G306" s="1"/>
      <c r="H306" s="35"/>
      <c r="I306" s="1"/>
      <c r="J306" s="1"/>
      <c r="K306" s="1"/>
      <c r="L306" s="2"/>
      <c r="M306" s="1"/>
      <c r="N306" s="2"/>
      <c r="O306" s="297"/>
    </row>
    <row r="307" spans="1:15" ht="15" customHeight="1">
      <c r="A307" s="1"/>
      <c r="B307" s="1"/>
      <c r="C307" s="1" t="s">
        <v>339</v>
      </c>
      <c r="D307" s="1"/>
      <c r="E307" s="1"/>
      <c r="F307" s="1"/>
      <c r="G307" s="1"/>
      <c r="H307" s="35"/>
      <c r="I307" s="1"/>
      <c r="J307" s="1"/>
      <c r="K307" s="1"/>
      <c r="L307" s="2"/>
      <c r="M307" s="1"/>
      <c r="N307" s="2"/>
      <c r="O307" s="297"/>
    </row>
    <row r="308" spans="1:15" ht="15" customHeight="1">
      <c r="A308" s="1"/>
      <c r="B308" s="1"/>
      <c r="C308" s="1"/>
      <c r="D308" s="1"/>
      <c r="E308" s="1"/>
      <c r="F308" s="1"/>
      <c r="G308" s="1"/>
      <c r="H308" s="35"/>
      <c r="I308" s="1"/>
      <c r="J308" s="1"/>
      <c r="K308" s="1"/>
      <c r="L308" s="2"/>
      <c r="M308" s="1"/>
      <c r="N308" s="2"/>
      <c r="O308" s="297"/>
    </row>
    <row r="309" spans="1:15" ht="15" customHeight="1" thickBot="1">
      <c r="A309" s="56" t="s">
        <v>1106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297"/>
    </row>
    <row r="310" spans="1:15" ht="15" customHeight="1">
      <c r="A310" s="69" t="s">
        <v>188</v>
      </c>
      <c r="B310" s="70" t="s">
        <v>340</v>
      </c>
      <c r="C310" s="70" t="s">
        <v>341</v>
      </c>
      <c r="D310" s="70" t="s">
        <v>342</v>
      </c>
      <c r="E310" s="70" t="s">
        <v>343</v>
      </c>
      <c r="F310" s="70" t="s">
        <v>344</v>
      </c>
      <c r="G310" s="70" t="s">
        <v>888</v>
      </c>
      <c r="H310" s="70" t="s">
        <v>192</v>
      </c>
      <c r="I310" s="70" t="s">
        <v>345</v>
      </c>
      <c r="J310" s="70" t="s">
        <v>346</v>
      </c>
      <c r="K310" s="70" t="s">
        <v>347</v>
      </c>
      <c r="L310" s="70" t="s">
        <v>266</v>
      </c>
      <c r="M310" s="71" t="s">
        <v>268</v>
      </c>
      <c r="N310" s="1"/>
      <c r="O310" s="309"/>
    </row>
    <row r="311" spans="1:15" ht="15" customHeight="1">
      <c r="A311" s="72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148"/>
      <c r="N311" s="1"/>
      <c r="O311" s="309"/>
    </row>
    <row r="312" spans="1:15" ht="15" customHeight="1">
      <c r="A312" s="202" t="str">
        <f>A286</f>
        <v>1001i</v>
      </c>
      <c r="B312" s="181">
        <f>(INPUT!AY3+INPUT!AZ3+INPUT!BA3)*1.25/2</f>
        <v>0</v>
      </c>
      <c r="C312" s="128">
        <f>COS(ATAN(G94))</f>
        <v>0.99227787671366763</v>
      </c>
      <c r="D312" s="182">
        <f>+B312/C312</f>
        <v>0</v>
      </c>
      <c r="E312" s="181">
        <f>INPUT!AB3</f>
        <v>2500</v>
      </c>
      <c r="F312" s="182">
        <f>5+5/(E312/I286)^2</f>
        <v>10.408000000000001</v>
      </c>
      <c r="G312" s="182">
        <f>I286/COS(ATAN(G94))</f>
        <v>2620.2337681970289</v>
      </c>
      <c r="H312" s="182">
        <f>L187</f>
        <v>12</v>
      </c>
      <c r="I312" s="128">
        <f>IF(G312/H312&lt;=1.12*SQRT(INPUT!$B$2*F312/E286),1,IF(G312/H312&lt;=1.4*SQRT(INPUT!$B$2*F312/E286),1.12/(G312/H312)*SQRT(INPUT!$B$2*F312/E286),1.57*SQRT(INPUT!$B$2*F312/E286)^2/(G312/H312)^2))</f>
        <v>0.20274039632533478</v>
      </c>
      <c r="J312" s="128">
        <f>0.58*E286*1000*G312*H312/10^6</f>
        <v>6474.0735944612179</v>
      </c>
      <c r="K312" s="182">
        <f>I312*J312</f>
        <v>1312.556246380452</v>
      </c>
      <c r="L312" s="201" t="str">
        <f t="shared" ref="L312" si="0">IF(1*K312&gt;=ABS(D312),"OK","NG")</f>
        <v>OK</v>
      </c>
      <c r="M312" s="203" t="e">
        <f t="shared" ref="M312" si="1">K312/ABS(D312)</f>
        <v>#DIV/0!</v>
      </c>
      <c r="N312" s="1"/>
      <c r="O312" s="394"/>
    </row>
  </sheetData>
  <mergeCells count="45">
    <mergeCell ref="C230:F230"/>
    <mergeCell ref="G230:J230"/>
    <mergeCell ref="K185:K186"/>
    <mergeCell ref="I92:K92"/>
    <mergeCell ref="D190:G190"/>
    <mergeCell ref="H190:L190"/>
    <mergeCell ref="B195:H195"/>
    <mergeCell ref="I195:K195"/>
    <mergeCell ref="C200:G200"/>
    <mergeCell ref="C225:G225"/>
    <mergeCell ref="H225:K225"/>
    <mergeCell ref="H210:L210"/>
    <mergeCell ref="C210:G210"/>
    <mergeCell ref="C249:D250"/>
    <mergeCell ref="F249:I250"/>
    <mergeCell ref="J35:K36"/>
    <mergeCell ref="N178:N179"/>
    <mergeCell ref="B97:C97"/>
    <mergeCell ref="E35:F36"/>
    <mergeCell ref="D81:D82"/>
    <mergeCell ref="E81:E82"/>
    <mergeCell ref="D83:D84"/>
    <mergeCell ref="E83:E84"/>
    <mergeCell ref="C113:C114"/>
    <mergeCell ref="G113:G114"/>
    <mergeCell ref="B113:B114"/>
    <mergeCell ref="F83:H83"/>
    <mergeCell ref="B92:H92"/>
    <mergeCell ref="L225:N225"/>
    <mergeCell ref="H258:I258"/>
    <mergeCell ref="C284:D284"/>
    <mergeCell ref="H113:I113"/>
    <mergeCell ref="D114:F114"/>
    <mergeCell ref="H114:I114"/>
    <mergeCell ref="D205:G205"/>
    <mergeCell ref="B217:D218"/>
    <mergeCell ref="B219:D219"/>
    <mergeCell ref="H150:H151"/>
    <mergeCell ref="B185:F185"/>
    <mergeCell ref="G185:J185"/>
    <mergeCell ref="D113:F113"/>
    <mergeCell ref="D243:E244"/>
    <mergeCell ref="H243:K244"/>
    <mergeCell ref="D245:E246"/>
    <mergeCell ref="H245:K246"/>
  </mergeCells>
  <phoneticPr fontId="28" type="noConversion"/>
  <conditionalFormatting sqref="G233 J233:K233 E232:F232 N233">
    <cfRule type="cellIs" dxfId="135" priority="36" operator="equal">
      <formula>"NG"</formula>
    </cfRule>
  </conditionalFormatting>
  <conditionalFormatting sqref="M286">
    <cfRule type="containsText" dxfId="134" priority="21" operator="containsText" text="NG">
      <formula>NOT(ISERROR(SEARCH("NG",M286)))</formula>
    </cfRule>
    <cfRule type="cellIs" dxfId="133" priority="31" operator="equal">
      <formula>"NG"</formula>
    </cfRule>
  </conditionalFormatting>
  <conditionalFormatting sqref="N286">
    <cfRule type="cellIs" dxfId="132" priority="20" operator="lessThan">
      <formula>1</formula>
    </cfRule>
    <cfRule type="cellIs" dxfId="131" priority="30" operator="equal">
      <formula>"NG"</formula>
    </cfRule>
  </conditionalFormatting>
  <conditionalFormatting sqref="L312">
    <cfRule type="containsText" dxfId="130" priority="18" operator="containsText" text="NG">
      <formula>NOT(ISERROR(SEARCH("NG",L312)))</formula>
    </cfRule>
    <cfRule type="containsText" dxfId="129" priority="19" operator="containsText" text="NG">
      <formula>NOT(ISERROR(SEARCH("NG",L312)))</formula>
    </cfRule>
    <cfRule type="cellIs" dxfId="128" priority="29" operator="equal">
      <formula>"NG"</formula>
    </cfRule>
  </conditionalFormatting>
  <conditionalFormatting sqref="M312">
    <cfRule type="cellIs" dxfId="127" priority="17" operator="lessThan">
      <formula>1</formula>
    </cfRule>
    <cfRule type="cellIs" dxfId="126" priority="28" operator="equal">
      <formula>"NG"</formula>
    </cfRule>
  </conditionalFormatting>
  <conditionalFormatting sqref="M99">
    <cfRule type="containsText" dxfId="125" priority="27" operator="containsText" text="NG">
      <formula>NOT(ISERROR(SEARCH("NG",M99)))</formula>
    </cfRule>
  </conditionalFormatting>
  <conditionalFormatting sqref="N99">
    <cfRule type="cellIs" dxfId="124" priority="26" operator="lessThan">
      <formula>1</formula>
    </cfRule>
  </conditionalFormatting>
  <conditionalFormatting sqref="M228:N228">
    <cfRule type="containsText" dxfId="123" priority="12" operator="containsText" text="NG">
      <formula>NOT(ISERROR(SEARCH("NG",M228)))</formula>
    </cfRule>
    <cfRule type="cellIs" dxfId="122" priority="16" operator="equal">
      <formula>"NG"</formula>
    </cfRule>
  </conditionalFormatting>
  <conditionalFormatting sqref="I228">
    <cfRule type="cellIs" dxfId="121" priority="15" operator="equal">
      <formula>"NG"</formula>
    </cfRule>
  </conditionalFormatting>
  <conditionalFormatting sqref="J228">
    <cfRule type="cellIs" dxfId="120" priority="13" operator="equal">
      <formula>"NG"</formula>
    </cfRule>
  </conditionalFormatting>
  <conditionalFormatting sqref="G227">
    <cfRule type="cellIs" dxfId="119" priority="10" operator="equal">
      <formula>"NG"</formula>
    </cfRule>
  </conditionalFormatting>
  <conditionalFormatting sqref="J227">
    <cfRule type="cellIs" dxfId="118" priority="9" operator="equal">
      <formula>"NG"</formula>
    </cfRule>
  </conditionalFormatting>
  <conditionalFormatting sqref="K227">
    <cfRule type="cellIs" dxfId="117" priority="8" operator="equal">
      <formula>"NG"</formula>
    </cfRule>
  </conditionalFormatting>
  <conditionalFormatting sqref="N227">
    <cfRule type="cellIs" dxfId="116" priority="7" operator="equal">
      <formula>"NG"</formula>
    </cfRule>
  </conditionalFormatting>
  <conditionalFormatting sqref="I232:J232">
    <cfRule type="cellIs" dxfId="115" priority="1" operator="equal">
      <formula>"NG"</formula>
    </cfRule>
  </conditionalFormatting>
  <pageMargins left="0.47244094488188981" right="0.39370078740157483" top="0.74803149606299213" bottom="0.74803149606299213" header="0.31496062992125984" footer="0.31496062992125984"/>
  <pageSetup paperSize="9" orientation="portrait" r:id="rId1"/>
  <rowBreaks count="14" manualBreakCount="14">
    <brk id="26" max="16383" man="1"/>
    <brk id="90" max="16383" man="1"/>
    <brk id="95" max="16383" man="1"/>
    <brk id="101" max="16383" man="1"/>
    <brk id="183" max="16383" man="1"/>
    <brk id="188" max="16383" man="1"/>
    <brk id="193" max="16383" man="1"/>
    <brk id="198" max="16383" man="1"/>
    <brk id="203" max="16383" man="1"/>
    <brk id="214" max="16383" man="1"/>
    <brk id="234" max="16383" man="1"/>
    <brk id="282" max="16383" man="1"/>
    <brk id="288" max="16383" man="1"/>
    <brk id="308" max="16383" man="1"/>
  </rowBreaks>
  <colBreaks count="1" manualBreakCount="1">
    <brk id="1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8641-03C5-4FD4-88C7-EDEE55C7A25F}">
  <dimension ref="A1:CJ534"/>
  <sheetViews>
    <sheetView showGridLines="0" topLeftCell="A190" zoomScaleNormal="100" zoomScaleSheetLayoutView="100" workbookViewId="0">
      <selection activeCell="F199" sqref="F199"/>
    </sheetView>
  </sheetViews>
  <sheetFormatPr defaultRowHeight="15" customHeight="1"/>
  <cols>
    <col min="1" max="13" width="6" customWidth="1"/>
    <col min="14" max="14" width="6" style="64" customWidth="1"/>
    <col min="15" max="15" width="5.7109375" style="306" customWidth="1"/>
    <col min="16" max="16" width="9" style="368"/>
  </cols>
  <sheetData>
    <row r="1" spans="1:16" s="215" customFormat="1" ht="15" customHeight="1">
      <c r="A1" s="213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4"/>
      <c r="M1" s="213"/>
      <c r="N1" s="213"/>
      <c r="O1" s="284"/>
      <c r="P1" s="367"/>
    </row>
    <row r="2" spans="1:16" s="215" customFormat="1" ht="15" customHeight="1">
      <c r="A2" s="216"/>
      <c r="B2" s="217">
        <v>7</v>
      </c>
      <c r="C2" s="218" t="s">
        <v>0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84"/>
      <c r="P2" s="367"/>
    </row>
    <row r="3" spans="1:16" s="215" customFormat="1" ht="15" customHeight="1">
      <c r="A3" s="220"/>
      <c r="B3" s="221"/>
      <c r="C3" s="221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22"/>
      <c r="O3" s="304"/>
      <c r="P3" s="367"/>
    </row>
    <row r="4" spans="1:16" s="215" customFormat="1" ht="15" customHeight="1">
      <c r="A4" s="223" t="s">
        <v>423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4"/>
      <c r="M4" s="213"/>
      <c r="N4" s="222"/>
      <c r="O4" s="305"/>
      <c r="P4" s="367"/>
    </row>
    <row r="5" spans="1:16" s="367" customFormat="1" ht="15" customHeight="1" thickBot="1">
      <c r="A5" s="361"/>
      <c r="B5" s="362"/>
      <c r="C5" s="362"/>
      <c r="D5" s="362"/>
      <c r="E5" s="362"/>
      <c r="F5" s="363"/>
      <c r="G5" s="364"/>
      <c r="H5" s="362"/>
      <c r="I5" s="362"/>
      <c r="J5" s="362"/>
      <c r="K5" s="362"/>
      <c r="L5" s="365"/>
      <c r="M5" s="362"/>
      <c r="N5" s="366"/>
      <c r="O5" s="305"/>
    </row>
    <row r="6" spans="1:16" s="213" customFormat="1" ht="15" customHeight="1">
      <c r="A6" s="225"/>
      <c r="B6" s="226" t="s">
        <v>424</v>
      </c>
      <c r="C6" s="227"/>
      <c r="D6" s="227"/>
      <c r="E6" s="227"/>
      <c r="F6" s="227"/>
      <c r="G6" s="227"/>
      <c r="H6" s="228"/>
      <c r="I6" s="227"/>
      <c r="J6" s="227"/>
      <c r="K6" s="227"/>
      <c r="L6" s="229"/>
      <c r="O6" s="305"/>
      <c r="P6" s="362"/>
    </row>
    <row r="7" spans="1:16" s="213" customFormat="1" ht="15" customHeight="1">
      <c r="A7" s="225"/>
      <c r="B7" s="230"/>
      <c r="F7" s="231"/>
      <c r="G7" s="232" t="s">
        <v>425</v>
      </c>
      <c r="H7" s="233"/>
      <c r="L7" s="234"/>
      <c r="N7" s="235" t="s">
        <v>426</v>
      </c>
      <c r="O7" s="284"/>
      <c r="P7" s="362"/>
    </row>
    <row r="8" spans="1:16" s="213" customFormat="1" ht="15" customHeight="1">
      <c r="A8" s="225"/>
      <c r="B8" s="236"/>
      <c r="C8" s="237"/>
      <c r="D8" s="237"/>
      <c r="E8" s="237"/>
      <c r="F8" s="237"/>
      <c r="G8" s="238"/>
      <c r="H8" s="239"/>
      <c r="I8" s="237"/>
      <c r="J8" s="237"/>
      <c r="K8" s="237"/>
      <c r="L8" s="240"/>
      <c r="N8" s="235"/>
      <c r="O8" s="284"/>
      <c r="P8" s="362"/>
    </row>
    <row r="9" spans="1:16" s="213" customFormat="1" ht="15" customHeight="1">
      <c r="A9" s="225"/>
      <c r="B9" s="241" t="s">
        <v>427</v>
      </c>
      <c r="G9" s="242"/>
      <c r="H9" s="214"/>
      <c r="L9" s="234"/>
      <c r="N9" s="235"/>
      <c r="O9" s="284"/>
      <c r="P9" s="362"/>
    </row>
    <row r="10" spans="1:16" s="213" customFormat="1" ht="15" customHeight="1">
      <c r="A10" s="225"/>
      <c r="B10" s="243"/>
      <c r="F10" s="231"/>
      <c r="G10" s="232" t="s">
        <v>428</v>
      </c>
      <c r="H10" s="233"/>
      <c r="L10" s="234"/>
      <c r="N10" s="235" t="s">
        <v>429</v>
      </c>
      <c r="O10" s="284"/>
      <c r="P10" s="362"/>
    </row>
    <row r="11" spans="1:16" s="213" customFormat="1" ht="15" customHeight="1">
      <c r="A11" s="225"/>
      <c r="B11" s="244"/>
      <c r="F11" s="231"/>
      <c r="G11" s="232" t="s">
        <v>430</v>
      </c>
      <c r="H11" s="233"/>
      <c r="L11" s="234"/>
      <c r="N11" s="235"/>
      <c r="O11" s="284"/>
      <c r="P11" s="362"/>
    </row>
    <row r="12" spans="1:16" s="213" customFormat="1" ht="15" customHeight="1">
      <c r="A12" s="225"/>
      <c r="B12" s="245"/>
      <c r="C12" s="237"/>
      <c r="D12" s="237"/>
      <c r="E12" s="237"/>
      <c r="F12" s="246"/>
      <c r="G12" s="238"/>
      <c r="H12" s="247"/>
      <c r="I12" s="237"/>
      <c r="J12" s="237"/>
      <c r="K12" s="237"/>
      <c r="L12" s="240"/>
      <c r="N12" s="235"/>
      <c r="O12" s="284"/>
      <c r="P12" s="362"/>
    </row>
    <row r="13" spans="1:16" s="213" customFormat="1" ht="15" customHeight="1">
      <c r="A13" s="225"/>
      <c r="B13" s="248" t="s">
        <v>431</v>
      </c>
      <c r="E13" s="231"/>
      <c r="F13" s="231"/>
      <c r="H13" s="233"/>
      <c r="L13" s="234"/>
      <c r="N13" s="235" t="s">
        <v>432</v>
      </c>
      <c r="O13" s="284"/>
      <c r="P13" s="362"/>
    </row>
    <row r="14" spans="1:16" s="213" customFormat="1" ht="15" customHeight="1">
      <c r="A14" s="225"/>
      <c r="B14" s="248" t="s">
        <v>433</v>
      </c>
      <c r="G14" s="232" t="s">
        <v>434</v>
      </c>
      <c r="H14" s="214"/>
      <c r="L14" s="234"/>
      <c r="N14" s="235" t="s">
        <v>435</v>
      </c>
      <c r="O14" s="284"/>
      <c r="P14" s="362"/>
    </row>
    <row r="15" spans="1:16" s="213" customFormat="1" ht="15" customHeight="1">
      <c r="A15" s="225"/>
      <c r="B15" s="249" t="s">
        <v>436</v>
      </c>
      <c r="E15" s="231"/>
      <c r="F15" s="231"/>
      <c r="G15" s="232" t="s">
        <v>437</v>
      </c>
      <c r="H15" s="233"/>
      <c r="L15" s="234"/>
      <c r="N15" s="235"/>
      <c r="O15" s="284"/>
      <c r="P15" s="362"/>
    </row>
    <row r="16" spans="1:16" s="213" customFormat="1" ht="15" customHeight="1">
      <c r="A16" s="225"/>
      <c r="B16" s="244"/>
      <c r="E16" s="231"/>
      <c r="F16" s="231"/>
      <c r="G16" s="232"/>
      <c r="H16" s="233"/>
      <c r="L16" s="234"/>
      <c r="N16" s="235"/>
      <c r="O16" s="284"/>
      <c r="P16" s="362"/>
    </row>
    <row r="17" spans="1:16" s="213" customFormat="1" ht="15" customHeight="1">
      <c r="A17" s="225"/>
      <c r="B17" s="250"/>
      <c r="C17" s="237"/>
      <c r="D17" s="237"/>
      <c r="E17" s="237"/>
      <c r="F17" s="237"/>
      <c r="G17" s="238"/>
      <c r="H17" s="239"/>
      <c r="I17" s="237"/>
      <c r="J17" s="237"/>
      <c r="K17" s="237"/>
      <c r="L17" s="240"/>
      <c r="N17" s="235"/>
      <c r="O17" s="284"/>
      <c r="P17" s="362"/>
    </row>
    <row r="18" spans="1:16" s="213" customFormat="1" ht="15" customHeight="1">
      <c r="A18" s="225"/>
      <c r="B18" s="241" t="s">
        <v>438</v>
      </c>
      <c r="G18" s="232"/>
      <c r="H18" s="214"/>
      <c r="L18" s="234"/>
      <c r="N18" s="235"/>
      <c r="O18" s="284"/>
      <c r="P18" s="362"/>
    </row>
    <row r="19" spans="1:16" s="213" customFormat="1" ht="15" customHeight="1">
      <c r="A19" s="225"/>
      <c r="B19" s="243"/>
      <c r="F19" s="231"/>
      <c r="G19" s="232" t="s">
        <v>439</v>
      </c>
      <c r="H19" s="233"/>
      <c r="L19" s="234"/>
      <c r="N19" s="235" t="s">
        <v>440</v>
      </c>
      <c r="O19" s="284"/>
      <c r="P19" s="362"/>
    </row>
    <row r="20" spans="1:16" s="213" customFormat="1" ht="15" customHeight="1">
      <c r="A20" s="225"/>
      <c r="B20" s="250"/>
      <c r="C20" s="237"/>
      <c r="D20" s="237"/>
      <c r="E20" s="237"/>
      <c r="F20" s="237"/>
      <c r="G20" s="238"/>
      <c r="H20" s="239"/>
      <c r="I20" s="237"/>
      <c r="J20" s="237"/>
      <c r="K20" s="237"/>
      <c r="L20" s="240"/>
      <c r="N20" s="235"/>
      <c r="O20" s="284"/>
      <c r="P20" s="362"/>
    </row>
    <row r="21" spans="1:16" s="213" customFormat="1" ht="15" customHeight="1">
      <c r="A21" s="225"/>
      <c r="B21" s="249" t="s">
        <v>441</v>
      </c>
      <c r="G21" s="232"/>
      <c r="H21" s="214"/>
      <c r="L21" s="234"/>
      <c r="N21" s="235"/>
      <c r="O21" s="284"/>
      <c r="P21" s="362"/>
    </row>
    <row r="22" spans="1:16" s="213" customFormat="1" ht="15" customHeight="1">
      <c r="A22" s="225"/>
      <c r="B22" s="244"/>
      <c r="F22" s="231"/>
      <c r="G22" s="232" t="s">
        <v>442</v>
      </c>
      <c r="H22" s="233"/>
      <c r="L22" s="234"/>
      <c r="N22" s="235" t="s">
        <v>443</v>
      </c>
      <c r="O22" s="284"/>
      <c r="P22" s="362"/>
    </row>
    <row r="23" spans="1:16" s="213" customFormat="1" ht="15" customHeight="1" thickBot="1">
      <c r="A23" s="225"/>
      <c r="B23" s="251"/>
      <c r="C23" s="252"/>
      <c r="D23" s="252"/>
      <c r="E23" s="252"/>
      <c r="F23" s="253"/>
      <c r="G23" s="252"/>
      <c r="H23" s="254"/>
      <c r="I23" s="252"/>
      <c r="J23" s="252"/>
      <c r="K23" s="252"/>
      <c r="L23" s="255"/>
      <c r="O23" s="284"/>
      <c r="P23" s="362"/>
    </row>
    <row r="24" spans="1:16" s="367" customFormat="1" ht="15" customHeight="1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6"/>
      <c r="O24" s="284"/>
    </row>
    <row r="25" spans="1:16" s="213" customFormat="1" ht="15" customHeight="1">
      <c r="A25" s="225"/>
      <c r="B25" s="256"/>
      <c r="G25" s="257"/>
      <c r="L25" s="214"/>
      <c r="O25" s="284"/>
      <c r="P25" s="362"/>
    </row>
    <row r="26" spans="1:16" s="213" customFormat="1" ht="15" customHeight="1">
      <c r="A26" s="225"/>
      <c r="B26" s="256"/>
      <c r="G26" s="257"/>
      <c r="L26" s="214"/>
      <c r="O26" s="284"/>
      <c r="P26" s="362"/>
    </row>
    <row r="27" spans="1:16" s="213" customFormat="1" ht="15" customHeight="1">
      <c r="A27" s="225"/>
      <c r="B27" s="256"/>
      <c r="G27" s="257"/>
      <c r="L27" s="214"/>
      <c r="O27" s="284"/>
      <c r="P27" s="362"/>
    </row>
    <row r="28" spans="1:16" s="213" customFormat="1" ht="15" customHeight="1">
      <c r="A28" s="225"/>
      <c r="B28" s="256"/>
      <c r="G28" s="257"/>
      <c r="L28" s="214"/>
      <c r="O28" s="284"/>
      <c r="P28" s="362"/>
    </row>
    <row r="29" spans="1:16" s="213" customFormat="1" ht="15" customHeight="1">
      <c r="A29" s="225"/>
      <c r="B29" s="256"/>
      <c r="G29" s="257"/>
      <c r="K29" s="385" t="s">
        <v>937</v>
      </c>
      <c r="O29" s="284"/>
      <c r="P29" s="362"/>
    </row>
    <row r="30" spans="1:16" s="213" customFormat="1" ht="15" customHeight="1">
      <c r="A30" s="225"/>
      <c r="B30" s="256"/>
      <c r="G30" s="257"/>
      <c r="K30" s="213" t="s">
        <v>936</v>
      </c>
      <c r="O30" s="284"/>
      <c r="P30" s="362"/>
    </row>
    <row r="31" spans="1:16" s="213" customFormat="1" ht="15" customHeight="1">
      <c r="A31" s="225"/>
      <c r="B31" s="256"/>
      <c r="G31" s="257"/>
      <c r="K31" s="213" t="s">
        <v>938</v>
      </c>
      <c r="O31" s="284"/>
      <c r="P31" s="362"/>
    </row>
    <row r="32" spans="1:16" s="213" customFormat="1" ht="15" customHeight="1">
      <c r="A32" s="225"/>
      <c r="B32" s="256"/>
      <c r="G32" s="257"/>
      <c r="K32" s="213" t="s">
        <v>939</v>
      </c>
      <c r="O32" s="284"/>
      <c r="P32" s="362"/>
    </row>
    <row r="33" spans="1:16" s="213" customFormat="1" ht="15" customHeight="1">
      <c r="A33" s="225"/>
      <c r="B33" s="256"/>
      <c r="G33" s="257"/>
      <c r="K33" s="213" t="s">
        <v>940</v>
      </c>
      <c r="O33" s="284"/>
      <c r="P33" s="362"/>
    </row>
    <row r="34" spans="1:16" s="213" customFormat="1" ht="15" customHeight="1">
      <c r="A34" s="225"/>
      <c r="B34" s="256"/>
      <c r="G34" s="257"/>
      <c r="L34" s="214"/>
      <c r="O34" s="284"/>
      <c r="P34" s="362"/>
    </row>
    <row r="35" spans="1:16" s="213" customFormat="1" ht="15" customHeight="1">
      <c r="A35" s="225"/>
      <c r="B35" s="256"/>
      <c r="G35" s="257"/>
      <c r="L35" s="214"/>
      <c r="O35" s="284"/>
      <c r="P35" s="362"/>
    </row>
    <row r="36" spans="1:16" s="213" customFormat="1" ht="15" customHeight="1">
      <c r="A36" s="225"/>
      <c r="B36" s="256"/>
      <c r="G36" s="257"/>
      <c r="L36" s="214"/>
      <c r="O36" s="284"/>
      <c r="P36" s="362"/>
    </row>
    <row r="37" spans="1:16" s="213" customFormat="1" ht="15" customHeight="1">
      <c r="B37" s="256"/>
      <c r="G37" s="257"/>
      <c r="L37" s="214"/>
      <c r="O37" s="284"/>
      <c r="P37" s="362"/>
    </row>
    <row r="38" spans="1:16" s="213" customFormat="1" ht="15" customHeight="1">
      <c r="A38" s="36" t="s">
        <v>658</v>
      </c>
      <c r="B38" s="258"/>
      <c r="G38" s="259"/>
      <c r="H38" s="259"/>
      <c r="I38" s="259"/>
      <c r="L38" s="214"/>
      <c r="N38" s="235" t="s">
        <v>444</v>
      </c>
      <c r="O38" s="284"/>
      <c r="P38" s="362"/>
    </row>
    <row r="39" spans="1:16" s="213" customFormat="1" ht="15" customHeight="1">
      <c r="A39" s="225"/>
      <c r="B39" s="258"/>
      <c r="G39" s="259"/>
      <c r="H39" s="259"/>
      <c r="I39" s="259"/>
      <c r="L39" s="214"/>
      <c r="N39" s="233"/>
      <c r="O39" s="284"/>
      <c r="P39" s="362"/>
    </row>
    <row r="40" spans="1:16" s="213" customFormat="1" ht="15" customHeight="1">
      <c r="G40" s="259"/>
      <c r="H40" s="259"/>
      <c r="I40" s="259"/>
      <c r="L40" s="214"/>
      <c r="O40" s="284"/>
      <c r="P40" s="362"/>
    </row>
    <row r="41" spans="1:16" s="213" customFormat="1" ht="15" customHeight="1">
      <c r="G41" s="259"/>
      <c r="H41" s="259"/>
      <c r="I41" s="259"/>
      <c r="L41" s="214"/>
      <c r="O41" s="284"/>
      <c r="P41" s="362"/>
    </row>
    <row r="42" spans="1:16" s="213" customFormat="1" ht="15" customHeight="1">
      <c r="G42" s="259"/>
      <c r="H42" s="259"/>
      <c r="I42" s="259"/>
      <c r="L42" s="214"/>
      <c r="O42" s="284"/>
      <c r="P42" s="362"/>
    </row>
    <row r="43" spans="1:16" s="213" customFormat="1" ht="15" customHeight="1">
      <c r="G43" s="259"/>
      <c r="H43" s="259"/>
      <c r="I43" s="259"/>
      <c r="L43" s="214"/>
      <c r="O43" s="284"/>
      <c r="P43" s="362"/>
    </row>
    <row r="44" spans="1:16" s="213" customFormat="1" ht="15" customHeight="1">
      <c r="G44" s="259"/>
      <c r="H44" s="259"/>
      <c r="I44" s="259"/>
      <c r="L44" s="214"/>
      <c r="O44" s="284"/>
      <c r="P44" s="362"/>
    </row>
    <row r="45" spans="1:16" s="213" customFormat="1" ht="15" customHeight="1">
      <c r="G45" s="259"/>
      <c r="H45" s="259"/>
      <c r="I45" s="259"/>
      <c r="L45" s="214"/>
      <c r="O45" s="284"/>
      <c r="P45" s="362"/>
    </row>
    <row r="46" spans="1:16" s="213" customFormat="1" ht="15" customHeight="1">
      <c r="G46" s="259"/>
      <c r="H46" s="259"/>
      <c r="I46" s="259"/>
      <c r="L46" s="214"/>
      <c r="O46" s="284"/>
      <c r="P46" s="362"/>
    </row>
    <row r="47" spans="1:16" s="213" customFormat="1" ht="15" customHeight="1">
      <c r="G47" s="259"/>
      <c r="H47" s="259"/>
      <c r="I47" s="259"/>
      <c r="L47" s="214"/>
      <c r="O47" s="284"/>
      <c r="P47" s="362"/>
    </row>
    <row r="48" spans="1:16" s="213" customFormat="1" ht="15" customHeight="1">
      <c r="G48" s="259"/>
      <c r="H48" s="259"/>
      <c r="I48" s="259"/>
      <c r="L48" s="214"/>
      <c r="O48" s="284"/>
      <c r="P48" s="362"/>
    </row>
    <row r="49" spans="2:16" s="213" customFormat="1" ht="15" customHeight="1">
      <c r="G49" s="259"/>
      <c r="H49" s="259"/>
      <c r="I49" s="259"/>
      <c r="L49" s="214"/>
      <c r="O49" s="284"/>
      <c r="P49" s="362"/>
    </row>
    <row r="50" spans="2:16" s="213" customFormat="1" ht="15" customHeight="1">
      <c r="G50" s="259"/>
      <c r="H50" s="259"/>
      <c r="I50" s="259"/>
      <c r="L50" s="214"/>
      <c r="O50" s="284"/>
      <c r="P50" s="362"/>
    </row>
    <row r="51" spans="2:16" s="213" customFormat="1" ht="15" customHeight="1">
      <c r="G51" s="259"/>
      <c r="H51" s="259"/>
      <c r="I51" s="259"/>
      <c r="L51" s="214"/>
      <c r="O51" s="284"/>
      <c r="P51" s="362"/>
    </row>
    <row r="52" spans="2:16" s="213" customFormat="1" ht="15" customHeight="1">
      <c r="B52" s="213" t="s">
        <v>445</v>
      </c>
      <c r="C52" s="231" t="s">
        <v>146</v>
      </c>
      <c r="D52" s="213" t="s">
        <v>446</v>
      </c>
      <c r="F52" s="213" t="s">
        <v>447</v>
      </c>
      <c r="L52" s="214"/>
      <c r="O52" s="284"/>
      <c r="P52" s="362"/>
    </row>
    <row r="53" spans="2:16" s="213" customFormat="1" ht="15" customHeight="1">
      <c r="B53" s="213" t="s">
        <v>448</v>
      </c>
      <c r="C53" s="231" t="s">
        <v>146</v>
      </c>
      <c r="D53" s="213" t="s">
        <v>449</v>
      </c>
      <c r="F53" s="213" t="s">
        <v>450</v>
      </c>
      <c r="L53" s="214"/>
      <c r="O53" s="284"/>
      <c r="P53" s="362"/>
    </row>
    <row r="54" spans="2:16" s="213" customFormat="1" ht="15" customHeight="1">
      <c r="B54" s="213" t="s">
        <v>451</v>
      </c>
      <c r="C54" s="231" t="s">
        <v>146</v>
      </c>
      <c r="D54" s="213" t="s">
        <v>452</v>
      </c>
      <c r="F54" s="213" t="s">
        <v>453</v>
      </c>
      <c r="L54" s="214"/>
      <c r="O54" s="284"/>
      <c r="P54" s="362"/>
    </row>
    <row r="55" spans="2:16" s="213" customFormat="1" ht="15" customHeight="1">
      <c r="B55" s="213" t="s">
        <v>454</v>
      </c>
      <c r="C55" s="231" t="s">
        <v>146</v>
      </c>
      <c r="D55" s="213" t="s">
        <v>455</v>
      </c>
      <c r="F55" s="213" t="s">
        <v>456</v>
      </c>
      <c r="L55" s="214"/>
      <c r="O55" s="284"/>
      <c r="P55" s="362"/>
    </row>
    <row r="56" spans="2:16" s="213" customFormat="1" ht="15" customHeight="1">
      <c r="B56" s="213" t="s">
        <v>457</v>
      </c>
      <c r="C56" s="231" t="s">
        <v>146</v>
      </c>
      <c r="D56" s="213" t="s">
        <v>458</v>
      </c>
      <c r="F56" s="213" t="s">
        <v>459</v>
      </c>
      <c r="L56" s="214"/>
      <c r="O56" s="284"/>
      <c r="P56" s="362"/>
    </row>
    <row r="57" spans="2:16" s="213" customFormat="1" ht="15" customHeight="1">
      <c r="B57" s="213" t="s">
        <v>460</v>
      </c>
      <c r="C57" s="231" t="s">
        <v>146</v>
      </c>
      <c r="D57" s="213" t="s">
        <v>461</v>
      </c>
      <c r="F57" s="213" t="s">
        <v>462</v>
      </c>
      <c r="L57" s="214"/>
      <c r="O57" s="284"/>
      <c r="P57" s="362"/>
    </row>
    <row r="58" spans="2:16" s="213" customFormat="1" ht="15" customHeight="1">
      <c r="B58" s="213" t="s">
        <v>463</v>
      </c>
      <c r="C58" s="231" t="s">
        <v>146</v>
      </c>
      <c r="D58" s="213" t="s">
        <v>464</v>
      </c>
      <c r="F58" s="213" t="s">
        <v>465</v>
      </c>
      <c r="L58" s="214"/>
      <c r="O58" s="284"/>
      <c r="P58" s="362"/>
    </row>
    <row r="59" spans="2:16" s="213" customFormat="1" ht="15" customHeight="1">
      <c r="B59" s="213" t="s">
        <v>466</v>
      </c>
      <c r="C59" s="231" t="s">
        <v>146</v>
      </c>
      <c r="D59" s="213" t="s">
        <v>467</v>
      </c>
      <c r="F59" s="213" t="s">
        <v>468</v>
      </c>
      <c r="L59" s="214"/>
      <c r="O59" s="284"/>
      <c r="P59" s="362"/>
    </row>
    <row r="60" spans="2:16" s="213" customFormat="1" ht="15" customHeight="1">
      <c r="B60" s="213" t="s">
        <v>469</v>
      </c>
      <c r="C60" s="231" t="s">
        <v>146</v>
      </c>
      <c r="D60" s="213" t="s">
        <v>470</v>
      </c>
      <c r="F60" s="213" t="s">
        <v>471</v>
      </c>
      <c r="L60" s="214"/>
      <c r="O60" s="284"/>
      <c r="P60" s="362"/>
    </row>
    <row r="61" spans="2:16" s="213" customFormat="1" ht="15" customHeight="1">
      <c r="B61" s="213" t="s">
        <v>472</v>
      </c>
      <c r="C61" s="231" t="s">
        <v>146</v>
      </c>
      <c r="F61" s="213" t="s">
        <v>473</v>
      </c>
      <c r="L61" s="214"/>
      <c r="O61" s="284"/>
      <c r="P61" s="362"/>
    </row>
    <row r="62" spans="2:16" s="213" customFormat="1" ht="15" customHeight="1">
      <c r="B62" s="213" t="s">
        <v>474</v>
      </c>
      <c r="C62" s="231" t="s">
        <v>146</v>
      </c>
      <c r="F62" s="213" t="s">
        <v>475</v>
      </c>
      <c r="L62" s="214"/>
      <c r="O62" s="284"/>
      <c r="P62" s="362"/>
    </row>
    <row r="63" spans="2:16" s="213" customFormat="1" ht="15" customHeight="1">
      <c r="B63" s="213" t="s">
        <v>229</v>
      </c>
      <c r="C63" s="231" t="s">
        <v>146</v>
      </c>
      <c r="F63" s="213" t="s">
        <v>476</v>
      </c>
      <c r="L63" s="214"/>
      <c r="O63" s="284"/>
      <c r="P63" s="362"/>
    </row>
    <row r="64" spans="2:16" s="213" customFormat="1" ht="15" customHeight="1">
      <c r="B64" s="213" t="s">
        <v>477</v>
      </c>
      <c r="C64" s="231" t="s">
        <v>146</v>
      </c>
      <c r="F64" s="213" t="s">
        <v>478</v>
      </c>
      <c r="L64" s="214"/>
      <c r="O64" s="284"/>
      <c r="P64" s="362"/>
    </row>
    <row r="65" spans="2:16" s="213" customFormat="1" ht="15" customHeight="1">
      <c r="B65" s="213" t="s">
        <v>479</v>
      </c>
      <c r="C65" s="231" t="s">
        <v>146</v>
      </c>
      <c r="F65" s="213" t="s">
        <v>726</v>
      </c>
      <c r="L65" s="214"/>
      <c r="O65" s="284"/>
      <c r="P65" s="362"/>
    </row>
    <row r="66" spans="2:16" s="213" customFormat="1" ht="15" customHeight="1">
      <c r="B66" s="213" t="s">
        <v>480</v>
      </c>
      <c r="C66" s="231" t="s">
        <v>146</v>
      </c>
      <c r="F66" s="213" t="s">
        <v>481</v>
      </c>
      <c r="L66" s="214"/>
      <c r="O66" s="284"/>
      <c r="P66" s="362"/>
    </row>
    <row r="67" spans="2:16" s="213" customFormat="1" ht="15" customHeight="1">
      <c r="B67" s="213" t="s">
        <v>482</v>
      </c>
      <c r="C67" s="231" t="s">
        <v>146</v>
      </c>
      <c r="D67" s="213" t="s">
        <v>483</v>
      </c>
      <c r="F67" s="213" t="s">
        <v>484</v>
      </c>
      <c r="L67" s="214"/>
      <c r="O67" s="284"/>
      <c r="P67" s="362"/>
    </row>
    <row r="68" spans="2:16" s="213" customFormat="1" ht="15" customHeight="1">
      <c r="C68" s="231"/>
      <c r="L68" s="214"/>
      <c r="O68" s="284"/>
      <c r="P68" s="362"/>
    </row>
    <row r="69" spans="2:16" s="213" customFormat="1" ht="15" customHeight="1">
      <c r="H69" s="259"/>
      <c r="I69" s="259"/>
      <c r="L69" s="214"/>
      <c r="O69" s="284"/>
      <c r="P69" s="362"/>
    </row>
    <row r="70" spans="2:16" s="213" customFormat="1" ht="15" customHeight="1">
      <c r="C70" s="231"/>
      <c r="H70" s="259"/>
      <c r="I70" s="259"/>
      <c r="L70" s="214"/>
      <c r="O70" s="284"/>
      <c r="P70" s="362"/>
    </row>
    <row r="71" spans="2:16" s="213" customFormat="1" ht="15" customHeight="1">
      <c r="C71" s="231"/>
      <c r="H71" s="259"/>
      <c r="I71" s="259"/>
      <c r="L71" s="214"/>
      <c r="O71" s="284"/>
      <c r="P71" s="362"/>
    </row>
    <row r="72" spans="2:16" s="213" customFormat="1" ht="15" customHeight="1">
      <c r="C72" s="231"/>
      <c r="H72" s="259"/>
      <c r="I72" s="259"/>
      <c r="L72" s="214"/>
      <c r="O72" s="284"/>
      <c r="P72" s="362"/>
    </row>
    <row r="73" spans="2:16" s="213" customFormat="1" ht="15" customHeight="1">
      <c r="C73" s="231"/>
      <c r="H73" s="259"/>
      <c r="I73" s="259"/>
      <c r="L73" s="214"/>
      <c r="O73" s="284"/>
      <c r="P73" s="362"/>
    </row>
    <row r="74" spans="2:16" s="213" customFormat="1" ht="15" customHeight="1">
      <c r="C74" s="231"/>
      <c r="H74" s="259"/>
      <c r="I74" s="259"/>
      <c r="L74" s="214"/>
      <c r="O74" s="284"/>
      <c r="P74" s="362"/>
    </row>
    <row r="75" spans="2:16" s="213" customFormat="1" ht="15" customHeight="1">
      <c r="C75" s="231"/>
      <c r="H75" s="259"/>
      <c r="I75" s="259"/>
      <c r="L75" s="214"/>
      <c r="O75" s="284"/>
      <c r="P75" s="362"/>
    </row>
    <row r="76" spans="2:16" s="213" customFormat="1" ht="15" customHeight="1">
      <c r="C76" s="231"/>
      <c r="H76" s="260"/>
      <c r="I76" s="259"/>
      <c r="L76" s="214"/>
      <c r="O76" s="284"/>
      <c r="P76" s="362"/>
    </row>
    <row r="77" spans="2:16" s="213" customFormat="1" ht="15" customHeight="1">
      <c r="C77" s="231"/>
      <c r="H77" s="259"/>
      <c r="I77" s="259"/>
      <c r="L77" s="214"/>
      <c r="O77" s="284"/>
      <c r="P77" s="362"/>
    </row>
    <row r="78" spans="2:16" s="213" customFormat="1" ht="15" customHeight="1">
      <c r="C78" s="231"/>
      <c r="H78" s="259"/>
      <c r="I78" s="259"/>
      <c r="L78" s="214"/>
      <c r="O78" s="284"/>
      <c r="P78" s="362"/>
    </row>
    <row r="79" spans="2:16" s="213" customFormat="1" ht="15" customHeight="1">
      <c r="C79" s="231"/>
      <c r="H79" s="259"/>
      <c r="I79" s="259"/>
      <c r="L79" s="214"/>
      <c r="O79" s="284"/>
      <c r="P79" s="362"/>
    </row>
    <row r="80" spans="2:16" s="213" customFormat="1" ht="15" customHeight="1">
      <c r="C80" s="231"/>
      <c r="H80" s="259"/>
      <c r="I80" s="259"/>
      <c r="L80" s="214"/>
      <c r="O80" s="284"/>
      <c r="P80" s="362"/>
    </row>
    <row r="81" spans="1:16" s="213" customFormat="1" ht="15" customHeight="1">
      <c r="B81" s="232" t="s">
        <v>485</v>
      </c>
      <c r="C81" s="231"/>
      <c r="H81" s="259"/>
      <c r="I81" s="259"/>
      <c r="L81" s="214"/>
      <c r="O81" s="284"/>
      <c r="P81" s="362"/>
    </row>
    <row r="82" spans="1:16" s="213" customFormat="1" ht="15" customHeight="1">
      <c r="A82" s="261" t="s">
        <v>65</v>
      </c>
      <c r="B82" s="232" t="s">
        <v>486</v>
      </c>
      <c r="O82" s="284"/>
      <c r="P82" s="362"/>
    </row>
    <row r="83" spans="1:16" s="213" customFormat="1" ht="20.100000000000001" customHeight="1">
      <c r="A83" s="262"/>
      <c r="B83" s="263" t="s">
        <v>487</v>
      </c>
      <c r="C83" s="263"/>
      <c r="D83" s="263"/>
      <c r="E83" s="263"/>
      <c r="F83" s="263" t="s">
        <v>488</v>
      </c>
      <c r="G83" s="264"/>
      <c r="H83" s="263"/>
      <c r="I83" s="263"/>
      <c r="J83" s="263"/>
      <c r="K83" s="263" t="s">
        <v>727</v>
      </c>
      <c r="L83" s="264"/>
      <c r="M83" s="264"/>
      <c r="N83" s="263"/>
      <c r="O83" s="284"/>
      <c r="P83" s="362"/>
    </row>
    <row r="84" spans="1:16" s="213" customFormat="1" ht="15" customHeight="1">
      <c r="A84" s="231" t="s">
        <v>489</v>
      </c>
      <c r="B84" s="213" t="s">
        <v>490</v>
      </c>
      <c r="K84" s="213" t="s">
        <v>491</v>
      </c>
      <c r="L84" s="214"/>
      <c r="O84" s="284"/>
      <c r="P84" s="362"/>
    </row>
    <row r="85" spans="1:16" s="213" customFormat="1" ht="15" customHeight="1">
      <c r="A85" s="213" t="s">
        <v>492</v>
      </c>
      <c r="B85" s="213" t="s">
        <v>493</v>
      </c>
      <c r="K85" s="213" t="s">
        <v>494</v>
      </c>
      <c r="L85" s="214"/>
      <c r="O85" s="284"/>
      <c r="P85" s="362"/>
    </row>
    <row r="86" spans="1:16" s="213" customFormat="1" ht="15" customHeight="1">
      <c r="A86" s="231"/>
      <c r="K86" s="213" t="s">
        <v>495</v>
      </c>
      <c r="L86" s="214"/>
      <c r="O86" s="284"/>
      <c r="P86" s="362"/>
    </row>
    <row r="87" spans="1:16" s="213" customFormat="1" ht="15" customHeight="1">
      <c r="A87" s="231" t="s">
        <v>496</v>
      </c>
      <c r="B87" s="231" t="s">
        <v>1079</v>
      </c>
      <c r="K87" s="213" t="s">
        <v>497</v>
      </c>
      <c r="L87" s="214"/>
      <c r="O87" s="284"/>
      <c r="P87" s="362"/>
    </row>
    <row r="88" spans="1:16" s="213" customFormat="1" ht="15" customHeight="1">
      <c r="A88" s="231"/>
      <c r="K88" s="213" t="s">
        <v>498</v>
      </c>
      <c r="L88" s="214"/>
      <c r="O88" s="284"/>
      <c r="P88" s="362"/>
    </row>
    <row r="89" spans="1:16" s="213" customFormat="1" ht="15" customHeight="1">
      <c r="A89" s="231" t="s">
        <v>499</v>
      </c>
      <c r="B89" s="231" t="s">
        <v>500</v>
      </c>
      <c r="K89" s="213" t="s">
        <v>501</v>
      </c>
      <c r="L89" s="214"/>
      <c r="O89" s="284"/>
      <c r="P89" s="362"/>
    </row>
    <row r="90" spans="1:16" s="213" customFormat="1" ht="15" customHeight="1">
      <c r="A90" s="231"/>
      <c r="B90" s="231" t="s">
        <v>502</v>
      </c>
      <c r="K90" s="213" t="s">
        <v>503</v>
      </c>
      <c r="L90" s="214"/>
      <c r="O90" s="284"/>
      <c r="P90" s="362"/>
    </row>
    <row r="91" spans="1:16" s="213" customFormat="1" ht="15" customHeight="1">
      <c r="A91" s="237"/>
      <c r="B91" s="237"/>
      <c r="C91" s="237"/>
      <c r="D91" s="237"/>
      <c r="E91" s="237"/>
      <c r="F91" s="237"/>
      <c r="G91" s="237"/>
      <c r="H91" s="237"/>
      <c r="I91" s="237"/>
      <c r="J91" s="237"/>
      <c r="K91" s="237" t="s">
        <v>504</v>
      </c>
      <c r="L91" s="239"/>
      <c r="M91" s="237"/>
      <c r="N91" s="237"/>
      <c r="O91" s="284"/>
      <c r="P91" s="362"/>
    </row>
    <row r="92" spans="1:16" s="213" customFormat="1" ht="15" customHeight="1">
      <c r="A92" s="231" t="s">
        <v>505</v>
      </c>
      <c r="B92" s="213" t="s">
        <v>506</v>
      </c>
      <c r="K92" s="213" t="s">
        <v>507</v>
      </c>
      <c r="L92" s="214"/>
      <c r="O92" s="284"/>
      <c r="P92" s="362"/>
    </row>
    <row r="93" spans="1:16" s="213" customFormat="1" ht="15" customHeight="1">
      <c r="A93" s="213" t="s">
        <v>492</v>
      </c>
      <c r="B93" s="213" t="s">
        <v>508</v>
      </c>
      <c r="K93" s="213" t="s">
        <v>509</v>
      </c>
      <c r="L93" s="214"/>
      <c r="O93" s="284"/>
      <c r="P93" s="362"/>
    </row>
    <row r="94" spans="1:16" s="213" customFormat="1" ht="15" customHeight="1">
      <c r="A94" s="231"/>
      <c r="K94" s="213" t="s">
        <v>510</v>
      </c>
      <c r="L94" s="214"/>
      <c r="O94" s="284"/>
      <c r="P94" s="362"/>
    </row>
    <row r="95" spans="1:16" s="213" customFormat="1" ht="15" customHeight="1">
      <c r="A95" s="231" t="s">
        <v>496</v>
      </c>
      <c r="B95" s="231" t="s">
        <v>511</v>
      </c>
      <c r="K95" s="213" t="s">
        <v>512</v>
      </c>
      <c r="L95" s="214"/>
      <c r="O95" s="284"/>
      <c r="P95" s="362"/>
    </row>
    <row r="96" spans="1:16" s="213" customFormat="1" ht="15" customHeight="1">
      <c r="A96" s="231"/>
      <c r="K96" s="213" t="s">
        <v>513</v>
      </c>
      <c r="L96" s="214"/>
      <c r="O96" s="284"/>
      <c r="P96" s="362"/>
    </row>
    <row r="97" spans="1:16" s="213" customFormat="1" ht="15" customHeight="1">
      <c r="A97" s="231" t="s">
        <v>499</v>
      </c>
      <c r="B97" s="231" t="s">
        <v>514</v>
      </c>
      <c r="K97" s="213" t="s">
        <v>515</v>
      </c>
      <c r="L97" s="214"/>
      <c r="O97" s="284"/>
      <c r="P97" s="362"/>
    </row>
    <row r="98" spans="1:16" s="213" customFormat="1" ht="15" customHeight="1">
      <c r="B98" s="231" t="s">
        <v>502</v>
      </c>
      <c r="K98" s="213" t="s">
        <v>516</v>
      </c>
      <c r="L98" s="214"/>
      <c r="O98" s="284"/>
      <c r="P98" s="362"/>
    </row>
    <row r="99" spans="1:16" s="213" customFormat="1" ht="15" customHeight="1">
      <c r="A99" s="237"/>
      <c r="B99" s="237"/>
      <c r="C99" s="237"/>
      <c r="D99" s="237"/>
      <c r="E99" s="237"/>
      <c r="F99" s="237"/>
      <c r="G99" s="237"/>
      <c r="H99" s="237"/>
      <c r="I99" s="237"/>
      <c r="J99" s="237"/>
      <c r="K99" s="237" t="s">
        <v>517</v>
      </c>
      <c r="L99" s="239"/>
      <c r="M99" s="237"/>
      <c r="N99" s="237"/>
      <c r="O99" s="284"/>
      <c r="P99" s="362"/>
    </row>
    <row r="100" spans="1:16" s="213" customFormat="1" ht="15" customHeight="1">
      <c r="A100" s="231" t="s">
        <v>518</v>
      </c>
      <c r="B100" s="213" t="s">
        <v>519</v>
      </c>
      <c r="K100" s="213" t="s">
        <v>520</v>
      </c>
      <c r="L100" s="214"/>
      <c r="O100" s="284"/>
      <c r="P100" s="362"/>
    </row>
    <row r="101" spans="1:16" s="213" customFormat="1" ht="15" customHeight="1">
      <c r="A101" s="213" t="s">
        <v>492</v>
      </c>
      <c r="B101" s="213" t="s">
        <v>521</v>
      </c>
      <c r="K101" s="213" t="s">
        <v>522</v>
      </c>
      <c r="L101" s="214"/>
      <c r="O101" s="284"/>
      <c r="P101" s="362"/>
    </row>
    <row r="102" spans="1:16" s="213" customFormat="1" ht="15" customHeight="1">
      <c r="A102" s="231"/>
      <c r="K102" s="213" t="s">
        <v>523</v>
      </c>
      <c r="L102" s="214"/>
      <c r="O102" s="284"/>
      <c r="P102" s="362"/>
    </row>
    <row r="103" spans="1:16" s="213" customFormat="1" ht="15" customHeight="1">
      <c r="A103" s="231" t="s">
        <v>496</v>
      </c>
      <c r="B103" s="231" t="s">
        <v>524</v>
      </c>
      <c r="K103" s="213" t="s">
        <v>525</v>
      </c>
      <c r="L103" s="214"/>
      <c r="O103" s="284"/>
      <c r="P103" s="362"/>
    </row>
    <row r="104" spans="1:16" s="213" customFormat="1" ht="15" customHeight="1">
      <c r="A104" s="231"/>
      <c r="K104" s="213" t="s">
        <v>526</v>
      </c>
      <c r="L104" s="214"/>
      <c r="O104" s="284"/>
      <c r="P104" s="362"/>
    </row>
    <row r="105" spans="1:16" s="213" customFormat="1" ht="15" customHeight="1">
      <c r="A105" s="231" t="s">
        <v>499</v>
      </c>
      <c r="B105" s="231" t="s">
        <v>527</v>
      </c>
      <c r="K105" s="213" t="s">
        <v>528</v>
      </c>
      <c r="L105" s="214"/>
      <c r="O105" s="284"/>
      <c r="P105" s="362"/>
    </row>
    <row r="106" spans="1:16" s="213" customFormat="1" ht="15" customHeight="1">
      <c r="B106" s="231" t="s">
        <v>502</v>
      </c>
      <c r="K106" s="213" t="s">
        <v>529</v>
      </c>
      <c r="L106" s="214"/>
      <c r="O106" s="284"/>
      <c r="P106" s="362"/>
    </row>
    <row r="107" spans="1:16" s="213" customFormat="1" ht="15" customHeight="1">
      <c r="A107" s="237"/>
      <c r="B107" s="237"/>
      <c r="C107" s="237"/>
      <c r="D107" s="237"/>
      <c r="E107" s="237"/>
      <c r="F107" s="237"/>
      <c r="G107" s="237"/>
      <c r="H107" s="237"/>
      <c r="I107" s="237"/>
      <c r="J107" s="237"/>
      <c r="K107" s="237" t="s">
        <v>530</v>
      </c>
      <c r="L107" s="239"/>
      <c r="M107" s="237"/>
      <c r="N107" s="237"/>
      <c r="O107" s="284"/>
      <c r="P107" s="362"/>
    </row>
    <row r="108" spans="1:16" s="213" customFormat="1" ht="15" customHeight="1">
      <c r="A108" s="231" t="s">
        <v>531</v>
      </c>
      <c r="B108" s="213" t="s">
        <v>532</v>
      </c>
      <c r="K108" s="213" t="s">
        <v>520</v>
      </c>
      <c r="L108" s="214"/>
      <c r="O108" s="284"/>
      <c r="P108" s="362"/>
    </row>
    <row r="109" spans="1:16" s="213" customFormat="1" ht="15" customHeight="1">
      <c r="A109" s="213" t="s">
        <v>492</v>
      </c>
      <c r="B109" s="213" t="s">
        <v>533</v>
      </c>
      <c r="K109" s="213" t="s">
        <v>522</v>
      </c>
      <c r="L109" s="214"/>
      <c r="O109" s="284"/>
      <c r="P109" s="362"/>
    </row>
    <row r="110" spans="1:16" s="213" customFormat="1" ht="15" customHeight="1">
      <c r="A110" s="231"/>
      <c r="K110" s="213" t="s">
        <v>523</v>
      </c>
      <c r="L110" s="214"/>
      <c r="O110" s="284"/>
      <c r="P110" s="362"/>
    </row>
    <row r="111" spans="1:16" s="213" customFormat="1" ht="15" customHeight="1">
      <c r="A111" s="231" t="s">
        <v>496</v>
      </c>
      <c r="B111" s="213" t="s">
        <v>534</v>
      </c>
      <c r="K111" s="213" t="s">
        <v>525</v>
      </c>
      <c r="L111" s="214"/>
      <c r="O111" s="284"/>
      <c r="P111" s="362"/>
    </row>
    <row r="112" spans="1:16" s="213" customFormat="1" ht="15" customHeight="1">
      <c r="A112" s="231"/>
      <c r="K112" s="213" t="s">
        <v>526</v>
      </c>
      <c r="L112" s="214"/>
      <c r="O112" s="284"/>
      <c r="P112" s="362"/>
    </row>
    <row r="113" spans="1:16" s="213" customFormat="1" ht="15" customHeight="1">
      <c r="A113" s="231" t="s">
        <v>499</v>
      </c>
      <c r="B113" s="231" t="s">
        <v>535</v>
      </c>
      <c r="K113" s="213" t="s">
        <v>529</v>
      </c>
      <c r="L113" s="214"/>
      <c r="O113" s="284"/>
      <c r="P113" s="362"/>
    </row>
    <row r="114" spans="1:16" s="213" customFormat="1" ht="15" customHeight="1">
      <c r="A114" s="237"/>
      <c r="B114" s="237"/>
      <c r="C114" s="237"/>
      <c r="D114" s="237"/>
      <c r="E114" s="237"/>
      <c r="F114" s="237"/>
      <c r="G114" s="237"/>
      <c r="H114" s="237"/>
      <c r="I114" s="237"/>
      <c r="J114" s="237"/>
      <c r="K114" s="237" t="s">
        <v>536</v>
      </c>
      <c r="L114" s="239"/>
      <c r="M114" s="237"/>
      <c r="N114" s="237"/>
      <c r="O114" s="284"/>
      <c r="P114" s="362"/>
    </row>
    <row r="115" spans="1:16" s="213" customFormat="1" ht="15" customHeight="1">
      <c r="A115" s="231" t="s">
        <v>537</v>
      </c>
      <c r="B115" s="213" t="s">
        <v>538</v>
      </c>
      <c r="K115" s="213" t="s">
        <v>520</v>
      </c>
      <c r="L115" s="214"/>
      <c r="O115" s="284"/>
      <c r="P115" s="362"/>
    </row>
    <row r="116" spans="1:16" s="213" customFormat="1" ht="15" customHeight="1">
      <c r="A116" s="213" t="s">
        <v>492</v>
      </c>
      <c r="B116" s="213" t="s">
        <v>539</v>
      </c>
      <c r="K116" s="213" t="s">
        <v>522</v>
      </c>
      <c r="L116" s="214"/>
      <c r="O116" s="284"/>
      <c r="P116" s="362"/>
    </row>
    <row r="117" spans="1:16" s="213" customFormat="1" ht="15" customHeight="1">
      <c r="A117" s="231"/>
      <c r="K117" s="213" t="s">
        <v>523</v>
      </c>
      <c r="L117" s="214"/>
      <c r="O117" s="284"/>
      <c r="P117" s="362"/>
    </row>
    <row r="118" spans="1:16" s="213" customFormat="1" ht="15" customHeight="1">
      <c r="A118" s="231" t="s">
        <v>496</v>
      </c>
      <c r="B118" s="231" t="s">
        <v>540</v>
      </c>
      <c r="K118" s="213" t="s">
        <v>526</v>
      </c>
      <c r="L118" s="214"/>
      <c r="O118" s="284"/>
      <c r="P118" s="362"/>
    </row>
    <row r="119" spans="1:16" s="213" customFormat="1" ht="15" customHeight="1">
      <c r="A119" s="231"/>
      <c r="K119" s="213" t="s">
        <v>541</v>
      </c>
      <c r="L119" s="214"/>
      <c r="O119" s="284"/>
      <c r="P119" s="362"/>
    </row>
    <row r="120" spans="1:16" s="213" customFormat="1" ht="15" customHeight="1">
      <c r="A120" s="231" t="s">
        <v>499</v>
      </c>
      <c r="B120" s="231" t="s">
        <v>527</v>
      </c>
      <c r="K120" s="213" t="s">
        <v>542</v>
      </c>
      <c r="L120" s="214"/>
      <c r="O120" s="284"/>
      <c r="P120" s="362"/>
    </row>
    <row r="121" spans="1:16" s="213" customFormat="1" ht="15" customHeight="1">
      <c r="A121" s="231"/>
      <c r="B121" s="231" t="s">
        <v>502</v>
      </c>
      <c r="K121" s="213" t="s">
        <v>529</v>
      </c>
      <c r="L121" s="214"/>
      <c r="O121" s="284"/>
      <c r="P121" s="362"/>
    </row>
    <row r="122" spans="1:16" s="213" customFormat="1" ht="15" customHeight="1">
      <c r="A122" s="237"/>
      <c r="B122" s="237"/>
      <c r="C122" s="237"/>
      <c r="D122" s="237"/>
      <c r="E122" s="237"/>
      <c r="F122" s="237"/>
      <c r="G122" s="237"/>
      <c r="H122" s="237"/>
      <c r="I122" s="237"/>
      <c r="J122" s="237"/>
      <c r="K122" s="237" t="s">
        <v>530</v>
      </c>
      <c r="L122" s="239"/>
      <c r="M122" s="237"/>
      <c r="N122" s="237"/>
      <c r="O122" s="284"/>
      <c r="P122" s="362"/>
    </row>
    <row r="123" spans="1:16" s="213" customFormat="1" ht="15" customHeight="1">
      <c r="A123" s="231" t="s">
        <v>543</v>
      </c>
      <c r="B123" s="213" t="s">
        <v>544</v>
      </c>
      <c r="K123" s="213" t="s">
        <v>520</v>
      </c>
      <c r="L123" s="214"/>
      <c r="O123" s="284"/>
      <c r="P123" s="362"/>
    </row>
    <row r="124" spans="1:16" s="213" customFormat="1" ht="15" customHeight="1">
      <c r="A124" s="213" t="s">
        <v>492</v>
      </c>
      <c r="B124" s="213" t="s">
        <v>545</v>
      </c>
      <c r="K124" s="213" t="s">
        <v>522</v>
      </c>
      <c r="L124" s="214"/>
      <c r="O124" s="284"/>
      <c r="P124" s="362"/>
    </row>
    <row r="125" spans="1:16" s="213" customFormat="1" ht="15" customHeight="1">
      <c r="A125" s="231"/>
      <c r="K125" s="213" t="s">
        <v>523</v>
      </c>
      <c r="L125" s="214"/>
      <c r="O125" s="284"/>
      <c r="P125" s="362"/>
    </row>
    <row r="126" spans="1:16" s="213" customFormat="1" ht="15" customHeight="1">
      <c r="A126" s="231" t="s">
        <v>496</v>
      </c>
      <c r="B126" s="231" t="s">
        <v>546</v>
      </c>
      <c r="K126" s="213" t="s">
        <v>547</v>
      </c>
      <c r="L126" s="214"/>
      <c r="O126" s="284"/>
      <c r="P126" s="362"/>
    </row>
    <row r="127" spans="1:16" s="213" customFormat="1" ht="15" customHeight="1">
      <c r="A127" s="231"/>
      <c r="K127" s="213" t="s">
        <v>548</v>
      </c>
      <c r="L127" s="214"/>
      <c r="O127" s="284"/>
      <c r="P127" s="362"/>
    </row>
    <row r="128" spans="1:16" s="213" customFormat="1" ht="15" customHeight="1">
      <c r="A128" s="231" t="s">
        <v>499</v>
      </c>
      <c r="B128" s="231" t="s">
        <v>549</v>
      </c>
      <c r="K128" s="213" t="s">
        <v>550</v>
      </c>
      <c r="L128" s="214"/>
      <c r="O128" s="284"/>
      <c r="P128" s="362"/>
    </row>
    <row r="129" spans="1:16" s="213" customFormat="1" ht="15" customHeight="1">
      <c r="A129" s="246"/>
      <c r="B129" s="237"/>
      <c r="C129" s="237"/>
      <c r="D129" s="237"/>
      <c r="E129" s="237"/>
      <c r="F129" s="237"/>
      <c r="G129" s="237"/>
      <c r="H129" s="237"/>
      <c r="I129" s="237"/>
      <c r="J129" s="237"/>
      <c r="K129" s="237" t="s">
        <v>530</v>
      </c>
      <c r="L129" s="239"/>
      <c r="M129" s="237"/>
      <c r="N129" s="237"/>
      <c r="O129" s="284"/>
      <c r="P129" s="362"/>
    </row>
    <row r="130" spans="1:16" s="213" customFormat="1" ht="15" customHeight="1">
      <c r="A130" s="265" t="s">
        <v>551</v>
      </c>
      <c r="B130" s="266" t="s">
        <v>552</v>
      </c>
      <c r="C130" s="266"/>
      <c r="D130" s="266"/>
      <c r="E130" s="266"/>
      <c r="F130" s="266"/>
      <c r="G130" s="266"/>
      <c r="H130" s="266"/>
      <c r="I130" s="266"/>
      <c r="J130" s="266"/>
      <c r="K130" s="266" t="s">
        <v>520</v>
      </c>
      <c r="L130" s="267"/>
      <c r="M130" s="266"/>
      <c r="N130" s="266"/>
      <c r="O130" s="284"/>
      <c r="P130" s="362"/>
    </row>
    <row r="131" spans="1:16" s="213" customFormat="1" ht="15" customHeight="1">
      <c r="A131" s="213" t="s">
        <v>492</v>
      </c>
      <c r="B131" s="213" t="s">
        <v>553</v>
      </c>
      <c r="K131" s="213" t="s">
        <v>522</v>
      </c>
      <c r="L131" s="214"/>
      <c r="O131" s="284"/>
      <c r="P131" s="362"/>
    </row>
    <row r="132" spans="1:16" s="213" customFormat="1" ht="15" customHeight="1">
      <c r="A132" s="231"/>
      <c r="K132" s="213" t="s">
        <v>523</v>
      </c>
      <c r="L132" s="214"/>
      <c r="O132" s="284"/>
      <c r="P132" s="362"/>
    </row>
    <row r="133" spans="1:16" s="213" customFormat="1" ht="15" customHeight="1">
      <c r="A133" s="231" t="s">
        <v>496</v>
      </c>
      <c r="B133" s="231" t="s">
        <v>554</v>
      </c>
      <c r="K133" s="213" t="s">
        <v>526</v>
      </c>
      <c r="L133" s="214"/>
      <c r="O133" s="284"/>
      <c r="P133" s="362"/>
    </row>
    <row r="134" spans="1:16" s="213" customFormat="1" ht="15" customHeight="1">
      <c r="A134" s="231"/>
      <c r="K134" s="213" t="s">
        <v>525</v>
      </c>
      <c r="L134" s="214"/>
      <c r="O134" s="284"/>
      <c r="P134" s="362"/>
    </row>
    <row r="135" spans="1:16" s="213" customFormat="1" ht="15" customHeight="1">
      <c r="A135" s="231" t="s">
        <v>499</v>
      </c>
      <c r="B135" s="231" t="s">
        <v>527</v>
      </c>
      <c r="K135" s="213" t="s">
        <v>542</v>
      </c>
      <c r="L135" s="214"/>
      <c r="O135" s="284"/>
      <c r="P135" s="362"/>
    </row>
    <row r="136" spans="1:16" s="213" customFormat="1" ht="15" customHeight="1">
      <c r="A136" s="231"/>
      <c r="B136" s="231" t="s">
        <v>502</v>
      </c>
      <c r="K136" s="213" t="s">
        <v>555</v>
      </c>
      <c r="L136" s="214"/>
      <c r="O136" s="284"/>
      <c r="P136" s="362"/>
    </row>
    <row r="137" spans="1:16" s="213" customFormat="1" ht="15" customHeight="1">
      <c r="A137" s="268"/>
      <c r="B137" s="237"/>
      <c r="C137" s="237"/>
      <c r="D137" s="237"/>
      <c r="E137" s="237"/>
      <c r="F137" s="237"/>
      <c r="G137" s="237"/>
      <c r="H137" s="237"/>
      <c r="I137" s="237"/>
      <c r="J137" s="237"/>
      <c r="K137" s="237" t="s">
        <v>530</v>
      </c>
      <c r="L137" s="239"/>
      <c r="M137" s="237"/>
      <c r="N137" s="237"/>
      <c r="O137" s="284"/>
      <c r="P137" s="362"/>
    </row>
    <row r="138" spans="1:16" s="213" customFormat="1" ht="15" customHeight="1">
      <c r="A138" s="224"/>
      <c r="O138" s="284"/>
      <c r="P138" s="362"/>
    </row>
    <row r="139" spans="1:16" s="213" customFormat="1" ht="15" customHeight="1">
      <c r="A139" s="261" t="s">
        <v>65</v>
      </c>
      <c r="B139" s="232" t="s">
        <v>556</v>
      </c>
      <c r="O139" s="284"/>
      <c r="P139" s="362"/>
    </row>
    <row r="140" spans="1:16" s="213" customFormat="1" ht="20.100000000000001" customHeight="1">
      <c r="A140" s="262"/>
      <c r="B140" s="263" t="s">
        <v>487</v>
      </c>
      <c r="C140" s="263"/>
      <c r="D140" s="263"/>
      <c r="E140" s="263"/>
      <c r="F140" s="263" t="s">
        <v>557</v>
      </c>
      <c r="G140" s="264"/>
      <c r="H140" s="263"/>
      <c r="I140" s="263"/>
      <c r="J140" s="263"/>
      <c r="K140" s="263" t="s">
        <v>727</v>
      </c>
      <c r="L140" s="264"/>
      <c r="M140" s="264"/>
      <c r="N140" s="263"/>
      <c r="O140" s="284"/>
      <c r="P140" s="362"/>
    </row>
    <row r="141" spans="1:16" s="213" customFormat="1" ht="15" customHeight="1">
      <c r="A141" s="231" t="s">
        <v>558</v>
      </c>
      <c r="B141" s="213" t="s">
        <v>490</v>
      </c>
      <c r="K141" s="213" t="s">
        <v>559</v>
      </c>
      <c r="L141" s="214"/>
      <c r="O141" s="284"/>
      <c r="P141" s="362"/>
    </row>
    <row r="142" spans="1:16" s="213" customFormat="1" ht="15" customHeight="1">
      <c r="A142" s="213" t="s">
        <v>492</v>
      </c>
      <c r="B142" s="213" t="s">
        <v>560</v>
      </c>
      <c r="K142" s="213" t="s">
        <v>561</v>
      </c>
      <c r="L142" s="214"/>
      <c r="O142" s="284"/>
      <c r="P142" s="362"/>
    </row>
    <row r="143" spans="1:16" s="213" customFormat="1" ht="15" customHeight="1">
      <c r="A143" s="231"/>
      <c r="K143" s="213" t="s">
        <v>497</v>
      </c>
      <c r="L143" s="214"/>
      <c r="O143" s="284"/>
      <c r="P143" s="362"/>
    </row>
    <row r="144" spans="1:16" s="213" customFormat="1" ht="15" customHeight="1">
      <c r="A144" s="231" t="s">
        <v>496</v>
      </c>
      <c r="B144" s="231" t="s">
        <v>562</v>
      </c>
      <c r="K144" s="213" t="s">
        <v>495</v>
      </c>
      <c r="L144" s="214"/>
      <c r="O144" s="284"/>
      <c r="P144" s="362"/>
    </row>
    <row r="145" spans="1:16" s="213" customFormat="1" ht="15" customHeight="1">
      <c r="A145" s="231"/>
      <c r="K145" s="213" t="s">
        <v>563</v>
      </c>
      <c r="L145" s="214"/>
      <c r="O145" s="284"/>
      <c r="P145" s="362"/>
    </row>
    <row r="146" spans="1:16" s="213" customFormat="1" ht="15" customHeight="1">
      <c r="A146" s="231" t="s">
        <v>499</v>
      </c>
      <c r="B146" s="231" t="s">
        <v>564</v>
      </c>
      <c r="K146" s="213" t="s">
        <v>503</v>
      </c>
      <c r="L146" s="214"/>
      <c r="O146" s="284"/>
      <c r="P146" s="362"/>
    </row>
    <row r="147" spans="1:16" s="213" customFormat="1" ht="15" customHeight="1">
      <c r="A147" s="231"/>
      <c r="B147" s="231" t="s">
        <v>502</v>
      </c>
      <c r="K147" s="213" t="s">
        <v>565</v>
      </c>
      <c r="L147" s="214"/>
      <c r="O147" s="284"/>
      <c r="P147" s="362"/>
    </row>
    <row r="148" spans="1:16" s="213" customFormat="1" ht="15" customHeight="1">
      <c r="A148" s="237"/>
      <c r="B148" s="237"/>
      <c r="C148" s="237"/>
      <c r="D148" s="237"/>
      <c r="E148" s="237"/>
      <c r="F148" s="237"/>
      <c r="G148" s="237"/>
      <c r="H148" s="237"/>
      <c r="I148" s="237"/>
      <c r="J148" s="237"/>
      <c r="K148" s="237" t="s">
        <v>504</v>
      </c>
      <c r="L148" s="239"/>
      <c r="M148" s="237"/>
      <c r="N148" s="237"/>
      <c r="O148" s="284"/>
      <c r="P148" s="362"/>
    </row>
    <row r="149" spans="1:16" s="213" customFormat="1" ht="15" customHeight="1">
      <c r="A149" s="231" t="s">
        <v>566</v>
      </c>
      <c r="B149" s="213" t="s">
        <v>567</v>
      </c>
      <c r="K149" s="213" t="s">
        <v>568</v>
      </c>
      <c r="L149" s="214"/>
      <c r="O149" s="284"/>
      <c r="P149" s="362"/>
    </row>
    <row r="150" spans="1:16" s="213" customFormat="1" ht="15" customHeight="1">
      <c r="A150" s="213" t="s">
        <v>492</v>
      </c>
      <c r="B150" s="213" t="s">
        <v>569</v>
      </c>
      <c r="K150" s="213" t="s">
        <v>570</v>
      </c>
      <c r="L150" s="214"/>
      <c r="O150" s="284"/>
      <c r="P150" s="362"/>
    </row>
    <row r="151" spans="1:16" s="213" customFormat="1" ht="15" customHeight="1">
      <c r="A151" s="231"/>
      <c r="K151" s="213" t="s">
        <v>571</v>
      </c>
      <c r="L151" s="214"/>
      <c r="O151" s="284"/>
      <c r="P151" s="362"/>
    </row>
    <row r="152" spans="1:16" s="213" customFormat="1" ht="15" customHeight="1">
      <c r="A152" s="231" t="s">
        <v>496</v>
      </c>
      <c r="B152" s="231" t="s">
        <v>572</v>
      </c>
      <c r="K152" s="213" t="s">
        <v>573</v>
      </c>
      <c r="L152" s="214"/>
      <c r="O152" s="284"/>
      <c r="P152" s="362"/>
    </row>
    <row r="153" spans="1:16" s="213" customFormat="1" ht="15" customHeight="1">
      <c r="A153" s="231"/>
      <c r="K153" s="213" t="s">
        <v>574</v>
      </c>
      <c r="L153" s="214"/>
      <c r="O153" s="284"/>
      <c r="P153" s="362"/>
    </row>
    <row r="154" spans="1:16" s="213" customFormat="1" ht="15" customHeight="1">
      <c r="A154" s="231" t="s">
        <v>499</v>
      </c>
      <c r="B154" s="231" t="s">
        <v>575</v>
      </c>
      <c r="K154" s="213" t="s">
        <v>576</v>
      </c>
      <c r="L154" s="214"/>
      <c r="O154" s="284"/>
      <c r="P154" s="362"/>
    </row>
    <row r="155" spans="1:16" s="213" customFormat="1" ht="15" customHeight="1">
      <c r="A155" s="231"/>
      <c r="B155" s="231" t="s">
        <v>502</v>
      </c>
      <c r="K155" s="213" t="s">
        <v>577</v>
      </c>
      <c r="L155" s="214"/>
      <c r="O155" s="284"/>
      <c r="P155" s="362"/>
    </row>
    <row r="156" spans="1:16" s="213" customFormat="1" ht="15" customHeight="1">
      <c r="A156" s="246"/>
      <c r="B156" s="237"/>
      <c r="C156" s="237"/>
      <c r="D156" s="237"/>
      <c r="E156" s="237"/>
      <c r="F156" s="237"/>
      <c r="G156" s="237"/>
      <c r="H156" s="237"/>
      <c r="I156" s="237"/>
      <c r="J156" s="237"/>
      <c r="K156" s="237" t="s">
        <v>578</v>
      </c>
      <c r="L156" s="239"/>
      <c r="M156" s="237"/>
      <c r="N156" s="237"/>
      <c r="O156" s="284"/>
      <c r="P156" s="362"/>
    </row>
    <row r="157" spans="1:16" s="213" customFormat="1" ht="15" customHeight="1">
      <c r="A157" s="231"/>
      <c r="L157" s="214"/>
      <c r="O157" s="284"/>
      <c r="P157" s="362"/>
    </row>
    <row r="158" spans="1:16" s="213" customFormat="1" ht="15" customHeight="1">
      <c r="A158" s="231"/>
      <c r="L158" s="214"/>
      <c r="O158" s="284"/>
      <c r="P158" s="362"/>
    </row>
    <row r="159" spans="1:16" s="213" customFormat="1" ht="15" customHeight="1">
      <c r="A159" s="231"/>
      <c r="B159" s="232" t="s">
        <v>579</v>
      </c>
      <c r="L159" s="214"/>
      <c r="O159" s="284"/>
      <c r="P159" s="362"/>
    </row>
    <row r="160" spans="1:16" s="213" customFormat="1" ht="15" customHeight="1">
      <c r="A160" s="261" t="s">
        <v>65</v>
      </c>
      <c r="B160" s="232" t="s">
        <v>486</v>
      </c>
      <c r="L160" s="239"/>
      <c r="O160" s="284"/>
      <c r="P160" s="362"/>
    </row>
    <row r="161" spans="1:16" s="213" customFormat="1" ht="20.100000000000001" customHeight="1">
      <c r="A161" s="262"/>
      <c r="B161" s="263" t="s">
        <v>487</v>
      </c>
      <c r="C161" s="263"/>
      <c r="D161" s="263"/>
      <c r="E161" s="263"/>
      <c r="F161" s="263" t="s">
        <v>488</v>
      </c>
      <c r="G161" s="264"/>
      <c r="H161" s="263"/>
      <c r="I161" s="263"/>
      <c r="J161" s="263"/>
      <c r="K161" s="263" t="s">
        <v>727</v>
      </c>
      <c r="L161" s="269"/>
      <c r="M161" s="264"/>
      <c r="N161" s="263"/>
      <c r="O161" s="284"/>
      <c r="P161" s="362"/>
    </row>
    <row r="162" spans="1:16" s="213" customFormat="1" ht="15" customHeight="1">
      <c r="A162" s="231" t="s">
        <v>580</v>
      </c>
      <c r="B162" s="213" t="s">
        <v>581</v>
      </c>
      <c r="K162" s="213" t="s">
        <v>491</v>
      </c>
      <c r="L162" s="214"/>
      <c r="O162" s="284"/>
      <c r="P162" s="362"/>
    </row>
    <row r="163" spans="1:16" s="213" customFormat="1" ht="15" customHeight="1">
      <c r="A163" s="213" t="s">
        <v>492</v>
      </c>
      <c r="B163" s="270" t="s">
        <v>582</v>
      </c>
      <c r="K163" s="213" t="s">
        <v>494</v>
      </c>
      <c r="L163" s="214"/>
      <c r="O163" s="284"/>
      <c r="P163" s="362"/>
    </row>
    <row r="164" spans="1:16" s="213" customFormat="1" ht="15" customHeight="1">
      <c r="A164" s="535" t="s">
        <v>496</v>
      </c>
      <c r="B164" s="271" t="s">
        <v>583</v>
      </c>
      <c r="C164" s="272"/>
      <c r="D164" s="272"/>
      <c r="E164" s="272"/>
      <c r="F164" s="272"/>
      <c r="G164" s="272"/>
      <c r="K164" s="213" t="s">
        <v>495</v>
      </c>
      <c r="L164" s="214"/>
      <c r="O164" s="284"/>
      <c r="P164" s="362"/>
    </row>
    <row r="165" spans="1:16" s="213" customFormat="1" ht="15" customHeight="1">
      <c r="A165" s="535"/>
      <c r="B165" s="273" t="s">
        <v>584</v>
      </c>
      <c r="C165" s="273"/>
      <c r="D165" s="273"/>
      <c r="E165" s="273"/>
      <c r="F165" s="273"/>
      <c r="G165" s="273"/>
      <c r="K165" s="213" t="s">
        <v>498</v>
      </c>
      <c r="L165" s="214"/>
      <c r="O165" s="284"/>
      <c r="P165" s="362"/>
    </row>
    <row r="166" spans="1:16" s="213" customFormat="1" ht="15" customHeight="1">
      <c r="A166" s="231" t="s">
        <v>499</v>
      </c>
      <c r="B166" s="231" t="s">
        <v>585</v>
      </c>
      <c r="K166" s="213" t="s">
        <v>586</v>
      </c>
      <c r="L166" s="214"/>
      <c r="O166" s="284"/>
      <c r="P166" s="362"/>
    </row>
    <row r="167" spans="1:16" s="213" customFormat="1" ht="15" customHeight="1">
      <c r="A167" s="231"/>
      <c r="B167" s="231" t="s">
        <v>587</v>
      </c>
      <c r="K167" s="213" t="s">
        <v>563</v>
      </c>
      <c r="O167" s="284"/>
      <c r="P167" s="362"/>
    </row>
    <row r="168" spans="1:16" s="213" customFormat="1" ht="15" customHeight="1">
      <c r="A168" s="237"/>
      <c r="B168" s="237"/>
      <c r="C168" s="237"/>
      <c r="D168" s="237"/>
      <c r="E168" s="237"/>
      <c r="F168" s="237"/>
      <c r="G168" s="237"/>
      <c r="H168" s="237"/>
      <c r="I168" s="237"/>
      <c r="J168" s="237"/>
      <c r="K168" s="237" t="s">
        <v>504</v>
      </c>
      <c r="L168" s="237"/>
      <c r="M168" s="237"/>
      <c r="N168" s="237"/>
      <c r="O168" s="284"/>
      <c r="P168" s="362"/>
    </row>
    <row r="169" spans="1:16" s="213" customFormat="1" ht="15" customHeight="1">
      <c r="A169" s="224"/>
      <c r="O169" s="284"/>
      <c r="P169" s="362"/>
    </row>
    <row r="170" spans="1:16" s="213" customFormat="1" ht="15" customHeight="1">
      <c r="A170" s="261" t="s">
        <v>65</v>
      </c>
      <c r="B170" s="232" t="s">
        <v>556</v>
      </c>
      <c r="O170" s="284"/>
      <c r="P170" s="362"/>
    </row>
    <row r="171" spans="1:16" s="213" customFormat="1" ht="20.100000000000001" customHeight="1">
      <c r="A171" s="262"/>
      <c r="B171" s="263" t="s">
        <v>487</v>
      </c>
      <c r="C171" s="263"/>
      <c r="D171" s="263"/>
      <c r="E171" s="263"/>
      <c r="F171" s="263" t="s">
        <v>557</v>
      </c>
      <c r="G171" s="264"/>
      <c r="H171" s="263"/>
      <c r="I171" s="263"/>
      <c r="J171" s="263"/>
      <c r="K171" s="263" t="s">
        <v>727</v>
      </c>
      <c r="L171" s="264"/>
      <c r="M171" s="264"/>
      <c r="N171" s="263"/>
      <c r="O171" s="284"/>
      <c r="P171" s="362"/>
    </row>
    <row r="172" spans="1:16" s="213" customFormat="1" ht="15" customHeight="1">
      <c r="A172" s="231" t="s">
        <v>588</v>
      </c>
      <c r="B172" s="213" t="s">
        <v>589</v>
      </c>
      <c r="K172" s="213" t="s">
        <v>559</v>
      </c>
      <c r="L172" s="214"/>
      <c r="O172" s="284"/>
      <c r="P172" s="362"/>
    </row>
    <row r="173" spans="1:16" s="213" customFormat="1" ht="15" customHeight="1">
      <c r="A173" s="213" t="s">
        <v>492</v>
      </c>
      <c r="B173" s="213" t="s">
        <v>590</v>
      </c>
      <c r="K173" s="213" t="s">
        <v>561</v>
      </c>
      <c r="L173" s="214"/>
      <c r="O173" s="284"/>
      <c r="P173" s="362"/>
    </row>
    <row r="174" spans="1:16" s="213" customFormat="1" ht="15" customHeight="1">
      <c r="A174" s="535" t="s">
        <v>496</v>
      </c>
      <c r="B174" s="271" t="s">
        <v>591</v>
      </c>
      <c r="C174" s="272"/>
      <c r="D174" s="272"/>
      <c r="E174" s="272"/>
      <c r="F174" s="272"/>
      <c r="G174" s="272"/>
      <c r="H174" s="272"/>
      <c r="K174" s="213" t="s">
        <v>497</v>
      </c>
      <c r="L174" s="214"/>
      <c r="O174" s="284"/>
      <c r="P174" s="362"/>
    </row>
    <row r="175" spans="1:16" s="213" customFormat="1" ht="15" customHeight="1">
      <c r="A175" s="535"/>
      <c r="B175" s="273" t="s">
        <v>592</v>
      </c>
      <c r="C175" s="273"/>
      <c r="D175" s="273"/>
      <c r="E175" s="273"/>
      <c r="F175" s="273"/>
      <c r="G175" s="273"/>
      <c r="K175" s="213" t="s">
        <v>563</v>
      </c>
      <c r="L175" s="214"/>
      <c r="O175" s="284"/>
      <c r="P175" s="362"/>
    </row>
    <row r="176" spans="1:16" s="213" customFormat="1" ht="15" customHeight="1">
      <c r="A176" s="231" t="s">
        <v>499</v>
      </c>
      <c r="B176" s="231" t="s">
        <v>593</v>
      </c>
      <c r="K176" s="213" t="s">
        <v>503</v>
      </c>
      <c r="L176" s="214"/>
      <c r="O176" s="284"/>
      <c r="P176" s="362"/>
    </row>
    <row r="177" spans="1:16" s="213" customFormat="1" ht="15" customHeight="1">
      <c r="A177" s="231"/>
      <c r="B177" s="231" t="s">
        <v>594</v>
      </c>
      <c r="K177" s="213" t="s">
        <v>504</v>
      </c>
      <c r="L177" s="214"/>
      <c r="O177" s="284"/>
      <c r="P177" s="362"/>
    </row>
    <row r="178" spans="1:16" s="213" customFormat="1" ht="15" customHeight="1">
      <c r="A178" s="246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84"/>
      <c r="P178" s="362"/>
    </row>
    <row r="179" spans="1:16" s="213" customFormat="1" ht="15" customHeight="1">
      <c r="A179" s="231" t="s">
        <v>595</v>
      </c>
      <c r="B179" s="213" t="s">
        <v>596</v>
      </c>
      <c r="K179" s="213" t="s">
        <v>559</v>
      </c>
      <c r="L179" s="214"/>
      <c r="O179" s="284"/>
      <c r="P179" s="362"/>
    </row>
    <row r="180" spans="1:16" s="213" customFormat="1" ht="15" customHeight="1">
      <c r="A180" s="213" t="s">
        <v>492</v>
      </c>
      <c r="B180" s="213" t="s">
        <v>597</v>
      </c>
      <c r="K180" s="213" t="s">
        <v>561</v>
      </c>
      <c r="L180" s="214"/>
      <c r="O180" s="284"/>
      <c r="P180" s="362"/>
    </row>
    <row r="181" spans="1:16" s="213" customFormat="1" ht="15" customHeight="1">
      <c r="A181" s="535" t="s">
        <v>496</v>
      </c>
      <c r="B181" s="271" t="s">
        <v>598</v>
      </c>
      <c r="C181" s="272"/>
      <c r="D181" s="272"/>
      <c r="E181" s="272"/>
      <c r="F181" s="272"/>
      <c r="G181" s="272"/>
      <c r="K181" s="213" t="s">
        <v>497</v>
      </c>
      <c r="L181" s="214"/>
      <c r="O181" s="284"/>
      <c r="P181" s="362"/>
    </row>
    <row r="182" spans="1:16" s="213" customFormat="1" ht="15" customHeight="1">
      <c r="A182" s="535"/>
      <c r="B182" s="273" t="s">
        <v>599</v>
      </c>
      <c r="C182" s="273"/>
      <c r="D182" s="273"/>
      <c r="E182" s="273"/>
      <c r="F182" s="273"/>
      <c r="G182" s="273"/>
      <c r="K182" s="213" t="s">
        <v>495</v>
      </c>
      <c r="L182" s="214"/>
      <c r="O182" s="284"/>
      <c r="P182" s="362"/>
    </row>
    <row r="183" spans="1:16" s="213" customFormat="1" ht="15" customHeight="1">
      <c r="A183" s="231" t="s">
        <v>499</v>
      </c>
      <c r="B183" s="231" t="s">
        <v>600</v>
      </c>
      <c r="K183" s="213" t="s">
        <v>563</v>
      </c>
      <c r="L183" s="214"/>
      <c r="O183" s="284"/>
      <c r="P183" s="362"/>
    </row>
    <row r="184" spans="1:16" s="213" customFormat="1" ht="15" customHeight="1">
      <c r="A184" s="231"/>
      <c r="B184" s="231" t="s">
        <v>601</v>
      </c>
      <c r="K184" s="213" t="s">
        <v>503</v>
      </c>
      <c r="L184" s="214"/>
      <c r="O184" s="284"/>
      <c r="P184" s="362"/>
    </row>
    <row r="185" spans="1:16" s="213" customFormat="1" ht="15" customHeight="1">
      <c r="A185" s="231"/>
      <c r="K185" s="213" t="s">
        <v>504</v>
      </c>
      <c r="O185" s="284"/>
      <c r="P185" s="362"/>
    </row>
    <row r="186" spans="1:16" s="213" customFormat="1" ht="15" customHeight="1">
      <c r="A186" s="246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84"/>
      <c r="P186" s="362"/>
    </row>
    <row r="187" spans="1:16" s="213" customFormat="1" ht="15" customHeight="1">
      <c r="A187" s="231" t="s">
        <v>602</v>
      </c>
      <c r="B187" s="213" t="s">
        <v>581</v>
      </c>
      <c r="K187" s="213" t="s">
        <v>559</v>
      </c>
      <c r="L187" s="214"/>
      <c r="O187" s="284"/>
      <c r="P187" s="362"/>
    </row>
    <row r="188" spans="1:16" s="213" customFormat="1" ht="15" customHeight="1">
      <c r="A188" s="213" t="s">
        <v>492</v>
      </c>
      <c r="B188" s="213" t="s">
        <v>603</v>
      </c>
      <c r="K188" s="213" t="s">
        <v>561</v>
      </c>
      <c r="L188" s="214"/>
      <c r="O188" s="284"/>
      <c r="P188" s="362"/>
    </row>
    <row r="189" spans="1:16" s="213" customFormat="1" ht="15" customHeight="1">
      <c r="A189" s="535" t="s">
        <v>496</v>
      </c>
      <c r="B189" s="271" t="s">
        <v>604</v>
      </c>
      <c r="C189" s="272"/>
      <c r="D189" s="272"/>
      <c r="E189" s="272"/>
      <c r="F189" s="272"/>
      <c r="G189" s="272"/>
      <c r="K189" s="213" t="s">
        <v>495</v>
      </c>
      <c r="L189" s="214"/>
      <c r="O189" s="284"/>
      <c r="P189" s="362"/>
    </row>
    <row r="190" spans="1:16" s="213" customFormat="1" ht="15" customHeight="1">
      <c r="A190" s="535"/>
      <c r="B190" s="273" t="s">
        <v>605</v>
      </c>
      <c r="C190" s="273"/>
      <c r="D190" s="273"/>
      <c r="E190" s="273"/>
      <c r="F190" s="273"/>
      <c r="G190" s="273"/>
      <c r="K190" s="213" t="s">
        <v>563</v>
      </c>
      <c r="L190" s="214"/>
      <c r="O190" s="284"/>
      <c r="P190" s="362"/>
    </row>
    <row r="191" spans="1:16" s="213" customFormat="1" ht="15" customHeight="1">
      <c r="A191" s="231" t="s">
        <v>499</v>
      </c>
      <c r="B191" s="231" t="s">
        <v>606</v>
      </c>
      <c r="K191" s="213" t="s">
        <v>503</v>
      </c>
      <c r="L191" s="214"/>
      <c r="O191" s="284"/>
      <c r="P191" s="362"/>
    </row>
    <row r="192" spans="1:16" s="213" customFormat="1" ht="15" customHeight="1">
      <c r="A192" s="231"/>
      <c r="B192" s="231" t="s">
        <v>607</v>
      </c>
      <c r="K192" s="213" t="s">
        <v>565</v>
      </c>
      <c r="L192" s="214"/>
      <c r="O192" s="284"/>
      <c r="P192" s="362"/>
    </row>
    <row r="193" spans="1:16" s="213" customFormat="1" ht="15" customHeight="1">
      <c r="A193" s="231"/>
      <c r="K193" s="213" t="s">
        <v>504</v>
      </c>
      <c r="O193" s="284"/>
      <c r="P193" s="362"/>
    </row>
    <row r="194" spans="1:16" s="213" customFormat="1" ht="15" customHeight="1">
      <c r="A194" s="246"/>
      <c r="B194" s="237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84"/>
      <c r="P194" s="362"/>
    </row>
    <row r="196" spans="1:16" ht="15" customHeight="1" thickBot="1">
      <c r="A196" s="56" t="s">
        <v>608</v>
      </c>
      <c r="B196" s="1"/>
      <c r="C196" s="1"/>
      <c r="D196" s="1"/>
      <c r="E196" s="1"/>
      <c r="F196" s="1"/>
      <c r="G196" s="107"/>
      <c r="H196" s="107"/>
      <c r="I196" s="107"/>
      <c r="J196" s="1"/>
      <c r="K196" s="1"/>
      <c r="L196" s="207"/>
      <c r="M196" s="1"/>
      <c r="N196" s="1"/>
    </row>
    <row r="197" spans="1:16" ht="15" customHeight="1">
      <c r="A197" s="274" t="s">
        <v>98</v>
      </c>
      <c r="B197" s="275" t="s">
        <v>609</v>
      </c>
      <c r="C197" s="275" t="s">
        <v>610</v>
      </c>
      <c r="D197" s="275" t="s">
        <v>611</v>
      </c>
      <c r="E197" s="275" t="s">
        <v>612</v>
      </c>
      <c r="F197" s="275" t="s">
        <v>613</v>
      </c>
      <c r="G197" s="275" t="s">
        <v>614</v>
      </c>
      <c r="H197" s="275" t="s">
        <v>615</v>
      </c>
      <c r="I197" s="275" t="s">
        <v>616</v>
      </c>
      <c r="J197" s="275" t="s">
        <v>617</v>
      </c>
      <c r="K197" s="275" t="s">
        <v>618</v>
      </c>
      <c r="L197" s="275" t="s">
        <v>619</v>
      </c>
      <c r="M197" s="275" t="s">
        <v>620</v>
      </c>
      <c r="N197" s="276" t="s">
        <v>621</v>
      </c>
    </row>
    <row r="198" spans="1:16" ht="15" customHeight="1">
      <c r="A198" s="277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 t="s">
        <v>622</v>
      </c>
      <c r="M198" s="278"/>
      <c r="N198" s="279"/>
    </row>
    <row r="199" spans="1:16" ht="15" customHeight="1">
      <c r="A199" s="186" t="str">
        <f>INPUT!D3</f>
        <v>1001i</v>
      </c>
      <c r="B199" s="188">
        <f>INPUT!M3*INPUT!N3*INPUT!AL3/1000</f>
        <v>8846.4</v>
      </c>
      <c r="C199" s="188">
        <f>INPUT!K3/COS((INPUT!T3/2 - 0.5*(INPUT!M3-2*INPUT!O3))/INPUT!K3)*2*INPUT!L3*INPUT!AM3/1000</f>
        <v>22326.196413924801</v>
      </c>
      <c r="D199" s="188">
        <f>INPUT!H3*INPUT!I3*INPUT!J3*INPUT!AK3/1000</f>
        <v>8360</v>
      </c>
      <c r="E199" s="188">
        <f>0.85*INPUT!$B$4*INPUT!Q3*INPUT!Z3/1000</f>
        <v>47019.875</v>
      </c>
      <c r="F199" s="188">
        <f>INPUT!AC3*INPUT!AD3*INPUT!AE3*INPUT!AN3/1000</f>
        <v>1945.6</v>
      </c>
      <c r="G199" s="188" t="e">
        <f>INPUT!AF3*INPUT!AG3*INPUT!AH3*INPUT!#REF!/1000</f>
        <v>#REF!</v>
      </c>
      <c r="H199" s="188" t="e">
        <f>INPUT!#REF!*INPUT!$B$8/1000</f>
        <v>#REF!</v>
      </c>
      <c r="I199" s="188" t="e">
        <f>INPUT!#REF!*INPUT!$B$8/1000</f>
        <v>#REF!</v>
      </c>
      <c r="J199" s="188" t="e">
        <f>INPUT!#REF!*INPUT!$B$8/1000</f>
        <v>#REF!</v>
      </c>
      <c r="K199" s="188">
        <f>(INPUT!M3-2*INPUT!O3)*INPUT!P3+INPUT!P3*INPUT!P3*(INPUT!T3/2 - 0.5*(INPUT!M3-2*INPUT!O3))/INPUT!K3</f>
        <v>0</v>
      </c>
      <c r="L199" s="281" t="e">
        <f>INPUT!#REF!</f>
        <v>#REF!</v>
      </c>
      <c r="M199" s="190" t="e">
        <f>INPUT!#REF!</f>
        <v>#REF!</v>
      </c>
      <c r="N199" s="282" t="e">
        <f>INPUT!#REF!</f>
        <v>#REF!</v>
      </c>
    </row>
    <row r="202" spans="1:16" ht="15" customHeight="1">
      <c r="A202" s="36" t="s">
        <v>711</v>
      </c>
      <c r="B202" s="258"/>
      <c r="C202" s="213"/>
      <c r="D202" s="213"/>
      <c r="E202" s="213"/>
      <c r="F202" s="1"/>
      <c r="G202" s="107"/>
      <c r="H202" s="107"/>
      <c r="I202" s="107"/>
      <c r="J202" s="1"/>
      <c r="K202" s="1"/>
      <c r="L202" s="207"/>
      <c r="M202" s="1"/>
      <c r="N202" s="235" t="s">
        <v>657</v>
      </c>
    </row>
    <row r="203" spans="1:16" ht="15" customHeight="1">
      <c r="A203" s="36"/>
      <c r="B203" s="258"/>
      <c r="C203" s="213"/>
      <c r="D203" s="213"/>
      <c r="E203" s="213"/>
      <c r="F203" s="1"/>
      <c r="G203" s="107"/>
      <c r="H203" s="107"/>
      <c r="I203" s="107"/>
      <c r="J203" s="1"/>
      <c r="K203" s="1"/>
      <c r="L203" s="207"/>
      <c r="M203" s="1"/>
      <c r="O203" s="307"/>
    </row>
    <row r="204" spans="1:16" ht="15" customHeight="1">
      <c r="A204" s="261" t="s">
        <v>65</v>
      </c>
      <c r="B204" s="1" t="s">
        <v>934</v>
      </c>
      <c r="C204" s="1"/>
      <c r="D204" s="1"/>
      <c r="E204" s="1"/>
      <c r="F204" s="1"/>
      <c r="G204" s="107"/>
      <c r="H204" s="107"/>
      <c r="I204" s="107"/>
      <c r="J204" s="1"/>
      <c r="K204" s="1"/>
      <c r="L204" s="207"/>
      <c r="M204" s="1"/>
      <c r="N204" s="1"/>
    </row>
    <row r="205" spans="1:16" ht="15" customHeight="1">
      <c r="A205" s="37"/>
      <c r="B205" s="1"/>
      <c r="C205" s="1"/>
      <c r="D205" s="1" t="s">
        <v>660</v>
      </c>
      <c r="E205" s="27" t="s">
        <v>185</v>
      </c>
      <c r="F205" s="1" t="s">
        <v>659</v>
      </c>
      <c r="G205" s="107"/>
      <c r="H205" s="107"/>
      <c r="I205" s="107"/>
      <c r="J205" s="1"/>
      <c r="K205" s="1"/>
      <c r="L205" s="207"/>
      <c r="M205" s="1"/>
      <c r="N205" s="1"/>
    </row>
    <row r="206" spans="1:16" ht="15" customHeight="1">
      <c r="A206" s="37"/>
      <c r="B206" s="1"/>
      <c r="C206" s="1"/>
      <c r="D206" s="1" t="s">
        <v>661</v>
      </c>
      <c r="E206" s="27" t="s">
        <v>185</v>
      </c>
      <c r="F206" s="1" t="s">
        <v>662</v>
      </c>
      <c r="G206" s="107"/>
      <c r="H206" s="107"/>
      <c r="I206" s="107"/>
      <c r="J206" s="1"/>
      <c r="K206" s="1"/>
      <c r="L206" s="207"/>
      <c r="M206" s="1"/>
      <c r="N206" s="1"/>
    </row>
    <row r="207" spans="1:16" ht="15" customHeight="1">
      <c r="A207" s="37"/>
      <c r="B207" s="1"/>
      <c r="C207" s="1"/>
      <c r="D207" s="1" t="s">
        <v>649</v>
      </c>
      <c r="E207" s="27" t="s">
        <v>185</v>
      </c>
      <c r="F207" s="1" t="s">
        <v>663</v>
      </c>
      <c r="G207" s="107"/>
      <c r="H207" s="107"/>
      <c r="I207" s="107"/>
      <c r="J207" s="1"/>
      <c r="K207" s="1"/>
      <c r="L207" s="207"/>
      <c r="M207" s="1"/>
      <c r="N207" s="1"/>
    </row>
    <row r="208" spans="1:16" ht="15" customHeight="1">
      <c r="A208" s="37"/>
      <c r="B208" s="1"/>
      <c r="C208" s="1"/>
      <c r="D208" s="1"/>
      <c r="E208" s="27"/>
      <c r="F208" s="1"/>
      <c r="G208" s="107"/>
      <c r="H208" s="107"/>
      <c r="I208" s="107"/>
      <c r="J208" s="1"/>
      <c r="K208" s="1"/>
      <c r="L208" s="207"/>
      <c r="M208" s="1"/>
      <c r="N208" s="1"/>
    </row>
    <row r="209" spans="1:14" ht="15" customHeight="1">
      <c r="A209" s="37"/>
      <c r="C209" s="1"/>
      <c r="D209" s="1" t="s">
        <v>280</v>
      </c>
      <c r="E209" s="1"/>
      <c r="F209" s="1" t="s">
        <v>631</v>
      </c>
      <c r="G209" s="1"/>
      <c r="H209" s="107"/>
      <c r="I209" s="107"/>
      <c r="J209" s="1"/>
      <c r="K209" s="1"/>
      <c r="L209" s="207"/>
      <c r="M209" s="1"/>
      <c r="N209" s="1"/>
    </row>
    <row r="210" spans="1:14" ht="15" customHeight="1">
      <c r="A210" s="37"/>
      <c r="B210" s="1"/>
      <c r="C210" s="1"/>
      <c r="D210" s="1"/>
      <c r="E210" s="1"/>
      <c r="F210" s="1" t="s">
        <v>632</v>
      </c>
      <c r="G210" s="1"/>
      <c r="H210" s="107"/>
      <c r="I210" s="107"/>
      <c r="J210" s="1"/>
      <c r="K210" s="1"/>
      <c r="L210" s="207"/>
      <c r="M210" s="1"/>
      <c r="N210" s="1"/>
    </row>
    <row r="211" spans="1:14" ht="15" customHeight="1">
      <c r="A211" s="37"/>
      <c r="B211" s="1"/>
      <c r="C211" s="1"/>
      <c r="D211" s="1"/>
      <c r="E211" s="1"/>
      <c r="F211" s="1" t="s">
        <v>633</v>
      </c>
      <c r="G211" s="1"/>
      <c r="H211" s="107"/>
      <c r="I211" s="107"/>
      <c r="J211" s="1"/>
      <c r="K211" s="1"/>
      <c r="L211" s="207"/>
      <c r="M211" s="1"/>
      <c r="N211" s="1"/>
    </row>
    <row r="212" spans="1:14" ht="15" customHeight="1">
      <c r="A212" s="261" t="s">
        <v>65</v>
      </c>
      <c r="B212" s="1" t="s">
        <v>935</v>
      </c>
      <c r="C212" s="1"/>
      <c r="D212" s="1"/>
      <c r="E212" s="1"/>
      <c r="I212" s="107"/>
      <c r="J212" s="1"/>
      <c r="K212" s="1"/>
      <c r="L212" s="207"/>
      <c r="M212" s="1"/>
      <c r="N212" s="1"/>
    </row>
    <row r="213" spans="1:14" ht="15" customHeight="1">
      <c r="A213" s="37"/>
      <c r="B213" s="1"/>
      <c r="C213" s="1"/>
      <c r="D213" s="1"/>
      <c r="E213" s="1"/>
      <c r="F213" s="1" t="s">
        <v>634</v>
      </c>
      <c r="G213" s="107"/>
      <c r="H213" s="107"/>
      <c r="I213" s="107"/>
      <c r="J213" s="1"/>
      <c r="K213" s="1"/>
      <c r="L213" s="207"/>
      <c r="M213" s="1"/>
      <c r="N213" s="1"/>
    </row>
    <row r="214" spans="1:14" ht="15" customHeight="1">
      <c r="A214" s="37"/>
      <c r="B214" s="1"/>
      <c r="C214" s="1"/>
      <c r="D214" s="1"/>
      <c r="E214" s="1"/>
      <c r="F214" s="1"/>
      <c r="G214" s="107"/>
      <c r="H214" s="107"/>
      <c r="I214" s="107"/>
      <c r="J214" s="1"/>
      <c r="K214" s="1"/>
      <c r="L214" s="207"/>
      <c r="M214" s="1"/>
      <c r="N214" s="1"/>
    </row>
    <row r="215" spans="1:14" ht="15" customHeight="1" thickBot="1">
      <c r="A215" s="56" t="s">
        <v>635</v>
      </c>
      <c r="B215" s="1"/>
      <c r="C215" s="1"/>
      <c r="D215" s="107"/>
      <c r="E215" s="107"/>
      <c r="F215" s="107"/>
      <c r="G215" s="1"/>
      <c r="H215" s="1"/>
      <c r="I215" s="207"/>
      <c r="J215" s="1"/>
      <c r="K215" s="1"/>
      <c r="L215" s="207"/>
      <c r="M215" s="1"/>
      <c r="N215" s="1"/>
    </row>
    <row r="216" spans="1:14" ht="15" customHeight="1">
      <c r="A216" s="274" t="s">
        <v>98</v>
      </c>
      <c r="B216" s="275" t="s">
        <v>636</v>
      </c>
      <c r="C216" s="275" t="s">
        <v>637</v>
      </c>
      <c r="D216" s="275" t="s">
        <v>638</v>
      </c>
      <c r="E216" s="275" t="s">
        <v>639</v>
      </c>
      <c r="F216" s="275" t="s">
        <v>640</v>
      </c>
      <c r="G216" s="275" t="s">
        <v>641</v>
      </c>
      <c r="H216" s="275" t="s">
        <v>642</v>
      </c>
      <c r="I216" s="276" t="s">
        <v>643</v>
      </c>
      <c r="J216" s="1"/>
      <c r="K216" s="1"/>
      <c r="L216" s="207"/>
      <c r="M216" s="1"/>
      <c r="N216" s="1"/>
    </row>
    <row r="217" spans="1:14" ht="15" customHeight="1">
      <c r="A217" s="277"/>
      <c r="B217" s="278"/>
      <c r="C217" s="278"/>
      <c r="D217" s="278"/>
      <c r="E217" s="278"/>
      <c r="F217" s="278"/>
      <c r="G217" s="278"/>
      <c r="H217" s="278"/>
      <c r="I217" s="279"/>
      <c r="J217" s="1"/>
      <c r="K217" s="1"/>
      <c r="L217" s="207"/>
      <c r="M217" s="1"/>
      <c r="N217" s="1"/>
    </row>
    <row r="218" spans="1:14" ht="15" customHeight="1">
      <c r="A218" s="186" t="str">
        <f>A199</f>
        <v>1001i</v>
      </c>
      <c r="B218" s="190" t="e">
        <f>INPUT!#REF!</f>
        <v>#REF!</v>
      </c>
      <c r="C218" s="190" t="e">
        <f>INPUT!#REF!</f>
        <v>#REF!</v>
      </c>
      <c r="D218" s="190" t="e">
        <f>INPUT!#REF!</f>
        <v>#REF!</v>
      </c>
      <c r="E218" s="190" t="e">
        <f>INPUT!#REF!</f>
        <v>#REF!</v>
      </c>
      <c r="F218" s="190" t="e">
        <f>INPUT!#REF!</f>
        <v>#REF!</v>
      </c>
      <c r="G218" s="190" t="e">
        <f t="shared" ref="G218" si="0">1.25*(B218+C218)</f>
        <v>#REF!</v>
      </c>
      <c r="H218" s="190" t="e">
        <f t="shared" ref="H218" si="1">1.25*D218</f>
        <v>#REF!</v>
      </c>
      <c r="I218" s="287" t="e">
        <f t="shared" ref="I218" si="2">1.25*E218+1.5*F218</f>
        <v>#REF!</v>
      </c>
      <c r="J218" s="1"/>
      <c r="K218" s="1"/>
      <c r="L218" s="207"/>
      <c r="M218" s="1"/>
      <c r="N218" s="1"/>
    </row>
    <row r="219" spans="1:14" ht="15" customHeight="1">
      <c r="A219" s="1"/>
      <c r="B219" s="1"/>
      <c r="C219" s="1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</row>
    <row r="220" spans="1:14" ht="15" customHeight="1" thickBot="1">
      <c r="A220" s="56" t="s">
        <v>644</v>
      </c>
      <c r="B220" s="1"/>
      <c r="C220" s="1"/>
      <c r="D220" s="1"/>
      <c r="E220" s="1"/>
      <c r="F220" s="1"/>
      <c r="G220" s="107"/>
      <c r="H220" s="107"/>
      <c r="I220" s="107"/>
      <c r="J220" s="1"/>
      <c r="K220" s="1"/>
      <c r="L220" s="207"/>
      <c r="M220" s="1"/>
      <c r="N220" s="1"/>
    </row>
    <row r="221" spans="1:14" ht="15" customHeight="1">
      <c r="A221" s="274" t="s">
        <v>98</v>
      </c>
      <c r="B221" s="489" t="s">
        <v>645</v>
      </c>
      <c r="C221" s="493"/>
      <c r="D221" s="493"/>
      <c r="E221" s="490"/>
      <c r="F221" s="275" t="s">
        <v>646</v>
      </c>
      <c r="G221" s="489" t="s">
        <v>647</v>
      </c>
      <c r="H221" s="493"/>
      <c r="I221" s="493"/>
      <c r="J221" s="490"/>
      <c r="K221" s="275" t="s">
        <v>648</v>
      </c>
      <c r="L221" s="275" t="s">
        <v>649</v>
      </c>
      <c r="M221" s="275" t="s">
        <v>650</v>
      </c>
      <c r="N221" s="285" t="s">
        <v>651</v>
      </c>
    </row>
    <row r="222" spans="1:14" ht="15" customHeight="1">
      <c r="A222" s="277"/>
      <c r="B222" s="286" t="s">
        <v>652</v>
      </c>
      <c r="C222" s="286" t="s">
        <v>653</v>
      </c>
      <c r="D222" s="286" t="s">
        <v>654</v>
      </c>
      <c r="E222" s="286" t="s">
        <v>655</v>
      </c>
      <c r="F222" s="278"/>
      <c r="G222" s="286" t="s">
        <v>652</v>
      </c>
      <c r="H222" s="286" t="s">
        <v>653</v>
      </c>
      <c r="I222" s="286" t="s">
        <v>654</v>
      </c>
      <c r="J222" s="286" t="s">
        <v>655</v>
      </c>
      <c r="K222" s="278"/>
      <c r="L222" s="278"/>
      <c r="M222" s="278"/>
      <c r="N222" s="279" t="s">
        <v>656</v>
      </c>
    </row>
    <row r="223" spans="1:14" ht="15" customHeight="1">
      <c r="A223" s="186" t="str">
        <f>A218</f>
        <v>1001i</v>
      </c>
      <c r="B223" s="173" t="e">
        <f>INPUT!#REF!</f>
        <v>#REF!</v>
      </c>
      <c r="C223" s="173" t="e">
        <f>INPUT!#REF!</f>
        <v>#REF!</v>
      </c>
      <c r="D223" s="173" t="e">
        <f>INPUT!#REF!</f>
        <v>#REF!</v>
      </c>
      <c r="E223" s="173" t="e">
        <f>INPUT!#REF!</f>
        <v>#REF!</v>
      </c>
      <c r="F223" s="171" t="e">
        <f>IF(INPUT!#REF!&lt;=0,(INPUT!AL3/10^6-G218/B223-H218/C223-I218/D223)*E223,-(INPUT!AK3/10^6+G218/B223+H218/C223+I218/D223)*E223)</f>
        <v>#REF!</v>
      </c>
      <c r="G223" s="173" t="e">
        <f>INPUT!#REF!</f>
        <v>#REF!</v>
      </c>
      <c r="H223" s="173" t="e">
        <f>INPUT!#REF!</f>
        <v>#REF!</v>
      </c>
      <c r="I223" s="173" t="e">
        <f>INPUT!#REF!</f>
        <v>#REF!</v>
      </c>
      <c r="J223" s="173" t="e">
        <f>INPUT!#REF!</f>
        <v>#REF!</v>
      </c>
      <c r="K223" s="171" t="e">
        <f>IF(INPUT!#REF!&lt;=0,(INPUT!AK3/10^6-G218/G223-H218/H223-I218/I223)*J223,-(INPUT!AL3/10^6+G218/G223+H218/H223+I218/I223)*J223)</f>
        <v>#REF!</v>
      </c>
      <c r="L223" s="345" t="e">
        <f>MIN(ABS(F223),ABS(K223))</f>
        <v>#REF!</v>
      </c>
      <c r="M223" s="345" t="e">
        <f>ABS(G218+H218+I218)+L223</f>
        <v>#REF!</v>
      </c>
      <c r="N223" s="283" t="e">
        <f>(M223-N199)/N199</f>
        <v>#REF!</v>
      </c>
    </row>
    <row r="224" spans="1:14" ht="15" customHeight="1">
      <c r="A224" s="37"/>
      <c r="B224" s="1"/>
      <c r="C224" s="1"/>
      <c r="D224" s="1"/>
      <c r="E224" s="1"/>
      <c r="F224" s="1"/>
      <c r="G224" s="107"/>
      <c r="H224" s="107"/>
      <c r="I224" s="107"/>
      <c r="J224" s="1"/>
      <c r="K224" s="1"/>
      <c r="L224" s="207"/>
      <c r="M224" s="1"/>
      <c r="N224" s="1"/>
    </row>
    <row r="225" spans="1:31" ht="15" customHeight="1">
      <c r="A225" s="37"/>
      <c r="B225" s="1"/>
      <c r="C225" s="1"/>
      <c r="D225" s="1"/>
      <c r="E225" s="1"/>
      <c r="F225" s="1"/>
      <c r="G225" s="107"/>
      <c r="H225" s="107"/>
      <c r="I225" s="107"/>
      <c r="J225" s="1"/>
      <c r="K225" s="1"/>
      <c r="L225" s="207"/>
      <c r="M225" s="1"/>
      <c r="N225" s="1"/>
    </row>
    <row r="226" spans="1:31" s="1" customFormat="1" ht="15" customHeight="1">
      <c r="A226" s="36" t="s">
        <v>712</v>
      </c>
      <c r="G226" s="107"/>
      <c r="H226" s="107"/>
      <c r="I226" s="107"/>
      <c r="L226" s="207"/>
      <c r="N226" s="235" t="s">
        <v>710</v>
      </c>
      <c r="O226" s="297"/>
      <c r="P226" s="61"/>
      <c r="Z226" s="207"/>
      <c r="AB226" s="37"/>
      <c r="AE226" s="207"/>
    </row>
    <row r="227" spans="1:31" s="1" customFormat="1" ht="15" customHeight="1">
      <c r="A227" s="36"/>
      <c r="G227" s="107"/>
      <c r="H227" s="107"/>
      <c r="I227" s="107"/>
      <c r="L227" s="207"/>
      <c r="O227" s="307"/>
      <c r="P227" s="61"/>
      <c r="Z227" s="207"/>
      <c r="AB227" s="37"/>
      <c r="AE227" s="207"/>
    </row>
    <row r="228" spans="1:31" s="1" customFormat="1" ht="15" customHeight="1">
      <c r="A228" s="261" t="s">
        <v>65</v>
      </c>
      <c r="B228" s="1" t="s">
        <v>667</v>
      </c>
      <c r="G228" s="107"/>
      <c r="H228" s="107"/>
      <c r="I228" s="107"/>
      <c r="L228" s="207"/>
      <c r="O228" s="308"/>
      <c r="P228" s="61"/>
      <c r="Z228" s="207"/>
      <c r="AB228" s="207"/>
      <c r="AE228" s="207"/>
    </row>
    <row r="229" spans="1:31" s="1" customFormat="1" ht="15" customHeight="1">
      <c r="D229" s="16" t="s">
        <v>668</v>
      </c>
      <c r="G229" s="107"/>
      <c r="H229" s="107"/>
      <c r="I229" s="107"/>
      <c r="L229" s="207"/>
      <c r="O229" s="308"/>
      <c r="P229" s="61"/>
      <c r="Z229" s="207"/>
      <c r="AB229" s="207"/>
      <c r="AE229" s="207"/>
    </row>
    <row r="230" spans="1:31" s="1" customFormat="1" ht="15" customHeight="1">
      <c r="A230" s="261" t="s">
        <v>65</v>
      </c>
      <c r="B230" s="1" t="s">
        <v>669</v>
      </c>
      <c r="D230" s="16"/>
      <c r="G230" s="107"/>
      <c r="H230" s="107"/>
      <c r="I230" s="107"/>
      <c r="L230" s="207"/>
      <c r="O230" s="308"/>
      <c r="P230" s="61"/>
      <c r="Z230" s="207"/>
      <c r="AB230" s="207"/>
      <c r="AE230" s="207"/>
    </row>
    <row r="231" spans="1:31" s="1" customFormat="1" ht="15" customHeight="1">
      <c r="C231" s="288"/>
      <c r="D231" s="16" t="s">
        <v>425</v>
      </c>
      <c r="H231" s="106"/>
      <c r="I231" s="129"/>
      <c r="J231" s="106"/>
      <c r="L231" s="129"/>
      <c r="M231" s="129"/>
      <c r="N231" s="131"/>
      <c r="O231" s="308"/>
      <c r="P231" s="61"/>
      <c r="R231" s="106"/>
      <c r="Z231" s="207"/>
      <c r="AB231" s="207"/>
      <c r="AE231" s="207"/>
    </row>
    <row r="232" spans="1:31" s="1" customFormat="1" ht="15" customHeight="1">
      <c r="B232" s="16"/>
      <c r="D232" s="106"/>
      <c r="G232" s="107"/>
      <c r="H232" s="107"/>
      <c r="I232" s="107"/>
      <c r="L232" s="207"/>
      <c r="O232" s="308"/>
      <c r="P232" s="61"/>
      <c r="Z232" s="207"/>
      <c r="AB232" s="207"/>
      <c r="AE232" s="207"/>
    </row>
    <row r="233" spans="1:31" s="1" customFormat="1" ht="15" customHeight="1">
      <c r="B233" s="1" t="s">
        <v>280</v>
      </c>
      <c r="C233" s="16"/>
      <c r="E233" s="106"/>
      <c r="G233" s="107"/>
      <c r="H233" s="107"/>
      <c r="I233" s="107"/>
      <c r="L233" s="207"/>
      <c r="O233" s="308"/>
      <c r="P233" s="61"/>
      <c r="Z233" s="207"/>
      <c r="AB233" s="207"/>
      <c r="AE233" s="207"/>
    </row>
    <row r="234" spans="1:31" s="1" customFormat="1" ht="15" customHeight="1">
      <c r="B234" s="1" t="s">
        <v>670</v>
      </c>
      <c r="C234" s="27" t="s">
        <v>146</v>
      </c>
      <c r="D234" s="1" t="s">
        <v>671</v>
      </c>
      <c r="G234" s="107"/>
      <c r="H234" s="107"/>
      <c r="I234" s="107"/>
      <c r="L234" s="207"/>
      <c r="O234" s="308"/>
      <c r="P234" s="61"/>
      <c r="Z234" s="207"/>
      <c r="AB234" s="207"/>
      <c r="AE234" s="207"/>
    </row>
    <row r="235" spans="1:31" s="1" customFormat="1" ht="15" customHeight="1">
      <c r="B235" s="1" t="s">
        <v>672</v>
      </c>
      <c r="C235" s="27" t="s">
        <v>146</v>
      </c>
      <c r="D235" s="1" t="s">
        <v>673</v>
      </c>
      <c r="G235" s="107"/>
      <c r="H235" s="107"/>
      <c r="I235" s="107"/>
      <c r="L235" s="207"/>
      <c r="O235" s="308"/>
      <c r="P235" s="61"/>
      <c r="Z235" s="207"/>
      <c r="AB235" s="207"/>
      <c r="AE235" s="207"/>
    </row>
    <row r="236" spans="1:31" s="1" customFormat="1" ht="15" customHeight="1">
      <c r="D236" s="27"/>
      <c r="G236" s="107"/>
      <c r="H236" s="107"/>
      <c r="I236" s="107"/>
      <c r="L236" s="207"/>
      <c r="O236" s="308"/>
      <c r="P236" s="61"/>
      <c r="Z236" s="207"/>
      <c r="AB236" s="207"/>
      <c r="AE236" s="207"/>
    </row>
    <row r="237" spans="1:31" s="1" customFormat="1" ht="15" customHeight="1">
      <c r="D237" s="27"/>
      <c r="G237" s="107"/>
      <c r="H237" s="107"/>
      <c r="I237" s="107"/>
      <c r="L237" s="207"/>
      <c r="O237" s="308"/>
      <c r="P237" s="61"/>
      <c r="Z237" s="207"/>
      <c r="AB237" s="207"/>
      <c r="AE237" s="207"/>
    </row>
    <row r="238" spans="1:31" s="1" customFormat="1" ht="15" customHeight="1">
      <c r="D238" s="27"/>
      <c r="G238" s="107"/>
      <c r="H238" s="107"/>
      <c r="I238" s="107"/>
      <c r="L238" s="207"/>
      <c r="O238" s="308"/>
      <c r="P238" s="61"/>
      <c r="Z238" s="207"/>
      <c r="AB238" s="207"/>
      <c r="AE238" s="207"/>
    </row>
    <row r="239" spans="1:31" s="1" customFormat="1" ht="15" customHeight="1">
      <c r="D239" s="27"/>
      <c r="G239" s="107"/>
      <c r="H239" s="107"/>
      <c r="I239" s="107"/>
      <c r="L239" s="207"/>
      <c r="O239" s="308"/>
      <c r="P239" s="61"/>
      <c r="Z239" s="207"/>
      <c r="AB239" s="207"/>
      <c r="AE239" s="207"/>
    </row>
    <row r="240" spans="1:31" s="1" customFormat="1" ht="15" customHeight="1">
      <c r="D240" s="27"/>
      <c r="G240" s="107"/>
      <c r="H240" s="107"/>
      <c r="I240" s="107"/>
      <c r="L240" s="207"/>
      <c r="O240" s="308"/>
      <c r="P240" s="61"/>
      <c r="Z240" s="207"/>
      <c r="AB240" s="207"/>
      <c r="AE240" s="207"/>
    </row>
    <row r="241" spans="1:31" s="1" customFormat="1" ht="15" customHeight="1">
      <c r="D241" s="27"/>
      <c r="G241" s="107"/>
      <c r="H241" s="107"/>
      <c r="I241" s="107"/>
      <c r="L241" s="207"/>
      <c r="O241" s="308"/>
      <c r="P241" s="61"/>
      <c r="Z241" s="207"/>
      <c r="AB241" s="207"/>
      <c r="AE241" s="207"/>
    </row>
    <row r="242" spans="1:31" s="1" customFormat="1" ht="15" customHeight="1">
      <c r="D242" s="27"/>
      <c r="G242" s="107"/>
      <c r="H242" s="107"/>
      <c r="I242" s="107"/>
      <c r="L242" s="207"/>
      <c r="O242" s="308"/>
      <c r="P242" s="61"/>
      <c r="Z242" s="207"/>
      <c r="AB242" s="207"/>
      <c r="AE242" s="207"/>
    </row>
    <row r="243" spans="1:31" s="1" customFormat="1" ht="15" customHeight="1">
      <c r="D243" s="27"/>
      <c r="G243" s="107"/>
      <c r="H243" s="107"/>
      <c r="I243" s="107"/>
      <c r="L243" s="207"/>
      <c r="O243" s="308"/>
      <c r="P243" s="61"/>
      <c r="Z243" s="207"/>
      <c r="AB243" s="207"/>
      <c r="AE243" s="207"/>
    </row>
    <row r="244" spans="1:31" s="1" customFormat="1" ht="15" customHeight="1">
      <c r="D244" s="27"/>
      <c r="G244" s="107"/>
      <c r="H244" s="107"/>
      <c r="I244" s="107"/>
      <c r="L244" s="207"/>
      <c r="O244" s="308"/>
      <c r="P244" s="61"/>
      <c r="Z244" s="207"/>
      <c r="AB244" s="207"/>
      <c r="AE244" s="207"/>
    </row>
    <row r="245" spans="1:31" s="1" customFormat="1" ht="15" customHeight="1">
      <c r="D245" s="27"/>
      <c r="G245" s="107"/>
      <c r="H245" s="107"/>
      <c r="I245" s="107"/>
      <c r="L245" s="207"/>
      <c r="O245" s="308"/>
      <c r="P245" s="61"/>
      <c r="Z245" s="207"/>
      <c r="AB245" s="207"/>
      <c r="AE245" s="207"/>
    </row>
    <row r="246" spans="1:31" s="1" customFormat="1" ht="15" customHeight="1" thickBot="1">
      <c r="A246" s="289" t="s">
        <v>674</v>
      </c>
      <c r="C246" s="16"/>
      <c r="E246" s="106"/>
      <c r="G246" s="107"/>
      <c r="H246" s="107"/>
      <c r="I246" s="107"/>
      <c r="L246" s="207"/>
      <c r="O246" s="308"/>
      <c r="P246" s="61"/>
      <c r="Z246" s="207"/>
      <c r="AB246" s="207"/>
      <c r="AE246" s="207"/>
    </row>
    <row r="247" spans="1:31" s="1" customFormat="1" ht="15" customHeight="1">
      <c r="A247" s="274" t="s">
        <v>98</v>
      </c>
      <c r="B247" s="275" t="s">
        <v>207</v>
      </c>
      <c r="C247" s="489" t="s">
        <v>675</v>
      </c>
      <c r="D247" s="493"/>
      <c r="E247" s="490"/>
      <c r="F247" s="489" t="s">
        <v>676</v>
      </c>
      <c r="G247" s="493"/>
      <c r="H247" s="493"/>
      <c r="I247" s="493"/>
      <c r="J247" s="493"/>
      <c r="K247" s="490"/>
      <c r="L247" s="275" t="s">
        <v>677</v>
      </c>
      <c r="M247" s="276" t="s">
        <v>266</v>
      </c>
      <c r="O247" s="309"/>
      <c r="P247" s="61"/>
      <c r="R247" s="207"/>
    </row>
    <row r="248" spans="1:31" s="1" customFormat="1" ht="15" customHeight="1">
      <c r="A248" s="277"/>
      <c r="B248" s="278" t="s">
        <v>212</v>
      </c>
      <c r="C248" s="278" t="s">
        <v>678</v>
      </c>
      <c r="D248" s="278" t="s">
        <v>620</v>
      </c>
      <c r="E248" s="278" t="s">
        <v>679</v>
      </c>
      <c r="F248" s="278" t="s">
        <v>197</v>
      </c>
      <c r="G248" s="278" t="s">
        <v>198</v>
      </c>
      <c r="H248" s="278" t="s">
        <v>229</v>
      </c>
      <c r="I248" s="278" t="s">
        <v>680</v>
      </c>
      <c r="J248" s="278" t="s">
        <v>681</v>
      </c>
      <c r="K248" s="278" t="s">
        <v>682</v>
      </c>
      <c r="L248" s="278"/>
      <c r="M248" s="279"/>
      <c r="O248" s="309"/>
      <c r="P248" s="61"/>
      <c r="R248" s="374"/>
    </row>
    <row r="249" spans="1:31" ht="15" customHeight="1">
      <c r="A249" s="186" t="str">
        <f>A223</f>
        <v>1001i</v>
      </c>
      <c r="B249" s="173" t="e">
        <f>IF(INPUT!#REF!&lt;=0, "Positive","Negative")</f>
        <v>#REF!</v>
      </c>
      <c r="C249" s="171" t="e">
        <f>INPUT!#REF!</f>
        <v>#REF!</v>
      </c>
      <c r="D249" s="190" t="e">
        <f>INPUT!#REF!</f>
        <v>#REF!</v>
      </c>
      <c r="E249" s="190" t="e">
        <f>INPUT!#REF!</f>
        <v>#REF!</v>
      </c>
      <c r="F249" s="171">
        <f>INPUT!J3</f>
        <v>22</v>
      </c>
      <c r="G249" s="171">
        <f>INPUT!N3</f>
        <v>12</v>
      </c>
      <c r="H249" s="171">
        <f>INPUT!K3</f>
        <v>2600</v>
      </c>
      <c r="I249" s="171">
        <f>INPUT!R3</f>
        <v>0</v>
      </c>
      <c r="J249" s="171">
        <f>INPUT!Q3</f>
        <v>290</v>
      </c>
      <c r="K249" s="190" t="e">
        <f>IF(B249="Positive",G249+H249+I249+J249,F249+H249)</f>
        <v>#REF!</v>
      </c>
      <c r="L249" s="190" t="e">
        <f>0.42*K249</f>
        <v>#REF!</v>
      </c>
      <c r="M249" s="395" t="e">
        <f>IF(AND(INPUT!#REF!&gt;=0,INPUT!P3=0),"-",IF(E249&lt;=0.42*K249,"OK","NG"))</f>
        <v>#REF!</v>
      </c>
      <c r="N249" s="1"/>
      <c r="Q249" s="1"/>
      <c r="R249" s="374"/>
      <c r="S249" s="1"/>
    </row>
    <row r="250" spans="1:31" s="1" customFormat="1" ht="15" customHeight="1">
      <c r="A250" s="77"/>
      <c r="B250" s="293"/>
      <c r="C250" s="294"/>
      <c r="D250" s="295"/>
      <c r="E250" s="295"/>
      <c r="F250" s="295"/>
      <c r="G250" s="295"/>
      <c r="H250" s="295"/>
      <c r="I250" s="295"/>
      <c r="J250" s="295"/>
      <c r="K250" s="295"/>
      <c r="L250" s="77"/>
      <c r="M250" s="296"/>
      <c r="O250" s="309"/>
      <c r="P250" s="61"/>
      <c r="R250" s="374"/>
    </row>
    <row r="251" spans="1:31" s="1" customFormat="1" ht="15" customHeight="1">
      <c r="G251" s="107"/>
      <c r="H251" s="107"/>
      <c r="I251" s="107"/>
      <c r="L251" s="207"/>
      <c r="O251" s="308"/>
      <c r="P251" s="61"/>
      <c r="X251" s="207"/>
      <c r="Z251" s="207"/>
      <c r="AC251" s="207"/>
    </row>
    <row r="252" spans="1:31" s="1" customFormat="1" ht="15" customHeight="1">
      <c r="A252" s="36" t="s">
        <v>713</v>
      </c>
      <c r="G252" s="107"/>
      <c r="H252" s="107"/>
      <c r="I252" s="107"/>
      <c r="L252" s="207"/>
      <c r="O252" s="308"/>
      <c r="P252" s="61"/>
      <c r="Z252" s="207"/>
      <c r="AB252" s="37"/>
      <c r="AE252" s="207"/>
    </row>
    <row r="253" spans="1:31" s="1" customFormat="1" ht="15" customHeight="1">
      <c r="A253" s="261" t="s">
        <v>65</v>
      </c>
      <c r="B253" s="1" t="s">
        <v>683</v>
      </c>
      <c r="G253" s="107"/>
      <c r="H253" s="107"/>
      <c r="I253" s="107"/>
      <c r="L253" s="207"/>
      <c r="N253" s="235" t="s">
        <v>429</v>
      </c>
      <c r="O253" s="297"/>
      <c r="P253" s="61"/>
      <c r="Z253" s="207"/>
      <c r="AB253" s="37"/>
      <c r="AE253" s="207"/>
    </row>
    <row r="254" spans="1:31" s="1" customFormat="1" ht="15" customHeight="1">
      <c r="A254" s="261" t="s">
        <v>65</v>
      </c>
      <c r="B254" s="1" t="s">
        <v>684</v>
      </c>
      <c r="G254" s="107"/>
      <c r="H254" s="107"/>
      <c r="I254" s="107"/>
      <c r="L254" s="207"/>
      <c r="N254" s="103"/>
      <c r="O254" s="297"/>
      <c r="P254" s="61"/>
      <c r="Z254" s="207"/>
      <c r="AB254" s="37"/>
      <c r="AE254" s="207"/>
    </row>
    <row r="255" spans="1:31" s="1" customFormat="1" ht="15" customHeight="1">
      <c r="A255" s="37"/>
      <c r="B255" s="499" t="s">
        <v>717</v>
      </c>
      <c r="C255" s="123" t="s">
        <v>716</v>
      </c>
      <c r="D255" s="123"/>
      <c r="E255" s="300"/>
      <c r="F255" s="300"/>
      <c r="G255" s="107"/>
      <c r="J255" s="207"/>
      <c r="N255" s="103"/>
      <c r="O255" s="297"/>
      <c r="Z255" s="207"/>
      <c r="AB255" s="37"/>
      <c r="AE255" s="207"/>
    </row>
    <row r="256" spans="1:31" s="1" customFormat="1" ht="15" customHeight="1">
      <c r="B256" s="499"/>
      <c r="C256" s="298" t="s">
        <v>718</v>
      </c>
      <c r="D256" s="124"/>
      <c r="E256" s="299"/>
      <c r="F256" s="299"/>
      <c r="G256" s="107"/>
      <c r="J256" s="207"/>
      <c r="N256" s="103"/>
      <c r="O256" s="297"/>
      <c r="Z256" s="207"/>
      <c r="AB256" s="207"/>
      <c r="AE256" s="207"/>
    </row>
    <row r="257" spans="1:31" s="1" customFormat="1" ht="15" customHeight="1">
      <c r="B257" s="499" t="s">
        <v>719</v>
      </c>
      <c r="C257" s="123" t="s">
        <v>723</v>
      </c>
      <c r="D257" s="302"/>
      <c r="E257" s="536" t="s">
        <v>720</v>
      </c>
      <c r="F257" s="123" t="s">
        <v>716</v>
      </c>
      <c r="G257" s="123"/>
      <c r="H257" s="300"/>
      <c r="I257" s="300"/>
      <c r="J257" s="207"/>
      <c r="N257" s="103"/>
      <c r="O257" s="297"/>
      <c r="Z257" s="207"/>
      <c r="AB257" s="207"/>
      <c r="AE257" s="207"/>
    </row>
    <row r="258" spans="1:31" s="1" customFormat="1" ht="15" customHeight="1">
      <c r="B258" s="499"/>
      <c r="C258" s="298" t="s">
        <v>721</v>
      </c>
      <c r="D258" s="299"/>
      <c r="E258" s="499"/>
      <c r="F258" s="298" t="s">
        <v>722</v>
      </c>
      <c r="G258" s="124"/>
      <c r="H258" s="299"/>
      <c r="I258" s="299"/>
      <c r="J258" s="207"/>
      <c r="N258" s="103"/>
      <c r="O258" s="297"/>
      <c r="Z258" s="207"/>
      <c r="AB258" s="207"/>
      <c r="AE258" s="207"/>
    </row>
    <row r="259" spans="1:31" s="1" customFormat="1" ht="15" customHeight="1">
      <c r="B259" s="27"/>
      <c r="E259" s="107"/>
      <c r="F259" s="107"/>
      <c r="G259" s="107"/>
      <c r="J259" s="207"/>
      <c r="N259" s="103"/>
      <c r="O259" s="297"/>
      <c r="Z259" s="207"/>
      <c r="AB259" s="207"/>
      <c r="AE259" s="207"/>
    </row>
    <row r="260" spans="1:31" s="1" customFormat="1" ht="15" customHeight="1">
      <c r="A260" s="261" t="s">
        <v>65</v>
      </c>
      <c r="B260" s="1" t="s">
        <v>685</v>
      </c>
      <c r="D260" s="27"/>
      <c r="G260" s="107"/>
      <c r="H260" s="107"/>
      <c r="I260" s="107"/>
      <c r="L260" s="207"/>
      <c r="N260" s="235" t="s">
        <v>715</v>
      </c>
      <c r="O260" s="297"/>
      <c r="P260" s="61"/>
      <c r="Z260" s="207"/>
      <c r="AB260" s="207"/>
      <c r="AE260" s="207"/>
    </row>
    <row r="261" spans="1:31" s="1" customFormat="1" ht="15" customHeight="1">
      <c r="C261" s="1" t="s">
        <v>686</v>
      </c>
      <c r="D261" s="27"/>
      <c r="G261" s="107"/>
      <c r="H261" s="107"/>
      <c r="I261" s="107"/>
      <c r="L261" s="207"/>
      <c r="O261" s="308"/>
      <c r="AB261" s="207"/>
      <c r="AE261" s="207"/>
    </row>
    <row r="262" spans="1:31" s="1" customFormat="1" ht="15" customHeight="1" thickBot="1">
      <c r="D262" s="27"/>
      <c r="G262" s="107"/>
      <c r="H262" s="107"/>
      <c r="I262" s="107"/>
      <c r="L262" s="207"/>
      <c r="O262" s="308"/>
      <c r="AB262" s="207"/>
      <c r="AE262" s="207"/>
    </row>
    <row r="263" spans="1:31" s="1" customFormat="1" ht="15" customHeight="1">
      <c r="C263" s="541" t="s">
        <v>687</v>
      </c>
      <c r="D263" s="542"/>
      <c r="E263" s="526" t="s">
        <v>688</v>
      </c>
      <c r="F263" s="527"/>
      <c r="G263" s="528" t="s">
        <v>689</v>
      </c>
      <c r="H263" s="527"/>
      <c r="I263" s="528" t="s">
        <v>686</v>
      </c>
      <c r="J263" s="529"/>
      <c r="L263" s="207"/>
      <c r="O263" s="308"/>
      <c r="AB263" s="207"/>
      <c r="AE263" s="207"/>
    </row>
    <row r="264" spans="1:31" s="1" customFormat="1" ht="15" customHeight="1">
      <c r="C264" s="543"/>
      <c r="D264" s="544"/>
      <c r="E264" s="530" t="s">
        <v>690</v>
      </c>
      <c r="F264" s="531"/>
      <c r="G264" s="532" t="s">
        <v>691</v>
      </c>
      <c r="H264" s="533"/>
      <c r="I264" s="290"/>
      <c r="J264" s="291"/>
      <c r="L264" s="207"/>
      <c r="O264" s="308"/>
      <c r="AB264" s="207"/>
      <c r="AE264" s="207"/>
    </row>
    <row r="265" spans="1:31" s="1" customFormat="1" ht="15" customHeight="1">
      <c r="C265" s="537" t="s">
        <v>692</v>
      </c>
      <c r="D265" s="538"/>
      <c r="E265" s="539">
        <f>INPUT!B4</f>
        <v>35</v>
      </c>
      <c r="F265" s="540"/>
      <c r="G265" s="545">
        <f>+E265*0.6</f>
        <v>21</v>
      </c>
      <c r="H265" s="540"/>
      <c r="I265" s="546">
        <f>INPUT!B2/INPUT!B5</f>
        <v>6.4337426860029305</v>
      </c>
      <c r="J265" s="547"/>
      <c r="L265" s="207"/>
      <c r="O265" s="308"/>
      <c r="P265" s="61"/>
      <c r="Z265" s="207"/>
      <c r="AB265" s="207"/>
      <c r="AE265" s="207"/>
    </row>
    <row r="266" spans="1:31" s="1" customFormat="1" ht="15" customHeight="1" thickBot="1">
      <c r="C266" s="548" t="s">
        <v>693</v>
      </c>
      <c r="D266" s="549"/>
      <c r="E266" s="550">
        <f>INPUT!B6</f>
        <v>50</v>
      </c>
      <c r="F266" s="551"/>
      <c r="G266" s="552">
        <f>+E266*0.6</f>
        <v>30</v>
      </c>
      <c r="H266" s="551"/>
      <c r="I266" s="553">
        <f>INPUT!B2/INPUT!B7</f>
        <v>5.7028140935422975</v>
      </c>
      <c r="J266" s="554"/>
      <c r="L266" s="207"/>
      <c r="O266" s="308"/>
      <c r="P266" s="61"/>
      <c r="Z266" s="207"/>
      <c r="AB266" s="207"/>
      <c r="AE266" s="207"/>
    </row>
    <row r="267" spans="1:31" s="1" customFormat="1" ht="15" customHeight="1">
      <c r="D267" s="27"/>
      <c r="G267" s="107"/>
      <c r="H267" s="107"/>
      <c r="I267" s="107"/>
      <c r="L267" s="207"/>
      <c r="O267" s="308"/>
      <c r="P267" s="61"/>
      <c r="Z267" s="207"/>
      <c r="AB267" s="207"/>
      <c r="AE267" s="207"/>
    </row>
    <row r="268" spans="1:31" s="1" customFormat="1" ht="15" customHeight="1" thickBot="1">
      <c r="A268" s="56" t="s">
        <v>694</v>
      </c>
      <c r="D268" s="27"/>
      <c r="G268" s="107"/>
      <c r="H268" s="107"/>
      <c r="I268" s="107"/>
      <c r="L268" s="207"/>
      <c r="O268" s="308"/>
      <c r="P268" s="61"/>
      <c r="Z268" s="207"/>
      <c r="AB268" s="207"/>
      <c r="AE268" s="207"/>
    </row>
    <row r="269" spans="1:31" s="1" customFormat="1" ht="15" customHeight="1">
      <c r="A269" s="274" t="s">
        <v>98</v>
      </c>
      <c r="B269" s="489" t="s">
        <v>695</v>
      </c>
      <c r="C269" s="493"/>
      <c r="D269" s="493"/>
      <c r="E269" s="493"/>
      <c r="F269" s="490"/>
      <c r="G269" s="489" t="s">
        <v>696</v>
      </c>
      <c r="H269" s="493"/>
      <c r="I269" s="490"/>
      <c r="J269" s="489" t="s">
        <v>697</v>
      </c>
      <c r="K269" s="490"/>
      <c r="L269" s="489" t="s">
        <v>266</v>
      </c>
      <c r="M269" s="534"/>
      <c r="O269" s="309"/>
      <c r="P269" s="61"/>
      <c r="R269" s="207"/>
    </row>
    <row r="270" spans="1:31" s="1" customFormat="1" ht="15" customHeight="1">
      <c r="A270" s="277"/>
      <c r="B270" s="278" t="s">
        <v>698</v>
      </c>
      <c r="C270" s="278" t="s">
        <v>699</v>
      </c>
      <c r="D270" s="278" t="s">
        <v>700</v>
      </c>
      <c r="E270" s="278" t="s">
        <v>701</v>
      </c>
      <c r="F270" s="278" t="s">
        <v>702</v>
      </c>
      <c r="G270" s="278" t="s">
        <v>703</v>
      </c>
      <c r="H270" s="278" t="s">
        <v>704</v>
      </c>
      <c r="I270" s="278" t="s">
        <v>705</v>
      </c>
      <c r="J270" s="278" t="s">
        <v>706</v>
      </c>
      <c r="K270" s="278" t="s">
        <v>707</v>
      </c>
      <c r="L270" s="359" t="s">
        <v>708</v>
      </c>
      <c r="M270" s="396" t="s">
        <v>709</v>
      </c>
      <c r="O270" s="297"/>
      <c r="P270" s="61"/>
      <c r="R270" s="373"/>
    </row>
    <row r="271" spans="1:31" ht="15" customHeight="1">
      <c r="A271" s="186" t="str">
        <f>A249</f>
        <v>1001i</v>
      </c>
      <c r="B271" s="190" t="e">
        <f>1.25*INPUT!#REF!</f>
        <v>#REF!</v>
      </c>
      <c r="C271" s="190" t="e">
        <f>1.25*INPUT!#REF!</f>
        <v>#REF!</v>
      </c>
      <c r="D271" s="190" t="e">
        <f>1.5*INPUT!#REF!</f>
        <v>#REF!</v>
      </c>
      <c r="E271" s="190" t="e">
        <f>1.8*INPUT!#REF!</f>
        <v>#REF!</v>
      </c>
      <c r="F271" s="190" t="e">
        <f>1.8*INPUT!#REF!</f>
        <v>#REF!</v>
      </c>
      <c r="G271" s="171" t="e">
        <f>INPUT!#REF!</f>
        <v>#REF!</v>
      </c>
      <c r="H271" s="171" t="e">
        <f>INPUT!#REF!</f>
        <v>#REF!</v>
      </c>
      <c r="I271" s="171" t="e">
        <f>INPUT!#REF!</f>
        <v>#REF!</v>
      </c>
      <c r="J271" s="191" t="e">
        <f>IF(B249="Positive",(C271+D271+F271)/I271/$I$265*10^6,"-")</f>
        <v>#REF!</v>
      </c>
      <c r="K271" s="191" t="e">
        <f>IF(OR(B249="Positive",INPUT!P3=0),"-",-B271/G271/$I$266*10^6+(-C271-D271-E271)/H271/$I$266*10^6)</f>
        <v>#REF!</v>
      </c>
      <c r="L271" s="201" t="e">
        <f>IF(B249="Positive",IF(J271&lt;=$G$265,"OK","NG"),"-")</f>
        <v>#REF!</v>
      </c>
      <c r="M271" s="395" t="e">
        <f>IF(OR(B249="Positive",INPUT!P3=0),"-",IF(K271&lt;=$G$266,"OK","NG"))</f>
        <v>#REF!</v>
      </c>
      <c r="N271" s="1"/>
      <c r="Q271" s="1"/>
      <c r="R271" s="373"/>
    </row>
    <row r="272" spans="1:31" s="1" customFormat="1" ht="15" customHeight="1">
      <c r="L272" s="207"/>
      <c r="O272" s="297"/>
      <c r="P272" s="61"/>
      <c r="R272" s="373"/>
      <c r="Z272" s="207"/>
      <c r="AB272" s="207"/>
      <c r="AE272" s="207"/>
    </row>
    <row r="273" spans="1:31" s="1" customFormat="1" ht="15" customHeight="1">
      <c r="A273" s="8"/>
      <c r="C273" s="16"/>
      <c r="E273" s="106"/>
      <c r="G273" s="107"/>
      <c r="H273" s="107"/>
      <c r="I273" s="107"/>
      <c r="L273" s="207"/>
      <c r="O273" s="308"/>
      <c r="P273" s="61"/>
      <c r="R273" s="373"/>
      <c r="Z273" s="207"/>
      <c r="AB273" s="207"/>
      <c r="AE273" s="207"/>
    </row>
    <row r="274" spans="1:31" s="1" customFormat="1" ht="15" customHeight="1">
      <c r="A274" s="36" t="s">
        <v>814</v>
      </c>
      <c r="G274" s="107"/>
      <c r="H274" s="107"/>
      <c r="I274" s="107"/>
      <c r="L274" s="207"/>
      <c r="O274" s="308"/>
      <c r="P274" s="61"/>
      <c r="Z274" s="207"/>
      <c r="AB274" s="207"/>
      <c r="AE274" s="207"/>
    </row>
    <row r="275" spans="1:31" s="1" customFormat="1" ht="15" customHeight="1" thickBot="1">
      <c r="A275" s="37"/>
      <c r="G275" s="107"/>
      <c r="H275" s="107"/>
      <c r="I275" s="107"/>
      <c r="L275" s="207"/>
      <c r="O275" s="308"/>
      <c r="P275" s="61"/>
      <c r="Z275" s="205"/>
      <c r="AB275" s="207"/>
      <c r="AE275" s="207"/>
    </row>
    <row r="276" spans="1:31" s="61" customFormat="1" ht="15" customHeight="1">
      <c r="A276" s="472"/>
      <c r="B276" s="524" t="s">
        <v>728</v>
      </c>
      <c r="C276" s="493"/>
      <c r="D276" s="493"/>
      <c r="E276" s="493"/>
      <c r="F276" s="493"/>
      <c r="G276" s="493"/>
      <c r="H276" s="493"/>
      <c r="I276" s="525"/>
      <c r="J276" s="555" t="s">
        <v>729</v>
      </c>
      <c r="K276" s="556"/>
      <c r="L276" s="556"/>
      <c r="M276" s="557"/>
      <c r="O276" s="297"/>
    </row>
    <row r="277" spans="1:31" s="61" customFormat="1" ht="15" customHeight="1">
      <c r="A277" s="472"/>
      <c r="B277" s="561" t="s">
        <v>254</v>
      </c>
      <c r="C277" s="562"/>
      <c r="D277" s="562"/>
      <c r="E277" s="563"/>
      <c r="F277" s="564" t="s">
        <v>255</v>
      </c>
      <c r="G277" s="565"/>
      <c r="H277" s="565"/>
      <c r="I277" s="566"/>
      <c r="J277" s="558"/>
      <c r="K277" s="559"/>
      <c r="L277" s="559"/>
      <c r="M277" s="560"/>
      <c r="O277" s="297"/>
    </row>
    <row r="278" spans="1:31" s="61" customFormat="1" ht="15" customHeight="1">
      <c r="A278" s="472"/>
      <c r="B278" s="567" t="s">
        <v>730</v>
      </c>
      <c r="C278" s="568"/>
      <c r="D278" s="568"/>
      <c r="E278" s="569"/>
      <c r="F278" s="570" t="s">
        <v>731</v>
      </c>
      <c r="G278" s="568"/>
      <c r="H278" s="568"/>
      <c r="I278" s="571"/>
      <c r="J278" s="572" t="s">
        <v>732</v>
      </c>
      <c r="K278" s="568"/>
      <c r="L278" s="568"/>
      <c r="M278" s="573"/>
      <c r="O278" s="297"/>
    </row>
    <row r="279" spans="1:31" s="61" customFormat="1" ht="15" customHeight="1">
      <c r="A279" s="472"/>
      <c r="B279" s="574" t="s">
        <v>434</v>
      </c>
      <c r="C279" s="575"/>
      <c r="D279" s="575"/>
      <c r="E279" s="576"/>
      <c r="F279" s="577" t="s">
        <v>437</v>
      </c>
      <c r="G279" s="575"/>
      <c r="H279" s="575"/>
      <c r="I279" s="578"/>
      <c r="J279" s="579" t="s">
        <v>439</v>
      </c>
      <c r="K279" s="575"/>
      <c r="L279" s="575"/>
      <c r="M279" s="580"/>
      <c r="O279" s="297"/>
    </row>
    <row r="280" spans="1:31" s="61" customFormat="1" ht="15" customHeight="1" thickBot="1">
      <c r="A280" s="472"/>
      <c r="B280" s="465"/>
      <c r="C280" s="466"/>
      <c r="D280" s="466"/>
      <c r="E280" s="466"/>
      <c r="F280" s="467"/>
      <c r="G280" s="468"/>
      <c r="H280" s="468"/>
      <c r="I280" s="468"/>
      <c r="J280" s="469"/>
      <c r="K280" s="466"/>
      <c r="L280" s="470"/>
      <c r="M280" s="471"/>
      <c r="O280" s="297"/>
    </row>
    <row r="281" spans="1:31" s="1" customFormat="1" ht="15" customHeight="1">
      <c r="A281" s="37"/>
      <c r="E281" s="313"/>
      <c r="F281" s="313"/>
      <c r="G281" s="313"/>
      <c r="J281" s="130"/>
      <c r="K281" s="314"/>
      <c r="L281" s="313"/>
      <c r="M281" s="313"/>
      <c r="O281" s="297"/>
      <c r="P281" s="369"/>
    </row>
    <row r="282" spans="1:31" s="1" customFormat="1" ht="15" customHeight="1">
      <c r="A282" s="37"/>
      <c r="H282" s="130"/>
      <c r="I282" s="314"/>
      <c r="J282" s="313"/>
      <c r="K282" s="313"/>
      <c r="L282" s="313"/>
      <c r="M282" s="313"/>
      <c r="O282" s="308"/>
      <c r="P282" s="61"/>
      <c r="Z282" s="205"/>
      <c r="AB282" s="207"/>
      <c r="AE282" s="207"/>
    </row>
    <row r="283" spans="1:31" s="1" customFormat="1" ht="15" customHeight="1">
      <c r="A283" s="37"/>
      <c r="B283" s="16" t="s">
        <v>733</v>
      </c>
      <c r="G283" s="107"/>
      <c r="H283" s="107"/>
      <c r="I283" s="107"/>
      <c r="L283" s="207"/>
      <c r="O283" s="308"/>
      <c r="P283" s="61"/>
      <c r="Z283" s="205"/>
      <c r="AB283" s="207"/>
      <c r="AE283" s="207"/>
    </row>
    <row r="284" spans="1:31" s="1" customFormat="1" ht="15" customHeight="1">
      <c r="A284" s="37"/>
      <c r="B284" s="16"/>
      <c r="C284" s="1" t="s">
        <v>815</v>
      </c>
      <c r="G284" s="107"/>
      <c r="H284" s="107"/>
      <c r="I284" s="107"/>
      <c r="L284" s="207"/>
      <c r="O284" s="308"/>
      <c r="P284" s="61"/>
      <c r="Z284" s="205"/>
      <c r="AB284" s="207"/>
      <c r="AE284" s="207"/>
    </row>
    <row r="285" spans="1:31" s="1" customFormat="1" ht="15" customHeight="1">
      <c r="A285" s="37"/>
      <c r="B285" s="16"/>
      <c r="G285" s="107"/>
      <c r="H285" s="107"/>
      <c r="I285" s="107"/>
      <c r="L285" s="207"/>
      <c r="O285" s="308"/>
      <c r="P285" s="61"/>
      <c r="Z285" s="205"/>
      <c r="AB285" s="207"/>
      <c r="AE285" s="207"/>
    </row>
    <row r="286" spans="1:31" s="1" customFormat="1" ht="15" customHeight="1">
      <c r="A286" s="8"/>
      <c r="B286" s="109" t="s">
        <v>388</v>
      </c>
      <c r="C286" s="16"/>
      <c r="D286" s="315"/>
      <c r="E286" s="316"/>
      <c r="F286" s="106"/>
      <c r="H286" s="107"/>
      <c r="I286" s="107"/>
      <c r="L286" s="207"/>
      <c r="O286" s="308"/>
      <c r="P286" s="61"/>
      <c r="Z286" s="205"/>
      <c r="AA286" s="168"/>
      <c r="AB286" s="207"/>
      <c r="AE286" s="207"/>
    </row>
    <row r="287" spans="1:31" s="1" customFormat="1" ht="15" customHeight="1">
      <c r="B287" s="27"/>
      <c r="C287" s="16"/>
      <c r="E287" s="106"/>
      <c r="G287" s="107"/>
      <c r="H287" s="107"/>
      <c r="I287" s="107"/>
      <c r="L287" s="207"/>
      <c r="O287" s="308"/>
      <c r="P287" s="61"/>
      <c r="Z287" s="205"/>
      <c r="AB287" s="207"/>
      <c r="AE287" s="207"/>
    </row>
    <row r="288" spans="1:31" s="1" customFormat="1" ht="20.100000000000001" customHeight="1">
      <c r="C288" s="44" t="s">
        <v>734</v>
      </c>
      <c r="D288" s="44"/>
      <c r="E288" s="44"/>
      <c r="F288" s="44"/>
      <c r="G288" s="44"/>
      <c r="H288" s="44"/>
      <c r="I288" s="317" t="s">
        <v>735</v>
      </c>
      <c r="J288" s="44"/>
      <c r="K288" s="44"/>
      <c r="L288" s="44"/>
      <c r="O288" s="297"/>
      <c r="P288" s="61"/>
      <c r="Z288" s="205"/>
      <c r="AB288" s="207"/>
      <c r="AE288" s="207"/>
    </row>
    <row r="289" spans="1:31" s="1" customFormat="1" ht="20.100000000000001" customHeight="1">
      <c r="C289" s="318" t="s">
        <v>736</v>
      </c>
      <c r="I289" s="318" t="s">
        <v>737</v>
      </c>
      <c r="L289" s="207"/>
      <c r="O289" s="297"/>
      <c r="P289" s="61"/>
      <c r="S289" s="207"/>
      <c r="Z289" s="205"/>
      <c r="AB289" s="207"/>
      <c r="AE289" s="207"/>
    </row>
    <row r="290" spans="1:31" s="1" customFormat="1" ht="20.100000000000001" customHeight="1">
      <c r="C290" s="1" t="s">
        <v>738</v>
      </c>
      <c r="F290" s="1" t="s">
        <v>739</v>
      </c>
      <c r="H290" s="35"/>
      <c r="I290" s="582" t="s">
        <v>167</v>
      </c>
      <c r="J290" s="582"/>
      <c r="K290" s="582"/>
      <c r="L290" s="582"/>
      <c r="O290" s="297"/>
      <c r="P290" s="61"/>
      <c r="Z290" s="205"/>
      <c r="AB290" s="207"/>
      <c r="AE290" s="207"/>
    </row>
    <row r="291" spans="1:31" s="1" customFormat="1" ht="20.100000000000001" customHeight="1">
      <c r="C291" s="19" t="s">
        <v>740</v>
      </c>
      <c r="D291" s="19"/>
      <c r="E291" s="19"/>
      <c r="F291" s="19" t="s">
        <v>741</v>
      </c>
      <c r="G291" s="19"/>
      <c r="H291" s="319"/>
      <c r="I291" s="503"/>
      <c r="J291" s="503"/>
      <c r="K291" s="503"/>
      <c r="L291" s="503"/>
      <c r="O291" s="297"/>
      <c r="P291" s="61"/>
      <c r="Z291" s="205"/>
      <c r="AB291" s="207"/>
      <c r="AE291" s="207"/>
    </row>
    <row r="292" spans="1:31" s="1" customFormat="1" ht="15" customHeight="1">
      <c r="H292" s="35"/>
      <c r="M292" s="207"/>
      <c r="O292" s="297"/>
      <c r="P292" s="370"/>
      <c r="Z292" s="205"/>
      <c r="AB292" s="207"/>
      <c r="AE292" s="207"/>
    </row>
    <row r="293" spans="1:31" s="1" customFormat="1" ht="15" customHeight="1">
      <c r="C293" s="205" t="s">
        <v>177</v>
      </c>
      <c r="F293" s="1" t="s">
        <v>742</v>
      </c>
      <c r="L293" s="207"/>
      <c r="M293" s="207"/>
      <c r="O293" s="297"/>
      <c r="P293" s="370"/>
      <c r="Z293" s="205"/>
      <c r="AB293" s="207"/>
      <c r="AE293" s="207"/>
    </row>
    <row r="294" spans="1:31" s="1" customFormat="1" ht="15" customHeight="1">
      <c r="A294" s="8"/>
      <c r="B294" s="27"/>
      <c r="C294" s="127" t="s">
        <v>402</v>
      </c>
      <c r="E294" s="106"/>
      <c r="F294" s="1" t="s">
        <v>743</v>
      </c>
      <c r="G294" s="107"/>
      <c r="I294" s="107"/>
      <c r="L294" s="207"/>
      <c r="O294" s="308"/>
      <c r="P294" s="61"/>
      <c r="U294" s="207"/>
      <c r="Z294" s="205"/>
      <c r="AB294" s="207"/>
      <c r="AE294" s="207"/>
    </row>
    <row r="295" spans="1:31" s="1" customFormat="1" ht="15" customHeight="1">
      <c r="A295" s="8"/>
      <c r="B295" s="27"/>
      <c r="C295" s="16"/>
      <c r="E295" s="106"/>
      <c r="H295" s="107"/>
      <c r="I295" s="107"/>
      <c r="L295" s="207"/>
      <c r="O295" s="308"/>
      <c r="P295" s="61"/>
      <c r="U295" s="207"/>
      <c r="Z295" s="205"/>
      <c r="AB295" s="207"/>
      <c r="AE295" s="207"/>
    </row>
    <row r="296" spans="1:31" s="1" customFormat="1" ht="15" customHeight="1">
      <c r="C296" s="206" t="s">
        <v>65</v>
      </c>
      <c r="D296" s="1" t="s">
        <v>744</v>
      </c>
      <c r="F296" s="16"/>
      <c r="K296" s="102"/>
      <c r="L296" s="207"/>
      <c r="N296" s="235" t="s">
        <v>816</v>
      </c>
      <c r="O296" s="308"/>
      <c r="P296" s="61"/>
      <c r="U296" s="207"/>
      <c r="Z296" s="205"/>
      <c r="AB296" s="207"/>
      <c r="AE296" s="207"/>
    </row>
    <row r="297" spans="1:31" s="1" customFormat="1" ht="20.100000000000001" customHeight="1">
      <c r="C297" s="8"/>
      <c r="D297" s="43" t="s">
        <v>30</v>
      </c>
      <c r="E297" s="44"/>
      <c r="F297" s="44"/>
      <c r="G297" s="44"/>
      <c r="H297" s="44"/>
      <c r="I297" s="43" t="s">
        <v>122</v>
      </c>
      <c r="J297" s="44"/>
      <c r="K297" s="320"/>
      <c r="L297" s="44"/>
      <c r="M297" s="44"/>
      <c r="O297" s="297"/>
      <c r="P297" s="61"/>
      <c r="U297" s="207"/>
      <c r="Z297" s="205"/>
      <c r="AB297" s="207"/>
      <c r="AE297" s="207"/>
    </row>
    <row r="298" spans="1:31" s="1" customFormat="1" ht="20.100000000000001" customHeight="1">
      <c r="C298" s="8"/>
      <c r="D298" s="1" t="s">
        <v>382</v>
      </c>
      <c r="I298" s="51">
        <v>1</v>
      </c>
      <c r="K298" s="102"/>
      <c r="O298" s="297"/>
      <c r="P298" s="61"/>
      <c r="U298" s="207"/>
      <c r="Z298" s="205"/>
      <c r="AB298" s="207"/>
      <c r="AE298" s="207"/>
    </row>
    <row r="299" spans="1:31" s="1" customFormat="1" ht="20.100000000000001" customHeight="1">
      <c r="C299" s="8"/>
      <c r="D299" s="19" t="s">
        <v>34</v>
      </c>
      <c r="E299" s="19"/>
      <c r="F299" s="19"/>
      <c r="G299" s="19"/>
      <c r="H299" s="19"/>
      <c r="I299" s="19" t="s">
        <v>745</v>
      </c>
      <c r="J299" s="19"/>
      <c r="K299" s="321"/>
      <c r="L299" s="19"/>
      <c r="M299" s="19"/>
      <c r="O299" s="297"/>
      <c r="P299" s="61"/>
      <c r="U299" s="207"/>
      <c r="Z299" s="205"/>
      <c r="AB299" s="207"/>
      <c r="AE299" s="207"/>
    </row>
    <row r="300" spans="1:31" s="1" customFormat="1" ht="15" customHeight="1">
      <c r="B300" s="27"/>
      <c r="C300" s="16"/>
      <c r="E300" s="106"/>
      <c r="G300" s="107"/>
      <c r="H300" s="107"/>
      <c r="I300" s="107"/>
      <c r="L300" s="207"/>
      <c r="O300" s="308"/>
      <c r="P300" s="61"/>
      <c r="U300" s="207"/>
      <c r="Z300" s="205"/>
      <c r="AB300" s="207"/>
      <c r="AE300" s="207"/>
    </row>
    <row r="301" spans="1:31" s="1" customFormat="1" ht="15" customHeight="1">
      <c r="C301" s="16"/>
      <c r="D301" s="53" t="s">
        <v>383</v>
      </c>
      <c r="E301" s="106"/>
      <c r="H301" s="107"/>
      <c r="I301" s="107"/>
      <c r="L301" s="207"/>
      <c r="O301" s="308"/>
      <c r="P301" s="61"/>
      <c r="U301" s="207"/>
      <c r="Z301" s="205"/>
      <c r="AB301" s="207"/>
      <c r="AE301" s="207"/>
    </row>
    <row r="302" spans="1:31" s="1" customFormat="1" ht="15" customHeight="1">
      <c r="C302" s="16"/>
      <c r="D302" s="205" t="s">
        <v>384</v>
      </c>
      <c r="E302" s="106"/>
      <c r="H302" s="107"/>
      <c r="I302" s="107"/>
      <c r="L302" s="207"/>
      <c r="O302" s="297"/>
      <c r="P302" s="61"/>
      <c r="U302" s="207"/>
      <c r="Z302" s="205"/>
      <c r="AB302" s="207"/>
      <c r="AE302" s="207"/>
    </row>
    <row r="303" spans="1:31" s="1" customFormat="1" ht="15" customHeight="1">
      <c r="C303" s="16"/>
      <c r="D303" s="53" t="s">
        <v>385</v>
      </c>
      <c r="E303" s="106"/>
      <c r="H303" s="107"/>
      <c r="I303" s="107"/>
      <c r="L303" s="207"/>
      <c r="O303" s="297"/>
      <c r="P303" s="61"/>
      <c r="U303" s="207"/>
      <c r="Z303" s="205"/>
      <c r="AB303" s="207"/>
      <c r="AE303" s="207"/>
    </row>
    <row r="304" spans="1:31" s="1" customFormat="1" ht="15" customHeight="1">
      <c r="C304" s="16"/>
      <c r="D304" s="1" t="s">
        <v>746</v>
      </c>
      <c r="E304" s="106"/>
      <c r="H304" s="107"/>
      <c r="I304" s="107"/>
      <c r="L304" s="207"/>
      <c r="O304" s="297"/>
      <c r="P304" s="61"/>
      <c r="U304" s="207"/>
      <c r="Z304" s="205"/>
      <c r="AB304" s="207"/>
      <c r="AE304" s="207"/>
    </row>
    <row r="305" spans="3:31" s="1" customFormat="1" ht="15" customHeight="1">
      <c r="C305" s="16"/>
      <c r="D305" s="1" t="s">
        <v>747</v>
      </c>
      <c r="E305" s="106"/>
      <c r="H305" s="107"/>
      <c r="I305" s="107"/>
      <c r="L305" s="207"/>
      <c r="O305" s="297"/>
      <c r="P305" s="61"/>
      <c r="U305" s="207"/>
      <c r="Z305" s="205"/>
      <c r="AB305" s="207"/>
      <c r="AE305" s="207"/>
    </row>
    <row r="306" spans="3:31" s="1" customFormat="1" ht="15" customHeight="1">
      <c r="C306" s="16"/>
      <c r="E306" s="106"/>
      <c r="H306" s="107"/>
      <c r="I306" s="107"/>
      <c r="L306" s="207"/>
      <c r="O306" s="297"/>
      <c r="P306" s="61"/>
      <c r="U306" s="207"/>
      <c r="Z306" s="205"/>
      <c r="AB306" s="207"/>
      <c r="AE306" s="207"/>
    </row>
    <row r="307" spans="3:31" s="1" customFormat="1" ht="15" customHeight="1">
      <c r="C307" s="206" t="s">
        <v>65</v>
      </c>
      <c r="D307" s="1" t="s">
        <v>748</v>
      </c>
      <c r="I307" s="35"/>
      <c r="N307" s="235" t="s">
        <v>817</v>
      </c>
      <c r="O307" s="297"/>
      <c r="P307" s="61"/>
      <c r="U307" s="207"/>
      <c r="Z307" s="205"/>
      <c r="AB307" s="207"/>
      <c r="AE307" s="207"/>
    </row>
    <row r="308" spans="3:31" s="1" customFormat="1" ht="20.100000000000001" customHeight="1">
      <c r="D308" s="43" t="s">
        <v>30</v>
      </c>
      <c r="E308" s="44"/>
      <c r="F308" s="44"/>
      <c r="G308" s="44"/>
      <c r="H308" s="44"/>
      <c r="I308" s="317"/>
      <c r="J308" s="44"/>
      <c r="K308" s="44"/>
      <c r="L308" s="44" t="s">
        <v>749</v>
      </c>
      <c r="M308" s="44"/>
      <c r="O308" s="297"/>
      <c r="P308" s="61"/>
      <c r="U308" s="207"/>
      <c r="Z308" s="205"/>
      <c r="AB308" s="207"/>
      <c r="AE308" s="207"/>
    </row>
    <row r="309" spans="3:31" s="1" customFormat="1" ht="20.100000000000001" customHeight="1">
      <c r="D309" s="111" t="s">
        <v>750</v>
      </c>
      <c r="E309" s="111"/>
      <c r="F309" s="111"/>
      <c r="G309" s="111" t="s">
        <v>751</v>
      </c>
      <c r="H309" s="111"/>
      <c r="I309" s="111"/>
      <c r="J309" s="111"/>
      <c r="K309" s="111"/>
      <c r="L309" s="117">
        <v>1</v>
      </c>
      <c r="M309" s="111"/>
      <c r="O309" s="297"/>
      <c r="P309" s="61"/>
      <c r="U309" s="207"/>
      <c r="Z309" s="205"/>
      <c r="AB309" s="207"/>
      <c r="AE309" s="207"/>
    </row>
    <row r="310" spans="3:31" s="1" customFormat="1" ht="20.100000000000001" customHeight="1">
      <c r="D310" s="1" t="s">
        <v>752</v>
      </c>
      <c r="L310" s="322"/>
      <c r="O310" s="297"/>
      <c r="P310" s="61"/>
      <c r="U310" s="207"/>
      <c r="Z310" s="205"/>
      <c r="AB310" s="207"/>
      <c r="AE310" s="207"/>
    </row>
    <row r="311" spans="3:31" s="1" customFormat="1" ht="20.100000000000001" customHeight="1">
      <c r="D311" s="1" t="s">
        <v>753</v>
      </c>
      <c r="G311" s="1" t="s">
        <v>751</v>
      </c>
      <c r="L311" s="51">
        <v>1</v>
      </c>
      <c r="O311" s="297"/>
      <c r="P311" s="61"/>
      <c r="U311" s="207"/>
      <c r="Z311" s="205"/>
      <c r="AB311" s="207"/>
      <c r="AE311" s="207"/>
    </row>
    <row r="312" spans="3:31" s="1" customFormat="1" ht="20.100000000000001" customHeight="1">
      <c r="D312" s="46" t="s">
        <v>754</v>
      </c>
      <c r="E312" s="46"/>
      <c r="F312" s="46"/>
      <c r="G312" s="46"/>
      <c r="H312" s="46"/>
      <c r="I312" s="46"/>
      <c r="J312" s="46"/>
      <c r="K312" s="46"/>
      <c r="L312" s="323"/>
      <c r="M312" s="46"/>
      <c r="O312" s="297"/>
      <c r="P312" s="61"/>
      <c r="U312" s="207"/>
      <c r="Z312" s="205"/>
      <c r="AB312" s="207"/>
      <c r="AE312" s="207"/>
    </row>
    <row r="313" spans="3:31" s="1" customFormat="1" ht="20.100000000000001" customHeight="1">
      <c r="D313" s="115" t="s">
        <v>755</v>
      </c>
      <c r="E313" s="115"/>
      <c r="F313" s="115"/>
      <c r="G313" s="115" t="s">
        <v>756</v>
      </c>
      <c r="I313" s="115"/>
      <c r="J313" s="115"/>
      <c r="K313" s="115"/>
      <c r="L313" s="324">
        <v>1</v>
      </c>
      <c r="M313" s="115"/>
      <c r="O313" s="297"/>
      <c r="P313" s="61"/>
      <c r="U313" s="207"/>
      <c r="Z313" s="205"/>
      <c r="AB313" s="207"/>
      <c r="AE313" s="207"/>
    </row>
    <row r="314" spans="3:31" s="1" customFormat="1" ht="20.100000000000001" customHeight="1">
      <c r="D314" s="115" t="s">
        <v>757</v>
      </c>
      <c r="E314" s="115"/>
      <c r="F314" s="115"/>
      <c r="G314" s="115"/>
      <c r="H314" s="115"/>
      <c r="I314" s="325"/>
      <c r="J314" s="115"/>
      <c r="K314" s="115"/>
      <c r="L314" s="324">
        <v>1</v>
      </c>
      <c r="M314" s="115"/>
      <c r="O314" s="297"/>
      <c r="P314" s="61"/>
      <c r="U314" s="207"/>
      <c r="Z314" s="205"/>
      <c r="AB314" s="207"/>
      <c r="AE314" s="207"/>
    </row>
    <row r="315" spans="3:31" s="1" customFormat="1" ht="20.100000000000001" customHeight="1">
      <c r="D315" s="331" t="s">
        <v>34</v>
      </c>
      <c r="E315" s="331"/>
      <c r="F315" s="114"/>
      <c r="G315" s="114"/>
      <c r="H315" s="114"/>
      <c r="I315" s="114" t="s">
        <v>824</v>
      </c>
      <c r="J315" s="114"/>
      <c r="K315" s="114"/>
      <c r="L315" s="114"/>
      <c r="M315" s="114"/>
      <c r="O315" s="297"/>
      <c r="P315" s="61"/>
      <c r="U315" s="207"/>
      <c r="Z315" s="205"/>
      <c r="AB315" s="207"/>
      <c r="AE315" s="207"/>
    </row>
    <row r="316" spans="3:31" s="1" customFormat="1" ht="15" customHeight="1">
      <c r="D316" s="205" t="s">
        <v>758</v>
      </c>
      <c r="E316" s="205"/>
      <c r="I316" s="35"/>
      <c r="O316" s="297"/>
      <c r="P316" s="61"/>
      <c r="U316" s="207"/>
      <c r="Z316" s="205"/>
      <c r="AB316" s="207"/>
      <c r="AE316" s="207"/>
    </row>
    <row r="317" spans="3:31" s="1" customFormat="1" ht="15" customHeight="1">
      <c r="C317" s="16"/>
      <c r="E317" s="106"/>
      <c r="H317" s="107"/>
      <c r="I317" s="107"/>
      <c r="L317" s="207"/>
      <c r="O317" s="297"/>
      <c r="P317" s="61"/>
      <c r="U317" s="207"/>
      <c r="Z317" s="205"/>
      <c r="AB317" s="207"/>
      <c r="AE317" s="207"/>
    </row>
    <row r="318" spans="3:31" s="1" customFormat="1" ht="15" customHeight="1">
      <c r="C318" s="206" t="s">
        <v>65</v>
      </c>
      <c r="D318" s="19" t="s">
        <v>285</v>
      </c>
      <c r="E318" s="154"/>
      <c r="F318" s="154"/>
      <c r="G318" s="154"/>
      <c r="H318" s="154"/>
      <c r="I318" s="154"/>
      <c r="L318" s="207"/>
      <c r="N318" s="235" t="s">
        <v>818</v>
      </c>
      <c r="O318" s="309"/>
      <c r="P318" s="61"/>
      <c r="Q318" s="207"/>
      <c r="T318" s="207"/>
    </row>
    <row r="319" spans="3:31" s="1" customFormat="1" ht="20.100000000000001" customHeight="1">
      <c r="D319" s="43" t="s">
        <v>30</v>
      </c>
      <c r="E319" s="43"/>
      <c r="F319" s="43"/>
      <c r="G319" s="43"/>
      <c r="H319" s="43"/>
      <c r="I319" s="43"/>
      <c r="J319" s="43" t="s">
        <v>154</v>
      </c>
      <c r="K319" s="43"/>
      <c r="L319" s="43"/>
      <c r="M319" s="43"/>
      <c r="O319" s="297"/>
      <c r="P319" s="61"/>
      <c r="T319" s="207"/>
    </row>
    <row r="320" spans="3:31" s="1" customFormat="1" ht="15" customHeight="1">
      <c r="D320" s="1" t="s">
        <v>289</v>
      </c>
      <c r="E320" s="16"/>
      <c r="F320" s="16"/>
      <c r="G320" s="16"/>
      <c r="H320" s="16"/>
      <c r="I320" s="16"/>
      <c r="J320" s="208">
        <v>7.2</v>
      </c>
      <c r="K320" s="45"/>
      <c r="L320" s="45"/>
      <c r="M320" s="45"/>
      <c r="O320" s="297"/>
      <c r="P320" s="61"/>
      <c r="T320" s="207"/>
    </row>
    <row r="321" spans="2:32" s="1" customFormat="1" ht="15" customHeight="1">
      <c r="D321" s="1" t="s">
        <v>290</v>
      </c>
      <c r="E321" s="16"/>
      <c r="F321" s="16"/>
      <c r="G321" s="16"/>
      <c r="H321" s="16"/>
      <c r="I321" s="16"/>
      <c r="J321" s="16"/>
      <c r="K321" s="16"/>
      <c r="L321" s="16"/>
      <c r="M321" s="16"/>
      <c r="O321" s="297"/>
      <c r="P321" s="61"/>
      <c r="T321" s="207"/>
    </row>
    <row r="322" spans="2:32" s="1" customFormat="1" ht="15" customHeight="1">
      <c r="F322" s="1" t="s">
        <v>759</v>
      </c>
      <c r="J322" s="1" t="s">
        <v>760</v>
      </c>
      <c r="O322" s="297"/>
      <c r="P322" s="61"/>
      <c r="T322" s="207"/>
    </row>
    <row r="323" spans="2:32" s="1" customFormat="1" ht="15" customHeight="1">
      <c r="F323" s="1" t="s">
        <v>291</v>
      </c>
      <c r="J323" s="1" t="s">
        <v>761</v>
      </c>
      <c r="O323" s="297"/>
      <c r="P323" s="61"/>
    </row>
    <row r="324" spans="2:32" s="1" customFormat="1" ht="15" customHeight="1">
      <c r="D324" s="19"/>
      <c r="E324" s="19"/>
      <c r="F324" s="19" t="s">
        <v>762</v>
      </c>
      <c r="G324" s="19"/>
      <c r="H324" s="19"/>
      <c r="I324" s="19"/>
      <c r="J324" s="19" t="s">
        <v>763</v>
      </c>
      <c r="K324" s="19"/>
      <c r="L324" s="19"/>
      <c r="M324" s="19"/>
      <c r="O324" s="297"/>
      <c r="P324" s="61"/>
    </row>
    <row r="325" spans="2:32" s="1" customFormat="1" ht="15" customHeight="1">
      <c r="B325" s="27"/>
      <c r="C325" s="16"/>
      <c r="D325" s="1" t="s">
        <v>764</v>
      </c>
      <c r="E325" s="106"/>
      <c r="G325" s="107"/>
      <c r="H325" s="107"/>
      <c r="I325" s="107"/>
      <c r="L325" s="207"/>
      <c r="O325" s="308"/>
      <c r="P325" s="61"/>
      <c r="Z325" s="205"/>
      <c r="AB325" s="207"/>
      <c r="AE325" s="207"/>
    </row>
    <row r="326" spans="2:32" s="1" customFormat="1" ht="15" customHeight="1">
      <c r="B326" s="27"/>
      <c r="C326" s="16"/>
      <c r="E326" s="106"/>
      <c r="G326" s="107"/>
      <c r="H326" s="107"/>
      <c r="I326" s="107"/>
      <c r="L326" s="207"/>
      <c r="O326" s="308"/>
      <c r="P326" s="61"/>
      <c r="Z326" s="205"/>
      <c r="AB326" s="207"/>
      <c r="AE326" s="207"/>
    </row>
    <row r="327" spans="2:32" s="1" customFormat="1" ht="15" customHeight="1">
      <c r="B327" s="27"/>
      <c r="C327" s="206" t="s">
        <v>65</v>
      </c>
      <c r="D327" s="19" t="s">
        <v>765</v>
      </c>
      <c r="G327" s="207"/>
      <c r="I327" s="149"/>
      <c r="K327" s="205"/>
      <c r="N327" s="235" t="s">
        <v>817</v>
      </c>
      <c r="O327" s="308"/>
      <c r="P327" s="61"/>
      <c r="Z327" s="205"/>
      <c r="AB327" s="207"/>
      <c r="AE327" s="207"/>
    </row>
    <row r="328" spans="2:32" s="1" customFormat="1" ht="20.100000000000001" customHeight="1">
      <c r="B328" s="27"/>
      <c r="C328" s="16"/>
      <c r="D328" s="43" t="s">
        <v>30</v>
      </c>
      <c r="E328" s="43"/>
      <c r="F328" s="43"/>
      <c r="G328" s="43"/>
      <c r="H328" s="43"/>
      <c r="I328" s="43"/>
      <c r="J328" s="43" t="s">
        <v>766</v>
      </c>
      <c r="K328" s="43"/>
      <c r="L328" s="43"/>
      <c r="M328" s="43"/>
      <c r="O328" s="297"/>
      <c r="P328" s="61"/>
      <c r="AE328" s="207"/>
    </row>
    <row r="329" spans="2:32" s="1" customFormat="1" ht="20.100000000000001" customHeight="1">
      <c r="B329" s="27"/>
      <c r="C329" s="16"/>
      <c r="D329" s="1" t="s">
        <v>756</v>
      </c>
      <c r="I329" s="581" t="s">
        <v>767</v>
      </c>
      <c r="J329" s="581"/>
      <c r="K329" s="581"/>
      <c r="L329" s="581"/>
      <c r="O329" s="297"/>
      <c r="P329" s="61"/>
      <c r="AE329" s="207"/>
    </row>
    <row r="330" spans="2:32" s="1" customFormat="1" ht="20.100000000000001" customHeight="1">
      <c r="B330" s="27"/>
      <c r="C330" s="16"/>
      <c r="D330" s="46" t="s">
        <v>768</v>
      </c>
      <c r="E330" s="46"/>
      <c r="F330" s="46"/>
      <c r="G330" s="46"/>
      <c r="H330" s="46"/>
      <c r="I330" s="46" t="s">
        <v>769</v>
      </c>
      <c r="J330" s="48"/>
      <c r="K330" s="46"/>
      <c r="L330" s="46"/>
      <c r="O330" s="297"/>
      <c r="P330" s="61"/>
      <c r="AE330" s="207"/>
    </row>
    <row r="331" spans="2:32" s="1" customFormat="1" ht="20.100000000000001" customHeight="1">
      <c r="B331" s="27"/>
      <c r="C331" s="16"/>
      <c r="D331" s="19" t="s">
        <v>34</v>
      </c>
      <c r="E331" s="19"/>
      <c r="F331" s="19"/>
      <c r="G331" s="19"/>
      <c r="H331" s="19"/>
      <c r="I331" s="19"/>
      <c r="J331" s="19" t="s">
        <v>770</v>
      </c>
      <c r="K331" s="19"/>
      <c r="L331" s="19"/>
      <c r="M331" s="114"/>
      <c r="O331" s="297"/>
      <c r="P331" s="61"/>
      <c r="AE331" s="207"/>
    </row>
    <row r="332" spans="2:32" s="1" customFormat="1" ht="15" customHeight="1">
      <c r="C332" s="16"/>
      <c r="D332" s="1" t="s">
        <v>771</v>
      </c>
      <c r="E332" s="106"/>
      <c r="G332" s="107"/>
      <c r="H332" s="107"/>
      <c r="I332" s="107"/>
      <c r="L332" s="207"/>
      <c r="O332" s="308"/>
      <c r="P332" s="61"/>
      <c r="Z332" s="205"/>
      <c r="AB332" s="207"/>
      <c r="AE332" s="207"/>
    </row>
    <row r="333" spans="2:32" s="1" customFormat="1" ht="15" customHeight="1">
      <c r="C333" s="16"/>
      <c r="D333" s="326" t="s">
        <v>772</v>
      </c>
      <c r="E333" s="106"/>
      <c r="G333" s="107"/>
      <c r="I333" s="107"/>
      <c r="L333" s="207"/>
      <c r="O333" s="308"/>
      <c r="P333" s="61"/>
      <c r="Z333" s="205"/>
      <c r="AB333" s="207"/>
      <c r="AE333" s="207"/>
    </row>
    <row r="334" spans="2:32" s="1" customFormat="1" ht="15" customHeight="1">
      <c r="C334" s="16"/>
      <c r="E334" s="106"/>
      <c r="G334" s="107"/>
      <c r="H334" s="107"/>
      <c r="I334" s="107"/>
      <c r="L334" s="207"/>
      <c r="O334" s="308"/>
      <c r="P334" s="61"/>
      <c r="Z334" s="205"/>
      <c r="AB334" s="207"/>
      <c r="AE334" s="207"/>
    </row>
    <row r="335" spans="2:32" s="1" customFormat="1" ht="15" customHeight="1">
      <c r="C335" s="206" t="s">
        <v>65</v>
      </c>
      <c r="D335" s="1" t="s">
        <v>773</v>
      </c>
      <c r="E335" s="102"/>
      <c r="F335" s="16"/>
      <c r="G335" s="102"/>
      <c r="H335" s="102"/>
      <c r="I335" s="102"/>
      <c r="L335" s="207"/>
      <c r="N335" s="235" t="s">
        <v>819</v>
      </c>
      <c r="O335" s="297"/>
      <c r="P335" s="61"/>
      <c r="Y335" s="207"/>
      <c r="AD335" s="207"/>
      <c r="AF335" s="207"/>
    </row>
    <row r="336" spans="2:32" s="1" customFormat="1" ht="20.100000000000001" customHeight="1">
      <c r="D336" s="43" t="s">
        <v>30</v>
      </c>
      <c r="E336" s="44"/>
      <c r="F336" s="44"/>
      <c r="G336" s="44"/>
      <c r="H336" s="44"/>
      <c r="I336" s="44"/>
      <c r="J336" s="43" t="s">
        <v>142</v>
      </c>
      <c r="K336" s="44"/>
      <c r="L336" s="44"/>
      <c r="M336" s="44"/>
      <c r="O336" s="297"/>
      <c r="P336" s="61"/>
      <c r="Y336" s="207"/>
      <c r="AD336" s="207"/>
      <c r="AF336" s="207"/>
    </row>
    <row r="337" spans="1:32" s="1" customFormat="1" ht="20.100000000000001" customHeight="1">
      <c r="D337" s="111" t="s">
        <v>830</v>
      </c>
      <c r="E337" s="111"/>
      <c r="F337" s="111"/>
      <c r="G337" s="111"/>
      <c r="H337" s="111"/>
      <c r="I337" s="111"/>
      <c r="J337" s="111" t="s">
        <v>774</v>
      </c>
      <c r="K337" s="111"/>
      <c r="L337" s="111"/>
      <c r="M337" s="111"/>
      <c r="O337" s="297"/>
      <c r="P337" s="61"/>
      <c r="Y337" s="207"/>
      <c r="AD337" s="207"/>
      <c r="AF337" s="207"/>
    </row>
    <row r="338" spans="1:32" s="1" customFormat="1" ht="20.100000000000001" customHeight="1">
      <c r="D338" s="112" t="s">
        <v>829</v>
      </c>
      <c r="E338" s="332"/>
      <c r="F338" s="112"/>
      <c r="I338" s="112" t="s">
        <v>173</v>
      </c>
      <c r="O338" s="297"/>
      <c r="P338" s="61"/>
      <c r="Y338" s="207"/>
      <c r="AD338" s="207"/>
      <c r="AF338" s="207"/>
    </row>
    <row r="339" spans="1:32" s="1" customFormat="1" ht="20.100000000000001" customHeight="1">
      <c r="D339" s="327" t="s">
        <v>775</v>
      </c>
      <c r="E339" s="114"/>
      <c r="F339" s="114"/>
      <c r="G339" s="114"/>
      <c r="H339" s="114"/>
      <c r="I339" s="114"/>
      <c r="J339" s="114" t="s">
        <v>776</v>
      </c>
      <c r="K339" s="114"/>
      <c r="L339" s="114"/>
      <c r="M339" s="114"/>
      <c r="O339" s="297"/>
      <c r="P339" s="61"/>
      <c r="Y339" s="207"/>
      <c r="AD339" s="207"/>
      <c r="AF339" s="207"/>
    </row>
    <row r="340" spans="1:32" s="1" customFormat="1" ht="15" customHeight="1">
      <c r="F340" s="207"/>
      <c r="H340" s="207"/>
      <c r="L340" s="207"/>
      <c r="O340" s="297"/>
      <c r="P340" s="61"/>
      <c r="Y340" s="207"/>
      <c r="AD340" s="207"/>
      <c r="AF340" s="207"/>
    </row>
    <row r="341" spans="1:32" s="1" customFormat="1" ht="15" customHeight="1">
      <c r="D341" s="169" t="s">
        <v>399</v>
      </c>
      <c r="F341" s="1" t="s">
        <v>174</v>
      </c>
      <c r="G341" s="207"/>
      <c r="I341" s="207"/>
      <c r="K341" s="207"/>
      <c r="L341" s="207"/>
      <c r="O341" s="297"/>
      <c r="P341" s="61"/>
      <c r="Y341" s="207"/>
      <c r="AD341" s="207"/>
      <c r="AF341" s="207"/>
    </row>
    <row r="342" spans="1:32" s="1" customFormat="1" ht="15" customHeight="1">
      <c r="D342" s="169" t="s">
        <v>400</v>
      </c>
      <c r="F342" s="1" t="s">
        <v>175</v>
      </c>
      <c r="G342" s="207"/>
      <c r="I342" s="207"/>
      <c r="K342" s="207"/>
      <c r="L342" s="207"/>
      <c r="O342" s="297"/>
      <c r="P342" s="61"/>
      <c r="Y342" s="207"/>
      <c r="AD342" s="207"/>
      <c r="AF342" s="207"/>
    </row>
    <row r="343" spans="1:32" s="1" customFormat="1" ht="15" customHeight="1">
      <c r="A343" s="8"/>
      <c r="D343" s="159" t="s">
        <v>401</v>
      </c>
      <c r="G343" s="207"/>
      <c r="I343" s="127" t="s">
        <v>176</v>
      </c>
      <c r="K343" s="207"/>
      <c r="L343" s="207"/>
      <c r="O343" s="297"/>
      <c r="P343" s="61"/>
      <c r="Y343" s="207"/>
      <c r="AD343" s="207"/>
      <c r="AF343" s="207"/>
    </row>
    <row r="344" spans="1:32" s="1" customFormat="1" ht="15" customHeight="1">
      <c r="A344" s="8"/>
      <c r="D344" s="1" t="s">
        <v>777</v>
      </c>
      <c r="F344" s="207"/>
      <c r="H344" s="207"/>
      <c r="J344" s="207"/>
      <c r="L344" s="207"/>
      <c r="O344" s="297"/>
      <c r="P344" s="61"/>
      <c r="Y344" s="207"/>
      <c r="AD344" s="207"/>
      <c r="AF344" s="207"/>
    </row>
    <row r="345" spans="1:32" s="1" customFormat="1" ht="15" customHeight="1">
      <c r="A345" s="8"/>
      <c r="G345" s="207"/>
      <c r="J345" s="207"/>
      <c r="L345" s="207"/>
      <c r="O345" s="297"/>
      <c r="P345" s="61"/>
      <c r="Y345" s="207"/>
      <c r="AD345" s="207"/>
      <c r="AF345" s="207"/>
    </row>
    <row r="346" spans="1:32" s="1" customFormat="1" ht="15" customHeight="1">
      <c r="A346" s="8"/>
      <c r="D346" s="127" t="s">
        <v>402</v>
      </c>
      <c r="F346" s="207"/>
      <c r="H346" s="207"/>
      <c r="I346" s="205" t="s">
        <v>177</v>
      </c>
      <c r="J346" s="207"/>
      <c r="L346" s="207"/>
      <c r="O346" s="297"/>
      <c r="P346" s="61"/>
      <c r="Y346" s="207"/>
      <c r="AD346" s="207"/>
      <c r="AF346" s="207"/>
    </row>
    <row r="347" spans="1:32" s="1" customFormat="1" ht="15" customHeight="1">
      <c r="A347" s="8"/>
      <c r="F347" s="207"/>
      <c r="H347" s="207"/>
      <c r="J347" s="207"/>
      <c r="L347" s="207"/>
      <c r="O347" s="297"/>
      <c r="P347" s="61"/>
      <c r="Y347" s="207"/>
      <c r="AD347" s="207"/>
      <c r="AF347" s="207"/>
    </row>
    <row r="348" spans="1:32" s="1" customFormat="1" ht="15" customHeight="1">
      <c r="A348" s="8"/>
      <c r="D348" s="1" t="s">
        <v>145</v>
      </c>
      <c r="E348" s="27" t="s">
        <v>146</v>
      </c>
      <c r="F348" s="1" t="s">
        <v>147</v>
      </c>
      <c r="H348" s="207"/>
      <c r="J348" s="207"/>
      <c r="L348" s="207"/>
      <c r="O348" s="297"/>
      <c r="P348" s="61"/>
      <c r="Y348" s="207"/>
      <c r="AD348" s="207"/>
      <c r="AF348" s="207"/>
    </row>
    <row r="349" spans="1:32" s="1" customFormat="1" ht="15" customHeight="1">
      <c r="A349" s="8"/>
      <c r="D349" s="1" t="s">
        <v>403</v>
      </c>
      <c r="E349" s="27" t="s">
        <v>146</v>
      </c>
      <c r="F349" s="1" t="s">
        <v>148</v>
      </c>
      <c r="H349" s="207"/>
      <c r="J349" s="207"/>
      <c r="L349" s="207"/>
      <c r="O349" s="297"/>
      <c r="P349" s="61"/>
      <c r="Y349" s="207"/>
      <c r="AD349" s="207"/>
      <c r="AF349" s="207"/>
    </row>
    <row r="350" spans="1:32" s="1" customFormat="1" ht="15" customHeight="1">
      <c r="A350" s="8"/>
      <c r="D350" s="1" t="s">
        <v>149</v>
      </c>
      <c r="E350" s="27" t="s">
        <v>146</v>
      </c>
      <c r="F350" s="1" t="s">
        <v>178</v>
      </c>
      <c r="H350" s="207"/>
      <c r="J350" s="207"/>
      <c r="L350" s="207"/>
      <c r="O350" s="297"/>
      <c r="P350" s="61"/>
      <c r="Y350" s="207"/>
      <c r="AD350" s="207"/>
      <c r="AF350" s="207"/>
    </row>
    <row r="351" spans="1:32" s="1" customFormat="1" ht="15" customHeight="1">
      <c r="A351" s="8"/>
      <c r="F351" s="205" t="s">
        <v>179</v>
      </c>
      <c r="H351" s="207"/>
      <c r="J351" s="207"/>
      <c r="L351" s="207"/>
      <c r="O351" s="297"/>
      <c r="P351" s="61"/>
      <c r="Y351" s="207"/>
    </row>
    <row r="352" spans="1:32" s="1" customFormat="1" ht="15" customHeight="1">
      <c r="A352" s="8"/>
      <c r="F352" s="207"/>
      <c r="H352" s="207"/>
      <c r="J352" s="207"/>
      <c r="L352" s="207"/>
      <c r="O352" s="297"/>
      <c r="P352" s="61"/>
      <c r="Y352" s="207"/>
    </row>
    <row r="353" spans="3:32" s="1" customFormat="1" ht="15" customHeight="1">
      <c r="C353" s="206" t="s">
        <v>65</v>
      </c>
      <c r="D353" s="1" t="s">
        <v>778</v>
      </c>
      <c r="E353" s="102"/>
      <c r="F353" s="16"/>
      <c r="G353" s="102"/>
      <c r="H353" s="102"/>
      <c r="I353" s="102"/>
      <c r="N353" s="235" t="s">
        <v>819</v>
      </c>
      <c r="O353" s="297"/>
      <c r="P353" s="61"/>
    </row>
    <row r="354" spans="3:32" s="1" customFormat="1" ht="20.100000000000001" customHeight="1">
      <c r="D354" s="43" t="s">
        <v>30</v>
      </c>
      <c r="E354" s="44"/>
      <c r="F354" s="43"/>
      <c r="G354" s="43"/>
      <c r="H354" s="44"/>
      <c r="I354" s="44"/>
      <c r="J354" s="43" t="s">
        <v>150</v>
      </c>
      <c r="K354" s="44"/>
      <c r="L354" s="44"/>
      <c r="M354" s="44"/>
      <c r="O354" s="297"/>
      <c r="P354" s="61"/>
    </row>
    <row r="355" spans="3:32" s="1" customFormat="1" ht="20.100000000000001" customHeight="1">
      <c r="C355" s="8"/>
      <c r="D355" s="45" t="s">
        <v>825</v>
      </c>
      <c r="E355" s="45"/>
      <c r="F355" s="45"/>
      <c r="G355" s="45"/>
      <c r="H355" s="45"/>
      <c r="I355" s="45"/>
      <c r="J355" s="45" t="s">
        <v>151</v>
      </c>
      <c r="K355" s="45"/>
      <c r="L355" s="45"/>
      <c r="M355" s="45"/>
      <c r="O355" s="297"/>
      <c r="P355" s="61"/>
    </row>
    <row r="356" spans="3:32" s="1" customFormat="1" ht="20.100000000000001" customHeight="1">
      <c r="D356" s="115" t="s">
        <v>826</v>
      </c>
      <c r="E356" s="115"/>
      <c r="F356" s="116"/>
      <c r="G356" s="115"/>
      <c r="H356" s="115"/>
      <c r="I356" s="115"/>
      <c r="J356" s="115" t="s">
        <v>827</v>
      </c>
      <c r="K356" s="115"/>
      <c r="L356" s="115"/>
      <c r="M356" s="115"/>
      <c r="O356" s="297"/>
      <c r="P356" s="61"/>
    </row>
    <row r="357" spans="3:32" s="1" customFormat="1" ht="20.100000000000001" customHeight="1">
      <c r="D357" s="19" t="s">
        <v>828</v>
      </c>
      <c r="E357" s="19"/>
      <c r="F357" s="19"/>
      <c r="G357" s="19"/>
      <c r="H357" s="19"/>
      <c r="I357" s="19"/>
      <c r="J357" s="19" t="s">
        <v>779</v>
      </c>
      <c r="K357" s="19"/>
      <c r="L357" s="19"/>
      <c r="M357" s="19"/>
      <c r="O357" s="297"/>
      <c r="P357" s="61"/>
    </row>
    <row r="358" spans="3:32" s="1" customFormat="1" ht="15" customHeight="1">
      <c r="G358" s="35"/>
      <c r="L358" s="207"/>
      <c r="O358" s="297"/>
      <c r="P358" s="61"/>
      <c r="Y358" s="207"/>
    </row>
    <row r="359" spans="3:32" s="1" customFormat="1" ht="15" customHeight="1">
      <c r="C359" s="206" t="s">
        <v>65</v>
      </c>
      <c r="D359" s="19" t="s">
        <v>780</v>
      </c>
      <c r="E359" s="19"/>
      <c r="F359" s="19"/>
      <c r="G359" s="19"/>
      <c r="H359" s="19"/>
      <c r="I359" s="19"/>
      <c r="J359" s="19"/>
      <c r="K359" s="19"/>
      <c r="L359" s="19"/>
      <c r="M359" s="19"/>
      <c r="N359" s="204"/>
      <c r="O359" s="297"/>
      <c r="P359" s="61"/>
      <c r="AD359" s="207"/>
      <c r="AF359" s="207"/>
    </row>
    <row r="360" spans="3:32" s="1" customFormat="1" ht="20.100000000000001" customHeight="1">
      <c r="D360" s="43" t="s">
        <v>30</v>
      </c>
      <c r="E360" s="43"/>
      <c r="F360" s="44"/>
      <c r="G360" s="43" t="s">
        <v>154</v>
      </c>
      <c r="H360" s="44"/>
      <c r="I360" s="44"/>
      <c r="J360" s="44"/>
      <c r="K360" s="44" t="s">
        <v>155</v>
      </c>
      <c r="L360" s="44"/>
      <c r="M360" s="44"/>
      <c r="N360" s="297"/>
      <c r="O360" s="297"/>
      <c r="P360" s="61"/>
      <c r="AC360" s="207"/>
      <c r="AE360" s="207"/>
    </row>
    <row r="361" spans="3:32" s="1" customFormat="1" ht="20.100000000000001" customHeight="1">
      <c r="D361" s="111" t="s">
        <v>156</v>
      </c>
      <c r="E361" s="111"/>
      <c r="F361" s="111"/>
      <c r="G361" s="117">
        <v>4</v>
      </c>
      <c r="H361" s="111"/>
      <c r="I361" s="111"/>
      <c r="J361" s="111"/>
      <c r="K361" s="118">
        <v>5.34</v>
      </c>
      <c r="L361" s="111"/>
      <c r="M361" s="111"/>
      <c r="N361" s="111"/>
      <c r="O361" s="297"/>
      <c r="P361" s="61"/>
      <c r="AC361" s="207"/>
      <c r="AE361" s="207"/>
    </row>
    <row r="362" spans="3:32" s="1" customFormat="1" ht="20.100000000000001" customHeight="1">
      <c r="D362" s="508" t="s">
        <v>159</v>
      </c>
      <c r="E362" s="508"/>
      <c r="F362" s="112" t="s">
        <v>157</v>
      </c>
      <c r="G362" s="112" t="s">
        <v>781</v>
      </c>
      <c r="H362" s="112"/>
      <c r="I362" s="112"/>
      <c r="J362" s="112"/>
      <c r="K362" s="114" t="s">
        <v>180</v>
      </c>
      <c r="L362" s="114"/>
      <c r="M362" s="114"/>
      <c r="N362" s="583" t="s">
        <v>182</v>
      </c>
      <c r="O362" s="297"/>
      <c r="P362" s="61"/>
      <c r="AC362" s="207"/>
      <c r="AE362" s="207"/>
    </row>
    <row r="363" spans="3:32" s="1" customFormat="1" ht="20.100000000000001" customHeight="1">
      <c r="D363" s="503"/>
      <c r="E363" s="503"/>
      <c r="F363" s="19" t="s">
        <v>160</v>
      </c>
      <c r="G363" s="19" t="s">
        <v>782</v>
      </c>
      <c r="H363" s="19"/>
      <c r="I363" s="19"/>
      <c r="J363" s="19"/>
      <c r="K363" s="123" t="s">
        <v>181</v>
      </c>
      <c r="L363" s="123"/>
      <c r="M363" s="123"/>
      <c r="N363" s="584"/>
      <c r="O363" s="297"/>
      <c r="P363" s="61"/>
      <c r="AC363" s="207"/>
      <c r="AE363" s="207"/>
    </row>
    <row r="364" spans="3:32" s="1" customFormat="1" ht="15" customHeight="1">
      <c r="D364" s="1" t="s">
        <v>831</v>
      </c>
      <c r="E364" s="27" t="s">
        <v>185</v>
      </c>
      <c r="F364" s="1" t="s">
        <v>834</v>
      </c>
      <c r="G364" s="35"/>
      <c r="L364" s="207"/>
      <c r="O364" s="297"/>
      <c r="P364" s="61"/>
      <c r="Y364" s="207"/>
      <c r="AB364" s="207"/>
      <c r="AE364" s="207"/>
    </row>
    <row r="365" spans="3:32" s="1" customFormat="1" ht="15" customHeight="1">
      <c r="D365" s="205" t="s">
        <v>832</v>
      </c>
      <c r="E365" s="27" t="s">
        <v>185</v>
      </c>
      <c r="F365" s="205" t="s">
        <v>835</v>
      </c>
      <c r="G365" s="35"/>
      <c r="L365" s="207"/>
      <c r="O365" s="297"/>
      <c r="P365" s="61"/>
      <c r="Y365" s="207"/>
      <c r="AB365" s="207"/>
      <c r="AE365" s="207"/>
    </row>
    <row r="366" spans="3:32" s="1" customFormat="1" ht="15" customHeight="1">
      <c r="C366" s="16"/>
      <c r="D366" s="1" t="s">
        <v>833</v>
      </c>
      <c r="E366" s="27" t="s">
        <v>185</v>
      </c>
      <c r="F366" s="1" t="s">
        <v>836</v>
      </c>
      <c r="G366" s="107"/>
      <c r="H366" s="107"/>
      <c r="I366" s="107"/>
      <c r="L366" s="207"/>
      <c r="O366" s="308"/>
      <c r="P366" s="61"/>
      <c r="Z366" s="205"/>
      <c r="AB366" s="207"/>
      <c r="AE366" s="207"/>
    </row>
    <row r="367" spans="3:32" s="1" customFormat="1" ht="15" customHeight="1">
      <c r="C367" s="16"/>
      <c r="D367" s="1" t="s">
        <v>298</v>
      </c>
      <c r="E367" s="27" t="s">
        <v>185</v>
      </c>
      <c r="F367" s="1" t="s">
        <v>299</v>
      </c>
      <c r="G367" s="107"/>
      <c r="H367" s="107"/>
      <c r="I367" s="107"/>
      <c r="L367" s="207"/>
      <c r="O367" s="308"/>
      <c r="P367" s="61"/>
      <c r="Z367" s="205"/>
      <c r="AB367" s="207"/>
      <c r="AE367" s="207"/>
    </row>
    <row r="368" spans="3:32" s="1" customFormat="1" ht="15" customHeight="1">
      <c r="C368" s="16"/>
      <c r="D368" s="1" t="s">
        <v>149</v>
      </c>
      <c r="E368" s="27" t="s">
        <v>185</v>
      </c>
      <c r="F368" s="1" t="s">
        <v>837</v>
      </c>
      <c r="G368" s="107"/>
      <c r="H368" s="107"/>
      <c r="I368" s="107"/>
      <c r="L368" s="207"/>
      <c r="O368" s="308"/>
      <c r="P368" s="61"/>
      <c r="Z368" s="205"/>
      <c r="AB368" s="207"/>
      <c r="AE368" s="207"/>
    </row>
    <row r="369" spans="2:31" s="1" customFormat="1" ht="15" customHeight="1">
      <c r="C369" s="16"/>
      <c r="F369" s="1" t="s">
        <v>783</v>
      </c>
      <c r="G369" s="107"/>
      <c r="H369" s="107"/>
      <c r="I369" s="107"/>
      <c r="L369" s="207"/>
      <c r="O369" s="308"/>
      <c r="P369" s="61"/>
      <c r="Z369" s="205"/>
      <c r="AB369" s="207"/>
      <c r="AE369" s="207"/>
    </row>
    <row r="370" spans="2:31" s="1" customFormat="1" ht="15" customHeight="1">
      <c r="C370" s="16"/>
      <c r="G370" s="107"/>
      <c r="H370" s="107"/>
      <c r="I370" s="107"/>
      <c r="L370" s="207"/>
      <c r="O370" s="308"/>
      <c r="P370" s="61"/>
      <c r="Z370" s="205"/>
      <c r="AB370" s="207"/>
      <c r="AE370" s="207"/>
    </row>
    <row r="371" spans="2:31" s="1" customFormat="1" ht="15" customHeight="1">
      <c r="B371" s="109" t="s">
        <v>784</v>
      </c>
      <c r="C371" s="16"/>
      <c r="G371" s="107"/>
      <c r="H371" s="107"/>
      <c r="I371" s="107"/>
      <c r="L371" s="207"/>
      <c r="N371" s="235" t="s">
        <v>820</v>
      </c>
      <c r="O371" s="308"/>
      <c r="P371" s="61"/>
      <c r="Z371" s="205"/>
      <c r="AB371" s="207"/>
      <c r="AE371" s="207"/>
    </row>
    <row r="372" spans="2:31" s="1" customFormat="1" ht="15" customHeight="1">
      <c r="B372" s="206" t="s">
        <v>65</v>
      </c>
      <c r="C372" s="1" t="s">
        <v>838</v>
      </c>
      <c r="G372" s="107"/>
      <c r="H372" s="107"/>
      <c r="I372" s="107"/>
      <c r="L372" s="207"/>
      <c r="O372" s="308"/>
      <c r="P372" s="61"/>
      <c r="Z372" s="205"/>
      <c r="AB372" s="207"/>
      <c r="AE372" s="207"/>
    </row>
    <row r="373" spans="2:31" s="1" customFormat="1" ht="20.100000000000001" customHeight="1">
      <c r="C373" s="43" t="s">
        <v>30</v>
      </c>
      <c r="D373" s="43"/>
      <c r="E373" s="328"/>
      <c r="F373" s="43"/>
      <c r="G373" s="43"/>
      <c r="H373" s="43" t="s">
        <v>785</v>
      </c>
      <c r="I373" s="328"/>
      <c r="J373" s="328"/>
      <c r="K373" s="328"/>
      <c r="L373" s="328"/>
      <c r="M373" s="328"/>
      <c r="O373" s="297"/>
      <c r="P373" s="61"/>
      <c r="Z373" s="205"/>
      <c r="AB373" s="207"/>
      <c r="AE373" s="207"/>
    </row>
    <row r="374" spans="2:31" s="1" customFormat="1" ht="20.100000000000001" customHeight="1">
      <c r="C374" s="1" t="s">
        <v>786</v>
      </c>
      <c r="E374" s="35"/>
      <c r="H374" s="1" t="s">
        <v>787</v>
      </c>
      <c r="I374" s="35"/>
      <c r="J374" s="35"/>
      <c r="K374" s="35"/>
      <c r="L374" s="35"/>
      <c r="M374" s="35"/>
      <c r="O374" s="297"/>
      <c r="P374" s="61"/>
      <c r="Z374" s="205"/>
      <c r="AB374" s="207"/>
      <c r="AE374" s="207"/>
    </row>
    <row r="375" spans="2:31" s="1" customFormat="1" ht="20.100000000000001" customHeight="1">
      <c r="C375" s="19" t="s">
        <v>34</v>
      </c>
      <c r="D375" s="19"/>
      <c r="E375" s="319"/>
      <c r="F375" s="19"/>
      <c r="G375" s="19"/>
      <c r="H375" s="19" t="s">
        <v>788</v>
      </c>
      <c r="I375" s="319"/>
      <c r="J375" s="319"/>
      <c r="K375" s="319"/>
      <c r="L375" s="319"/>
      <c r="M375" s="319"/>
      <c r="O375" s="297"/>
      <c r="P375" s="61"/>
      <c r="Z375" s="205"/>
      <c r="AB375" s="207"/>
      <c r="AE375" s="207"/>
    </row>
    <row r="376" spans="2:31" s="1" customFormat="1" ht="15" customHeight="1">
      <c r="E376" s="35"/>
      <c r="I376" s="35"/>
      <c r="J376" s="35"/>
      <c r="K376" s="35"/>
      <c r="L376" s="35"/>
      <c r="M376" s="35"/>
      <c r="O376" s="297"/>
      <c r="P376" s="61"/>
      <c r="Z376" s="205"/>
      <c r="AB376" s="207"/>
      <c r="AE376" s="207"/>
    </row>
    <row r="377" spans="2:31" s="1" customFormat="1" ht="15" customHeight="1">
      <c r="B377" s="206" t="s">
        <v>65</v>
      </c>
      <c r="C377" s="1" t="s">
        <v>839</v>
      </c>
      <c r="H377" s="207"/>
      <c r="K377" s="103"/>
      <c r="O377" s="297"/>
      <c r="P377" s="61"/>
      <c r="Z377" s="205"/>
      <c r="AB377" s="207"/>
      <c r="AE377" s="207"/>
    </row>
    <row r="378" spans="2:31" s="1" customFormat="1" ht="20.100000000000001" customHeight="1">
      <c r="C378" s="43" t="s">
        <v>30</v>
      </c>
      <c r="D378" s="43"/>
      <c r="E378" s="328"/>
      <c r="F378" s="43"/>
      <c r="G378" s="43"/>
      <c r="H378" s="43" t="s">
        <v>785</v>
      </c>
      <c r="I378" s="328"/>
      <c r="J378" s="328"/>
      <c r="K378" s="328"/>
      <c r="L378" s="328"/>
      <c r="M378" s="328"/>
      <c r="O378" s="297"/>
      <c r="P378" s="61"/>
      <c r="Z378" s="205"/>
      <c r="AB378" s="207"/>
      <c r="AE378" s="207"/>
    </row>
    <row r="379" spans="2:31" s="1" customFormat="1" ht="20.100000000000001" customHeight="1">
      <c r="C379" s="1" t="s">
        <v>786</v>
      </c>
      <c r="E379" s="35"/>
      <c r="H379" s="1" t="s">
        <v>787</v>
      </c>
      <c r="I379" s="35"/>
      <c r="J379" s="35"/>
      <c r="K379" s="35"/>
      <c r="L379" s="35"/>
      <c r="M379" s="35"/>
      <c r="O379" s="297"/>
      <c r="P379" s="61"/>
      <c r="Z379" s="205"/>
      <c r="AB379" s="207"/>
      <c r="AE379" s="207"/>
    </row>
    <row r="380" spans="2:31" s="1" customFormat="1" ht="20.100000000000001" customHeight="1">
      <c r="C380" s="1" t="s">
        <v>789</v>
      </c>
      <c r="E380" s="35"/>
      <c r="H380" s="1" t="s">
        <v>790</v>
      </c>
      <c r="I380" s="35"/>
      <c r="J380" s="35"/>
      <c r="K380" s="35"/>
      <c r="L380" s="35"/>
      <c r="M380" s="35"/>
      <c r="O380" s="297"/>
      <c r="P380" s="61"/>
      <c r="Z380" s="205"/>
      <c r="AB380" s="207"/>
      <c r="AE380" s="207"/>
    </row>
    <row r="381" spans="2:31" s="1" customFormat="1" ht="20.100000000000001" customHeight="1">
      <c r="C381" s="19" t="s">
        <v>34</v>
      </c>
      <c r="D381" s="19"/>
      <c r="E381" s="319"/>
      <c r="F381" s="19"/>
      <c r="G381" s="19"/>
      <c r="H381" s="19" t="s">
        <v>791</v>
      </c>
      <c r="I381" s="319"/>
      <c r="J381" s="319"/>
      <c r="K381" s="319"/>
      <c r="L381" s="319"/>
      <c r="M381" s="319"/>
      <c r="O381" s="297"/>
      <c r="P381" s="61"/>
      <c r="Z381" s="205"/>
      <c r="AB381" s="207"/>
      <c r="AE381" s="207"/>
    </row>
    <row r="382" spans="2:31" s="1" customFormat="1" ht="15" customHeight="1">
      <c r="C382" s="16"/>
      <c r="H382" s="35"/>
      <c r="I382" s="107"/>
      <c r="L382" s="207"/>
      <c r="O382" s="308"/>
      <c r="P382" s="61"/>
      <c r="Z382" s="205"/>
      <c r="AB382" s="207"/>
      <c r="AE382" s="207"/>
    </row>
    <row r="383" spans="2:31" s="1" customFormat="1" ht="15" customHeight="1">
      <c r="B383" s="206" t="s">
        <v>65</v>
      </c>
      <c r="C383" s="52" t="s">
        <v>840</v>
      </c>
      <c r="O383" s="297"/>
      <c r="P383" s="61"/>
    </row>
    <row r="384" spans="2:31" s="1" customFormat="1" ht="15" customHeight="1">
      <c r="C384" s="1" t="s">
        <v>792</v>
      </c>
      <c r="O384" s="297"/>
      <c r="P384" s="61"/>
    </row>
    <row r="385" spans="2:31" s="1" customFormat="1" ht="15" customHeight="1">
      <c r="O385" s="297"/>
      <c r="P385" s="61"/>
    </row>
    <row r="386" spans="2:31" s="1" customFormat="1" ht="15" customHeight="1">
      <c r="C386" s="1" t="s">
        <v>793</v>
      </c>
      <c r="O386" s="297"/>
      <c r="P386" s="61"/>
    </row>
    <row r="387" spans="2:31" s="1" customFormat="1" ht="15" customHeight="1">
      <c r="C387" s="1" t="s">
        <v>621</v>
      </c>
      <c r="D387" s="27" t="s">
        <v>146</v>
      </c>
      <c r="E387" s="1" t="s">
        <v>794</v>
      </c>
      <c r="H387" s="35"/>
      <c r="I387" s="107"/>
      <c r="L387" s="207"/>
      <c r="O387" s="308"/>
      <c r="P387" s="61"/>
      <c r="Z387" s="205"/>
      <c r="AB387" s="207"/>
      <c r="AE387" s="207"/>
    </row>
    <row r="388" spans="2:31" s="1" customFormat="1" ht="15" customHeight="1">
      <c r="C388" s="1" t="s">
        <v>650</v>
      </c>
      <c r="D388" s="27" t="s">
        <v>146</v>
      </c>
      <c r="E388" s="1" t="s">
        <v>795</v>
      </c>
      <c r="H388" s="35"/>
      <c r="I388" s="107"/>
      <c r="L388" s="207"/>
      <c r="O388" s="308"/>
      <c r="P388" s="61"/>
      <c r="Z388" s="205"/>
      <c r="AB388" s="207"/>
      <c r="AE388" s="207"/>
    </row>
    <row r="389" spans="2:31" s="1" customFormat="1" ht="15" customHeight="1">
      <c r="C389" s="1" t="s">
        <v>682</v>
      </c>
      <c r="D389" s="27" t="s">
        <v>146</v>
      </c>
      <c r="E389" s="1" t="s">
        <v>796</v>
      </c>
      <c r="H389" s="35"/>
      <c r="I389" s="107"/>
      <c r="L389" s="207"/>
      <c r="O389" s="308"/>
      <c r="P389" s="61"/>
      <c r="Z389" s="205"/>
      <c r="AB389" s="207"/>
      <c r="AE389" s="207"/>
    </row>
    <row r="390" spans="2:31" s="1" customFormat="1" ht="15" customHeight="1">
      <c r="C390" s="1" t="s">
        <v>679</v>
      </c>
      <c r="D390" s="27" t="s">
        <v>146</v>
      </c>
      <c r="E390" s="1" t="s">
        <v>919</v>
      </c>
      <c r="H390" s="35"/>
      <c r="I390" s="107"/>
      <c r="L390" s="207"/>
      <c r="O390" s="308"/>
      <c r="P390" s="61"/>
      <c r="Z390" s="205"/>
      <c r="AB390" s="207"/>
      <c r="AE390" s="207"/>
    </row>
    <row r="391" spans="2:31" s="1" customFormat="1" ht="15" customHeight="1">
      <c r="C391" s="16"/>
      <c r="E391" s="1" t="s">
        <v>920</v>
      </c>
      <c r="G391" s="107"/>
      <c r="H391" s="107"/>
      <c r="I391" s="107"/>
      <c r="L391" s="207"/>
      <c r="O391" s="308"/>
      <c r="P391" s="61"/>
      <c r="Z391" s="205"/>
      <c r="AB391" s="207"/>
      <c r="AE391" s="207"/>
    </row>
    <row r="392" spans="2:31" s="1" customFormat="1" ht="15" customHeight="1">
      <c r="C392" s="16"/>
      <c r="G392" s="107"/>
      <c r="H392" s="107"/>
      <c r="I392" s="107"/>
      <c r="L392" s="209"/>
      <c r="O392" s="308"/>
      <c r="P392" s="61"/>
      <c r="Z392" s="210"/>
      <c r="AB392" s="209"/>
      <c r="AE392" s="209"/>
    </row>
    <row r="393" spans="2:31" s="1" customFormat="1" ht="15" customHeight="1">
      <c r="B393" s="109" t="s">
        <v>797</v>
      </c>
      <c r="N393" s="207"/>
      <c r="O393" s="297"/>
      <c r="P393" s="61"/>
      <c r="Z393" s="205"/>
      <c r="AB393" s="207"/>
      <c r="AE393" s="207"/>
    </row>
    <row r="394" spans="2:31" s="1" customFormat="1" ht="15" customHeight="1">
      <c r="N394" s="207"/>
      <c r="O394" s="297"/>
      <c r="P394" s="61"/>
      <c r="Z394" s="205"/>
      <c r="AB394" s="207"/>
      <c r="AE394" s="207"/>
    </row>
    <row r="395" spans="2:31" s="1" customFormat="1" ht="20.100000000000001" customHeight="1">
      <c r="C395" s="43" t="s">
        <v>30</v>
      </c>
      <c r="D395" s="43"/>
      <c r="E395" s="43"/>
      <c r="F395" s="43"/>
      <c r="G395" s="43"/>
      <c r="H395" s="43"/>
      <c r="I395" s="43"/>
      <c r="J395" s="43" t="s">
        <v>798</v>
      </c>
      <c r="K395" s="43"/>
      <c r="L395" s="43"/>
      <c r="O395" s="297"/>
      <c r="P395" s="61"/>
      <c r="Z395" s="205"/>
      <c r="AB395" s="207"/>
      <c r="AE395" s="207"/>
    </row>
    <row r="396" spans="2:31" s="1" customFormat="1" ht="20.100000000000001" customHeight="1">
      <c r="C396" s="111" t="s">
        <v>799</v>
      </c>
      <c r="D396" s="111"/>
      <c r="E396" s="111"/>
      <c r="F396" s="111"/>
      <c r="G396" s="111"/>
      <c r="H396" s="111"/>
      <c r="I396" s="111"/>
      <c r="J396" s="111" t="s">
        <v>800</v>
      </c>
      <c r="K396" s="111"/>
      <c r="L396" s="111"/>
      <c r="N396" s="235" t="s">
        <v>821</v>
      </c>
      <c r="O396" s="297"/>
      <c r="P396" s="61"/>
      <c r="Z396" s="205"/>
      <c r="AB396" s="207"/>
      <c r="AE396" s="207"/>
    </row>
    <row r="397" spans="2:31" s="1" customFormat="1" ht="20.100000000000001" customHeight="1">
      <c r="C397" s="508" t="s">
        <v>801</v>
      </c>
      <c r="D397" s="508"/>
      <c r="E397" s="508"/>
      <c r="F397" s="1" t="s">
        <v>802</v>
      </c>
      <c r="J397" s="1" t="s">
        <v>803</v>
      </c>
      <c r="N397" s="235" t="s">
        <v>822</v>
      </c>
      <c r="O397" s="297"/>
      <c r="P397" s="61"/>
      <c r="Z397" s="205"/>
      <c r="AB397" s="207"/>
      <c r="AE397" s="207"/>
    </row>
    <row r="398" spans="2:31" s="1" customFormat="1" ht="20.100000000000001" customHeight="1">
      <c r="C398" s="503"/>
      <c r="D398" s="503"/>
      <c r="E398" s="503"/>
      <c r="F398" s="19" t="s">
        <v>741</v>
      </c>
      <c r="G398" s="19"/>
      <c r="H398" s="19"/>
      <c r="I398" s="19"/>
      <c r="J398" s="19" t="s">
        <v>800</v>
      </c>
      <c r="K398" s="19"/>
      <c r="L398" s="19"/>
      <c r="O398" s="297"/>
      <c r="P398" s="61"/>
      <c r="Z398" s="205"/>
      <c r="AB398" s="207"/>
      <c r="AE398" s="207"/>
    </row>
    <row r="399" spans="2:31" s="1" customFormat="1" ht="15" customHeight="1">
      <c r="C399" s="205"/>
      <c r="D399" s="205"/>
      <c r="E399" s="205"/>
      <c r="F399" s="205"/>
      <c r="G399" s="205"/>
      <c r="O399" s="297"/>
      <c r="P399" s="61"/>
      <c r="Z399" s="205"/>
      <c r="AB399" s="207"/>
      <c r="AE399" s="207"/>
    </row>
    <row r="400" spans="2:31" s="1" customFormat="1" ht="15" customHeight="1">
      <c r="C400" s="205"/>
      <c r="D400" s="205"/>
      <c r="E400" s="205"/>
      <c r="F400" s="205"/>
      <c r="G400" s="205"/>
      <c r="O400" s="297"/>
      <c r="P400" s="61"/>
      <c r="Z400" s="205"/>
      <c r="AB400" s="207"/>
      <c r="AE400" s="207"/>
    </row>
    <row r="401" spans="1:31" s="1" customFormat="1" ht="15" customHeight="1">
      <c r="A401" s="207"/>
      <c r="B401" s="37" t="s">
        <v>841</v>
      </c>
      <c r="C401" s="16"/>
      <c r="G401" s="130"/>
      <c r="H401" s="314"/>
      <c r="I401" s="313"/>
      <c r="J401" s="313"/>
      <c r="K401" s="313"/>
      <c r="L401" s="313"/>
      <c r="N401" s="235" t="s">
        <v>823</v>
      </c>
      <c r="O401" s="297"/>
      <c r="P401" s="61"/>
      <c r="Q401" s="313"/>
      <c r="R401" s="313"/>
      <c r="S401" s="313"/>
      <c r="T401" s="313"/>
      <c r="U401" s="313"/>
      <c r="V401" s="313"/>
      <c r="W401" s="313"/>
      <c r="X401" s="313"/>
      <c r="Y401" s="313"/>
      <c r="Z401" s="313"/>
      <c r="AB401" s="129"/>
      <c r="AC401" s="129"/>
      <c r="AD401" s="313"/>
      <c r="AE401" s="207"/>
    </row>
    <row r="402" spans="1:31" s="1" customFormat="1" ht="15" customHeight="1">
      <c r="A402" s="207"/>
      <c r="B402" s="207"/>
      <c r="C402" s="16"/>
      <c r="G402" s="130"/>
      <c r="H402" s="314"/>
      <c r="I402" s="313"/>
      <c r="J402" s="313"/>
      <c r="K402" s="313"/>
      <c r="L402" s="313"/>
      <c r="N402" s="313"/>
      <c r="O402" s="330"/>
      <c r="P402" s="371"/>
      <c r="Q402" s="313"/>
      <c r="R402" s="313"/>
      <c r="S402" s="313"/>
      <c r="T402" s="313"/>
      <c r="U402" s="313"/>
      <c r="V402" s="313"/>
      <c r="W402" s="313"/>
      <c r="X402" s="313"/>
      <c r="Y402" s="313"/>
      <c r="Z402" s="313"/>
      <c r="AB402" s="129"/>
      <c r="AC402" s="129"/>
      <c r="AD402" s="313"/>
      <c r="AE402" s="207"/>
    </row>
    <row r="403" spans="1:31" s="1" customFormat="1" ht="15" customHeight="1">
      <c r="A403" s="207"/>
      <c r="B403" s="207"/>
      <c r="C403" s="16"/>
      <c r="G403" s="130"/>
      <c r="H403" s="314"/>
      <c r="I403" s="313"/>
      <c r="J403" s="313"/>
      <c r="K403" s="313"/>
      <c r="L403" s="313"/>
      <c r="N403" s="313"/>
      <c r="O403" s="330"/>
      <c r="P403" s="371"/>
      <c r="Q403" s="313"/>
      <c r="R403" s="313"/>
      <c r="S403" s="313"/>
      <c r="T403" s="313"/>
      <c r="U403" s="313"/>
      <c r="V403" s="313"/>
      <c r="W403" s="313"/>
      <c r="X403" s="313"/>
      <c r="Y403" s="313"/>
      <c r="Z403" s="313"/>
      <c r="AB403" s="129"/>
      <c r="AC403" s="129"/>
      <c r="AD403" s="313"/>
      <c r="AE403" s="207"/>
    </row>
    <row r="404" spans="1:31" s="1" customFormat="1" ht="15" customHeight="1">
      <c r="A404" s="207"/>
      <c r="B404" s="207"/>
      <c r="C404" s="16"/>
      <c r="G404" s="130"/>
      <c r="H404" s="314"/>
      <c r="I404" s="313"/>
      <c r="J404" s="313"/>
      <c r="K404" s="313"/>
      <c r="L404" s="313"/>
      <c r="N404" s="313"/>
      <c r="O404" s="330"/>
      <c r="P404" s="371"/>
      <c r="Q404" s="313"/>
      <c r="R404" s="313"/>
      <c r="S404" s="313"/>
      <c r="T404" s="313"/>
      <c r="U404" s="313"/>
      <c r="V404" s="313"/>
      <c r="W404" s="313"/>
      <c r="X404" s="313"/>
      <c r="Y404" s="313"/>
      <c r="Z404" s="313"/>
      <c r="AB404" s="129"/>
      <c r="AC404" s="129"/>
      <c r="AD404" s="313"/>
      <c r="AE404" s="207"/>
    </row>
    <row r="405" spans="1:31" s="1" customFormat="1" ht="15" customHeight="1">
      <c r="A405" s="207"/>
      <c r="B405" s="207"/>
      <c r="C405" s="16"/>
      <c r="G405" s="130"/>
      <c r="H405" s="314"/>
      <c r="I405" s="313"/>
      <c r="J405" s="313"/>
      <c r="K405" s="313"/>
      <c r="L405" s="313"/>
      <c r="N405" s="313"/>
      <c r="O405" s="330"/>
      <c r="P405" s="371"/>
      <c r="Q405" s="313"/>
      <c r="R405" s="313"/>
      <c r="S405" s="313"/>
      <c r="T405" s="313"/>
      <c r="U405" s="313"/>
      <c r="V405" s="313"/>
      <c r="W405" s="313"/>
      <c r="X405" s="313"/>
      <c r="Y405" s="313"/>
      <c r="Z405" s="313"/>
      <c r="AB405" s="129"/>
      <c r="AC405" s="129"/>
      <c r="AD405" s="313"/>
      <c r="AE405" s="207"/>
    </row>
    <row r="406" spans="1:31" s="1" customFormat="1" ht="15" customHeight="1">
      <c r="A406" s="207"/>
      <c r="B406" s="207"/>
      <c r="C406" s="16"/>
      <c r="G406" s="130"/>
      <c r="H406" s="314"/>
      <c r="I406" s="313"/>
      <c r="J406" s="313"/>
      <c r="K406" s="313"/>
      <c r="L406" s="313"/>
      <c r="N406" s="313"/>
      <c r="O406" s="330"/>
      <c r="P406" s="371"/>
      <c r="Q406" s="313"/>
      <c r="R406" s="313"/>
      <c r="S406" s="313"/>
      <c r="T406" s="313"/>
      <c r="U406" s="313"/>
      <c r="V406" s="313"/>
      <c r="W406" s="313"/>
      <c r="X406" s="313"/>
      <c r="Y406" s="313"/>
      <c r="Z406" s="313"/>
      <c r="AB406" s="129"/>
      <c r="AC406" s="129"/>
      <c r="AD406" s="313"/>
      <c r="AE406" s="207"/>
    </row>
    <row r="407" spans="1:31" s="1" customFormat="1" ht="15" customHeight="1">
      <c r="A407" s="207"/>
      <c r="B407" s="207"/>
      <c r="C407" s="16"/>
      <c r="G407" s="130"/>
      <c r="H407" s="314"/>
      <c r="I407" s="313"/>
      <c r="J407" s="313"/>
      <c r="K407" s="313"/>
      <c r="L407" s="313"/>
      <c r="N407" s="313"/>
      <c r="O407" s="330"/>
      <c r="P407" s="371"/>
      <c r="Q407" s="313"/>
      <c r="R407" s="313"/>
      <c r="S407" s="313"/>
      <c r="T407" s="313"/>
      <c r="U407" s="313"/>
      <c r="V407" s="313"/>
      <c r="W407" s="313"/>
      <c r="X407" s="313"/>
      <c r="Y407" s="313"/>
      <c r="Z407" s="313"/>
      <c r="AB407" s="129"/>
      <c r="AC407" s="129"/>
      <c r="AD407" s="313"/>
      <c r="AE407" s="207"/>
    </row>
    <row r="408" spans="1:31" s="1" customFormat="1" ht="15" customHeight="1">
      <c r="A408" s="207"/>
      <c r="B408" s="207"/>
      <c r="C408" s="16"/>
      <c r="G408" s="130"/>
      <c r="H408" s="314"/>
      <c r="I408" s="313"/>
      <c r="J408" s="313"/>
      <c r="K408" s="313"/>
      <c r="L408" s="313"/>
      <c r="N408" s="313"/>
      <c r="O408" s="330"/>
      <c r="P408" s="371"/>
      <c r="Q408" s="313"/>
      <c r="R408" s="313"/>
      <c r="S408" s="313"/>
      <c r="T408" s="313"/>
      <c r="U408" s="313"/>
      <c r="V408" s="313"/>
      <c r="W408" s="313"/>
      <c r="X408" s="313"/>
      <c r="Y408" s="313"/>
      <c r="Z408" s="313"/>
      <c r="AB408" s="129"/>
      <c r="AC408" s="129"/>
      <c r="AD408" s="313"/>
      <c r="AE408" s="207"/>
    </row>
    <row r="409" spans="1:31" s="1" customFormat="1" ht="15" customHeight="1">
      <c r="A409" s="207"/>
      <c r="B409" s="207"/>
      <c r="C409" s="16"/>
      <c r="G409" s="130"/>
      <c r="H409" s="314"/>
      <c r="I409" s="313"/>
      <c r="J409" s="313"/>
      <c r="K409" s="313"/>
      <c r="L409" s="313"/>
      <c r="N409" s="313"/>
      <c r="O409" s="330"/>
      <c r="P409" s="371"/>
      <c r="Q409" s="313"/>
      <c r="R409" s="313"/>
      <c r="S409" s="313"/>
      <c r="T409" s="313"/>
      <c r="U409" s="313"/>
      <c r="V409" s="313"/>
      <c r="W409" s="313"/>
      <c r="X409" s="313"/>
      <c r="Y409" s="313"/>
      <c r="Z409" s="313"/>
      <c r="AB409" s="129"/>
      <c r="AC409" s="129"/>
      <c r="AD409" s="313"/>
      <c r="AE409" s="207"/>
    </row>
    <row r="410" spans="1:31" s="1" customFormat="1" ht="15" customHeight="1">
      <c r="A410" s="207"/>
      <c r="B410" s="207"/>
      <c r="C410" s="16"/>
      <c r="G410" s="130"/>
      <c r="H410" s="314"/>
      <c r="I410" s="313"/>
      <c r="J410" s="313"/>
      <c r="K410" s="313"/>
      <c r="L410" s="313"/>
      <c r="N410" s="313"/>
      <c r="O410" s="330"/>
      <c r="P410" s="371"/>
      <c r="Q410" s="313"/>
      <c r="R410" s="313"/>
      <c r="S410" s="313"/>
      <c r="T410" s="313"/>
      <c r="U410" s="313"/>
      <c r="V410" s="313"/>
      <c r="W410" s="313"/>
      <c r="X410" s="313"/>
      <c r="Y410" s="313"/>
      <c r="Z410" s="313"/>
      <c r="AB410" s="129"/>
      <c r="AC410" s="129"/>
      <c r="AD410" s="313"/>
      <c r="AE410" s="207"/>
    </row>
    <row r="411" spans="1:31" s="1" customFormat="1" ht="15" customHeight="1">
      <c r="A411" s="207"/>
      <c r="B411" s="207"/>
      <c r="C411" s="16"/>
      <c r="G411" s="130"/>
      <c r="H411" s="314"/>
      <c r="I411" s="313"/>
      <c r="J411" s="313"/>
      <c r="K411" s="313"/>
      <c r="L411" s="313"/>
      <c r="N411" s="313"/>
      <c r="O411" s="330"/>
      <c r="P411" s="371"/>
      <c r="Q411" s="313"/>
      <c r="R411" s="313"/>
      <c r="S411" s="313"/>
      <c r="T411" s="313"/>
      <c r="U411" s="313"/>
      <c r="V411" s="313"/>
      <c r="W411" s="313"/>
      <c r="X411" s="313"/>
      <c r="Y411" s="313"/>
      <c r="Z411" s="313"/>
      <c r="AB411" s="129"/>
      <c r="AC411" s="129"/>
      <c r="AD411" s="313"/>
      <c r="AE411" s="207"/>
    </row>
    <row r="412" spans="1:31" s="1" customFormat="1" ht="15" customHeight="1">
      <c r="A412" s="207"/>
      <c r="B412" s="207"/>
      <c r="C412" s="16"/>
      <c r="G412" s="130"/>
      <c r="H412" s="314"/>
      <c r="I412" s="313"/>
      <c r="J412" s="313"/>
      <c r="K412" s="313"/>
      <c r="L412" s="313"/>
      <c r="N412" s="313"/>
      <c r="O412" s="330"/>
      <c r="P412" s="371"/>
      <c r="Q412" s="313"/>
      <c r="R412" s="313"/>
      <c r="S412" s="313"/>
      <c r="T412" s="313"/>
      <c r="U412" s="313"/>
      <c r="V412" s="313"/>
      <c r="W412" s="313"/>
      <c r="X412" s="313"/>
      <c r="Y412" s="313"/>
      <c r="Z412" s="313"/>
      <c r="AB412" s="129"/>
      <c r="AC412" s="129"/>
      <c r="AD412" s="313"/>
      <c r="AE412" s="207"/>
    </row>
    <row r="413" spans="1:31" s="1" customFormat="1" ht="15" customHeight="1">
      <c r="A413" s="207"/>
      <c r="B413" s="207"/>
      <c r="C413" s="16"/>
      <c r="G413" s="130"/>
      <c r="H413" s="314"/>
      <c r="I413" s="313"/>
      <c r="J413" s="313"/>
      <c r="K413" s="313"/>
      <c r="L413" s="313"/>
      <c r="N413" s="313"/>
      <c r="O413" s="330"/>
      <c r="P413" s="371"/>
      <c r="Q413" s="313"/>
      <c r="R413" s="313"/>
      <c r="S413" s="313"/>
      <c r="T413" s="313"/>
      <c r="U413" s="313"/>
      <c r="V413" s="313"/>
      <c r="W413" s="313"/>
      <c r="X413" s="313"/>
      <c r="Y413" s="313"/>
      <c r="Z413" s="313"/>
      <c r="AB413" s="129"/>
      <c r="AC413" s="129"/>
      <c r="AD413" s="313"/>
      <c r="AE413" s="207"/>
    </row>
    <row r="414" spans="1:31" s="1" customFormat="1" ht="15" customHeight="1">
      <c r="A414" s="207"/>
      <c r="B414" s="207"/>
      <c r="C414" s="16"/>
      <c r="G414" s="130"/>
      <c r="H414" s="314"/>
      <c r="I414" s="313"/>
      <c r="J414" s="313"/>
      <c r="K414" s="313"/>
      <c r="L414" s="313"/>
      <c r="N414" s="313"/>
      <c r="O414" s="330"/>
      <c r="P414" s="371"/>
      <c r="Q414" s="313"/>
      <c r="R414" s="313"/>
      <c r="S414" s="313"/>
      <c r="T414" s="313"/>
      <c r="U414" s="313"/>
      <c r="V414" s="313"/>
      <c r="W414" s="313"/>
      <c r="X414" s="313"/>
      <c r="Y414" s="313"/>
      <c r="Z414" s="313"/>
      <c r="AB414" s="129"/>
      <c r="AC414" s="129"/>
      <c r="AD414" s="313"/>
      <c r="AE414" s="207"/>
    </row>
    <row r="415" spans="1:31" s="1" customFormat="1" ht="15" customHeight="1">
      <c r="A415" s="207"/>
      <c r="B415" s="207"/>
      <c r="C415" s="16"/>
      <c r="G415" s="130"/>
      <c r="H415" s="314"/>
      <c r="I415" s="313"/>
      <c r="J415" s="313"/>
      <c r="K415" s="313"/>
      <c r="L415" s="313"/>
      <c r="N415" s="313"/>
      <c r="O415" s="330"/>
      <c r="P415" s="371"/>
      <c r="Q415" s="313"/>
      <c r="R415" s="313"/>
      <c r="S415" s="313"/>
      <c r="T415" s="313"/>
      <c r="U415" s="313"/>
      <c r="V415" s="313"/>
      <c r="W415" s="313"/>
      <c r="X415" s="313"/>
      <c r="Y415" s="313"/>
      <c r="Z415" s="313"/>
      <c r="AB415" s="129"/>
      <c r="AC415" s="129"/>
      <c r="AD415" s="313"/>
      <c r="AE415" s="207"/>
    </row>
    <row r="416" spans="1:31" s="1" customFormat="1" ht="15" customHeight="1">
      <c r="A416" s="207"/>
      <c r="B416" s="207"/>
      <c r="C416" s="16"/>
      <c r="G416" s="130"/>
      <c r="H416" s="314"/>
      <c r="I416" s="313"/>
      <c r="J416" s="313"/>
      <c r="K416" s="313"/>
      <c r="L416" s="313"/>
      <c r="N416" s="313"/>
      <c r="O416" s="330"/>
      <c r="P416" s="371"/>
      <c r="Q416" s="51"/>
      <c r="R416" s="313"/>
      <c r="S416" s="313"/>
      <c r="T416" s="313"/>
      <c r="U416" s="313"/>
      <c r="V416" s="313"/>
      <c r="W416" s="313"/>
      <c r="X416" s="313"/>
      <c r="Y416" s="313"/>
      <c r="Z416" s="313"/>
      <c r="AB416" s="129"/>
      <c r="AC416" s="129"/>
      <c r="AD416" s="313"/>
      <c r="AE416" s="207"/>
    </row>
    <row r="417" spans="1:31" s="1" customFormat="1" ht="15" customHeight="1">
      <c r="A417" s="207"/>
      <c r="B417" s="207"/>
      <c r="C417" s="16"/>
      <c r="G417" s="130"/>
      <c r="H417" s="314"/>
      <c r="I417" s="313"/>
      <c r="J417" s="313"/>
      <c r="K417" s="313"/>
      <c r="L417" s="313"/>
      <c r="N417" s="313"/>
      <c r="O417" s="330"/>
      <c r="P417" s="371"/>
      <c r="Q417" s="51"/>
      <c r="R417" s="313"/>
      <c r="S417" s="313"/>
      <c r="T417" s="313"/>
      <c r="U417" s="313"/>
      <c r="V417" s="313"/>
      <c r="W417" s="313"/>
      <c r="X417" s="313"/>
      <c r="Y417" s="313"/>
      <c r="Z417" s="313"/>
      <c r="AB417" s="129"/>
      <c r="AC417" s="129"/>
      <c r="AD417" s="313"/>
      <c r="AE417" s="207"/>
    </row>
    <row r="418" spans="1:31" s="1" customFormat="1" ht="15" customHeight="1">
      <c r="A418" s="207"/>
      <c r="B418" s="207"/>
      <c r="C418" s="16"/>
      <c r="G418" s="130"/>
      <c r="H418" s="314"/>
      <c r="I418" s="313"/>
      <c r="J418" s="313"/>
      <c r="K418" s="313"/>
      <c r="L418" s="313"/>
      <c r="N418" s="313"/>
      <c r="O418" s="330"/>
      <c r="P418" s="371"/>
      <c r="Q418" s="51"/>
      <c r="R418" s="313"/>
      <c r="S418" s="313"/>
      <c r="T418" s="313"/>
      <c r="U418" s="313"/>
      <c r="V418" s="313"/>
      <c r="W418" s="313"/>
      <c r="X418" s="313"/>
      <c r="Y418" s="313"/>
      <c r="Z418" s="313"/>
      <c r="AB418" s="129"/>
      <c r="AC418" s="129"/>
      <c r="AD418" s="313"/>
      <c r="AE418" s="207"/>
    </row>
    <row r="419" spans="1:31" s="1" customFormat="1" ht="15" customHeight="1">
      <c r="A419" s="207"/>
      <c r="B419" s="207"/>
      <c r="C419" s="16"/>
      <c r="G419" s="130"/>
      <c r="H419" s="314"/>
      <c r="I419" s="313"/>
      <c r="J419" s="313"/>
      <c r="K419" s="313"/>
      <c r="L419" s="313"/>
      <c r="N419" s="313"/>
      <c r="O419" s="330"/>
      <c r="P419" s="371"/>
      <c r="Q419" s="51"/>
      <c r="R419" s="313"/>
      <c r="S419" s="313"/>
      <c r="T419" s="313"/>
      <c r="U419" s="313"/>
      <c r="V419" s="313"/>
      <c r="W419" s="313"/>
      <c r="X419" s="313"/>
      <c r="Y419" s="313"/>
      <c r="Z419" s="313"/>
      <c r="AB419" s="129"/>
      <c r="AC419" s="129"/>
      <c r="AD419" s="313"/>
      <c r="AE419" s="207"/>
    </row>
    <row r="420" spans="1:31" s="1" customFormat="1" ht="15" customHeight="1">
      <c r="A420" s="207"/>
      <c r="B420" s="207"/>
      <c r="C420" s="16"/>
      <c r="G420" s="130"/>
      <c r="H420" s="314"/>
      <c r="I420" s="313"/>
      <c r="J420" s="313"/>
      <c r="K420" s="313"/>
      <c r="L420" s="313"/>
      <c r="N420" s="313"/>
      <c r="O420" s="330"/>
      <c r="P420" s="371"/>
      <c r="Q420" s="51"/>
      <c r="R420" s="313"/>
      <c r="S420" s="313"/>
      <c r="T420" s="313"/>
      <c r="U420" s="313"/>
      <c r="V420" s="313"/>
      <c r="X420" s="313"/>
      <c r="Y420" s="313"/>
      <c r="Z420" s="313"/>
      <c r="AB420" s="129"/>
      <c r="AC420" s="129"/>
      <c r="AD420" s="313"/>
      <c r="AE420" s="207"/>
    </row>
    <row r="421" spans="1:31" s="1" customFormat="1" ht="15" customHeight="1">
      <c r="A421" s="207"/>
      <c r="B421" s="207"/>
      <c r="C421" s="16"/>
      <c r="G421" s="130"/>
      <c r="H421" s="314"/>
      <c r="I421" s="313"/>
      <c r="J421" s="313"/>
      <c r="K421" s="313"/>
      <c r="L421" s="313"/>
      <c r="N421" s="313"/>
      <c r="O421" s="330"/>
      <c r="P421" s="371"/>
      <c r="Q421" s="51"/>
      <c r="R421" s="313"/>
      <c r="S421" s="313"/>
      <c r="T421" s="313"/>
      <c r="U421" s="313"/>
      <c r="V421" s="313"/>
      <c r="X421" s="313"/>
      <c r="Y421" s="313"/>
      <c r="Z421" s="313"/>
      <c r="AB421" s="129"/>
      <c r="AC421" s="129"/>
      <c r="AD421" s="313"/>
      <c r="AE421" s="207"/>
    </row>
    <row r="422" spans="1:31" s="1" customFormat="1" ht="15" customHeight="1">
      <c r="A422" s="207"/>
      <c r="B422" s="207"/>
      <c r="C422" s="16"/>
      <c r="G422" s="130"/>
      <c r="H422" s="314"/>
      <c r="I422" s="313"/>
      <c r="J422" s="313"/>
      <c r="K422" s="313"/>
      <c r="L422" s="313"/>
      <c r="N422" s="313"/>
      <c r="O422" s="330"/>
      <c r="P422" s="371"/>
      <c r="Q422" s="51"/>
      <c r="R422" s="313"/>
      <c r="S422" s="313"/>
      <c r="T422" s="313"/>
      <c r="U422" s="313"/>
      <c r="V422" s="313"/>
      <c r="W422" s="313"/>
      <c r="X422" s="313"/>
      <c r="Y422" s="313"/>
      <c r="Z422" s="313"/>
      <c r="AB422" s="129"/>
      <c r="AC422" s="129"/>
      <c r="AD422" s="313"/>
      <c r="AE422" s="207"/>
    </row>
    <row r="423" spans="1:31" s="1" customFormat="1" ht="15" customHeight="1">
      <c r="A423" s="207"/>
      <c r="B423" s="207"/>
      <c r="C423" s="16"/>
      <c r="G423" s="130"/>
      <c r="H423" s="314"/>
      <c r="I423" s="313"/>
      <c r="J423" s="313"/>
      <c r="K423" s="313"/>
      <c r="L423" s="313"/>
      <c r="N423" s="313"/>
      <c r="O423" s="330"/>
      <c r="P423" s="371"/>
      <c r="Q423" s="313"/>
      <c r="R423" s="313"/>
      <c r="S423" s="313"/>
      <c r="T423" s="313"/>
      <c r="U423" s="313"/>
      <c r="V423" s="313"/>
      <c r="W423" s="313"/>
      <c r="X423" s="313"/>
      <c r="Y423" s="313"/>
      <c r="Z423" s="313"/>
      <c r="AB423" s="129"/>
      <c r="AC423" s="129"/>
      <c r="AD423" s="313"/>
      <c r="AE423" s="207"/>
    </row>
    <row r="424" spans="1:31" s="1" customFormat="1" ht="15" customHeight="1">
      <c r="A424" s="207"/>
      <c r="B424" s="207"/>
      <c r="C424" s="16"/>
      <c r="G424" s="130"/>
      <c r="H424" s="314"/>
      <c r="I424" s="313"/>
      <c r="J424" s="313"/>
      <c r="K424" s="313"/>
      <c r="L424" s="313"/>
      <c r="N424" s="313"/>
      <c r="O424" s="330"/>
      <c r="P424" s="371"/>
      <c r="Q424" s="313"/>
      <c r="R424" s="313"/>
      <c r="S424" s="313"/>
      <c r="T424" s="313"/>
      <c r="U424" s="313"/>
      <c r="V424" s="313"/>
      <c r="W424" s="313"/>
      <c r="X424" s="313"/>
      <c r="Y424" s="313"/>
      <c r="Z424" s="313"/>
      <c r="AB424" s="129"/>
      <c r="AC424" s="129"/>
      <c r="AD424" s="313"/>
      <c r="AE424" s="207"/>
    </row>
    <row r="425" spans="1:31" s="1" customFormat="1" ht="15" customHeight="1">
      <c r="A425" s="207"/>
      <c r="B425" s="207"/>
      <c r="C425" s="16"/>
      <c r="G425" s="130"/>
      <c r="H425" s="314"/>
      <c r="I425" s="313"/>
      <c r="J425" s="313"/>
      <c r="K425" s="313"/>
      <c r="L425" s="313"/>
      <c r="N425" s="313"/>
      <c r="O425" s="330"/>
      <c r="P425" s="371"/>
      <c r="Q425" s="313"/>
      <c r="R425" s="313"/>
      <c r="S425" s="313"/>
      <c r="T425" s="313"/>
      <c r="U425" s="313"/>
      <c r="V425" s="313"/>
      <c r="W425" s="313"/>
      <c r="X425" s="313"/>
      <c r="Y425" s="313"/>
      <c r="Z425" s="313"/>
      <c r="AB425" s="129"/>
      <c r="AC425" s="129"/>
      <c r="AD425" s="313"/>
      <c r="AE425" s="207"/>
    </row>
    <row r="426" spans="1:31" s="1" customFormat="1" ht="15" customHeight="1">
      <c r="A426" s="207"/>
      <c r="B426" s="207"/>
      <c r="C426" s="16"/>
      <c r="G426" s="130"/>
      <c r="H426" s="314"/>
      <c r="I426" s="313"/>
      <c r="J426" s="313"/>
      <c r="K426" s="313"/>
      <c r="L426" s="313"/>
      <c r="N426" s="313"/>
      <c r="O426" s="330"/>
      <c r="P426" s="371"/>
      <c r="Q426" s="313"/>
      <c r="R426" s="313"/>
      <c r="S426" s="313"/>
      <c r="T426" s="313"/>
      <c r="U426" s="313"/>
      <c r="V426" s="313"/>
      <c r="W426" s="313"/>
      <c r="X426" s="313"/>
      <c r="Y426" s="313"/>
      <c r="Z426" s="313"/>
      <c r="AB426" s="129"/>
      <c r="AC426" s="129"/>
      <c r="AD426" s="313"/>
      <c r="AE426" s="207"/>
    </row>
    <row r="427" spans="1:31" s="1" customFormat="1" ht="15" customHeight="1">
      <c r="A427" s="207"/>
      <c r="B427" s="207"/>
      <c r="C427" s="16"/>
      <c r="G427" s="130"/>
      <c r="H427" s="314"/>
      <c r="I427" s="313"/>
      <c r="J427" s="313"/>
      <c r="K427" s="313"/>
      <c r="L427" s="313"/>
      <c r="N427" s="313"/>
      <c r="O427" s="330"/>
      <c r="P427" s="371"/>
      <c r="Q427" s="313"/>
      <c r="R427" s="313"/>
      <c r="S427" s="313"/>
      <c r="T427" s="313"/>
      <c r="U427" s="313"/>
      <c r="V427" s="313"/>
      <c r="W427" s="313"/>
      <c r="X427" s="313"/>
      <c r="Y427" s="313"/>
      <c r="Z427" s="313"/>
      <c r="AB427" s="129"/>
      <c r="AC427" s="129"/>
      <c r="AD427" s="313"/>
      <c r="AE427" s="207"/>
    </row>
    <row r="428" spans="1:31" s="1" customFormat="1" ht="15" customHeight="1">
      <c r="A428" s="207"/>
      <c r="B428" s="207"/>
      <c r="C428" s="16"/>
      <c r="G428" s="130"/>
      <c r="H428" s="314"/>
      <c r="I428" s="313"/>
      <c r="J428" s="313"/>
      <c r="K428" s="313"/>
      <c r="L428" s="313"/>
      <c r="N428" s="313"/>
      <c r="O428" s="330"/>
      <c r="P428" s="371"/>
      <c r="Q428" s="313"/>
      <c r="R428" s="313"/>
      <c r="S428" s="313"/>
      <c r="T428" s="313"/>
      <c r="U428" s="313"/>
      <c r="V428" s="313"/>
      <c r="W428" s="313"/>
      <c r="X428" s="313"/>
      <c r="Y428" s="313"/>
      <c r="Z428" s="313"/>
      <c r="AB428" s="129"/>
      <c r="AC428" s="129"/>
      <c r="AD428" s="313"/>
      <c r="AE428" s="207"/>
    </row>
    <row r="429" spans="1:31" s="1" customFormat="1" ht="15" customHeight="1">
      <c r="A429" s="207"/>
      <c r="B429" s="207"/>
      <c r="C429" s="16"/>
      <c r="G429" s="130"/>
      <c r="H429" s="314"/>
      <c r="I429" s="313"/>
      <c r="J429" s="313"/>
      <c r="K429" s="313"/>
      <c r="L429" s="313"/>
      <c r="N429" s="313"/>
      <c r="O429" s="330"/>
      <c r="P429" s="371"/>
      <c r="Q429" s="313"/>
      <c r="R429" s="313"/>
      <c r="S429" s="313"/>
      <c r="T429" s="313"/>
      <c r="U429" s="313"/>
      <c r="V429" s="313"/>
      <c r="W429" s="313"/>
      <c r="X429" s="313"/>
      <c r="Y429" s="313"/>
      <c r="Z429" s="313"/>
      <c r="AB429" s="129"/>
      <c r="AC429" s="129"/>
      <c r="AD429" s="313"/>
      <c r="AE429" s="207"/>
    </row>
    <row r="430" spans="1:31" s="1" customFormat="1" ht="15" customHeight="1">
      <c r="A430" s="207"/>
      <c r="B430" s="207"/>
      <c r="C430" s="16"/>
      <c r="G430" s="130"/>
      <c r="H430" s="314"/>
      <c r="I430" s="313"/>
      <c r="J430" s="313"/>
      <c r="K430" s="313"/>
      <c r="L430" s="313"/>
      <c r="N430" s="313"/>
      <c r="O430" s="330"/>
      <c r="P430" s="371"/>
      <c r="Q430" s="313"/>
      <c r="R430" s="313"/>
      <c r="S430" s="313"/>
      <c r="T430" s="313"/>
      <c r="U430" s="313"/>
      <c r="V430" s="313"/>
      <c r="W430" s="313"/>
      <c r="X430" s="313"/>
      <c r="Y430" s="313"/>
      <c r="Z430" s="313"/>
      <c r="AB430" s="129"/>
      <c r="AC430" s="129"/>
      <c r="AD430" s="313"/>
      <c r="AE430" s="207"/>
    </row>
    <row r="431" spans="1:31" s="1" customFormat="1" ht="15" customHeight="1">
      <c r="A431" s="207"/>
      <c r="B431" s="329"/>
      <c r="D431" s="1" t="s">
        <v>804</v>
      </c>
      <c r="E431" s="27" t="s">
        <v>146</v>
      </c>
      <c r="F431" s="1" t="s">
        <v>805</v>
      </c>
      <c r="G431" s="130"/>
      <c r="H431" s="314"/>
      <c r="I431" s="313"/>
      <c r="J431" s="313"/>
      <c r="K431" s="313"/>
      <c r="L431" s="313"/>
      <c r="N431" s="313"/>
      <c r="O431" s="330"/>
      <c r="P431" s="371"/>
      <c r="Q431" s="313"/>
      <c r="R431" s="313"/>
      <c r="S431" s="313"/>
      <c r="T431" s="313"/>
      <c r="U431" s="313"/>
      <c r="V431" s="313"/>
      <c r="W431" s="313"/>
      <c r="X431" s="313"/>
      <c r="Y431" s="313"/>
      <c r="Z431" s="313"/>
      <c r="AB431" s="129"/>
      <c r="AC431" s="129"/>
      <c r="AD431" s="313"/>
      <c r="AE431" s="207"/>
    </row>
    <row r="432" spans="1:31" s="1" customFormat="1" ht="15" customHeight="1">
      <c r="A432" s="207"/>
      <c r="B432" s="329"/>
      <c r="D432" s="1" t="s">
        <v>149</v>
      </c>
      <c r="E432" s="27" t="s">
        <v>146</v>
      </c>
      <c r="F432" s="1" t="s">
        <v>806</v>
      </c>
      <c r="G432" s="130"/>
      <c r="H432" s="314"/>
      <c r="I432" s="313"/>
      <c r="J432" s="313"/>
      <c r="K432" s="313"/>
      <c r="L432" s="313"/>
      <c r="N432" s="313"/>
      <c r="O432" s="330"/>
      <c r="P432" s="371"/>
      <c r="Q432" s="313"/>
      <c r="R432" s="313"/>
      <c r="S432" s="313"/>
      <c r="T432" s="313"/>
      <c r="U432" s="313"/>
      <c r="V432" s="313"/>
      <c r="W432" s="313"/>
      <c r="X432" s="313"/>
      <c r="Y432" s="313"/>
      <c r="Z432" s="313"/>
      <c r="AB432" s="129"/>
      <c r="AC432" s="129"/>
      <c r="AD432" s="313"/>
      <c r="AE432" s="207"/>
    </row>
    <row r="433" spans="1:38" s="1" customFormat="1" ht="15" customHeight="1">
      <c r="A433" s="207"/>
      <c r="B433" s="329"/>
      <c r="D433" s="1" t="s">
        <v>807</v>
      </c>
      <c r="E433" s="27" t="s">
        <v>146</v>
      </c>
      <c r="F433" s="1" t="s">
        <v>808</v>
      </c>
      <c r="G433" s="130"/>
      <c r="H433" s="314"/>
      <c r="I433" s="313"/>
      <c r="J433" s="313"/>
      <c r="K433" s="313"/>
      <c r="L433" s="313"/>
      <c r="N433" s="313"/>
      <c r="O433" s="330"/>
      <c r="P433" s="371"/>
      <c r="Q433" s="313"/>
      <c r="R433" s="313"/>
      <c r="S433" s="313"/>
      <c r="T433" s="313"/>
      <c r="U433" s="313"/>
      <c r="V433" s="313"/>
      <c r="W433" s="313"/>
      <c r="X433" s="313"/>
      <c r="Y433" s="313"/>
      <c r="Z433" s="313"/>
      <c r="AB433" s="129"/>
      <c r="AC433" s="129"/>
      <c r="AD433" s="313"/>
      <c r="AE433" s="207"/>
    </row>
    <row r="434" spans="1:38" s="1" customFormat="1" ht="15" customHeight="1">
      <c r="A434" s="207"/>
      <c r="B434" s="329"/>
      <c r="D434" s="1" t="s">
        <v>809</v>
      </c>
      <c r="E434" s="27" t="s">
        <v>146</v>
      </c>
      <c r="F434" s="1" t="s">
        <v>810</v>
      </c>
      <c r="G434" s="130"/>
      <c r="H434" s="314"/>
      <c r="I434" s="313"/>
      <c r="J434" s="313"/>
      <c r="K434" s="313"/>
      <c r="L434" s="313"/>
      <c r="N434" s="313"/>
      <c r="O434" s="330"/>
      <c r="P434" s="371"/>
      <c r="Q434" s="313"/>
      <c r="R434" s="313"/>
      <c r="S434" s="313"/>
      <c r="T434" s="313"/>
      <c r="U434" s="313"/>
      <c r="V434" s="313"/>
      <c r="W434" s="313"/>
      <c r="X434" s="313"/>
      <c r="Y434" s="313"/>
      <c r="Z434" s="313"/>
      <c r="AB434" s="129"/>
      <c r="AC434" s="129"/>
      <c r="AD434" s="313"/>
      <c r="AE434" s="207"/>
    </row>
    <row r="435" spans="1:38" s="1" customFormat="1" ht="15" customHeight="1">
      <c r="A435" s="8"/>
      <c r="D435" s="1" t="s">
        <v>811</v>
      </c>
      <c r="E435" s="27" t="s">
        <v>146</v>
      </c>
      <c r="F435" s="1" t="s">
        <v>812</v>
      </c>
      <c r="H435" s="35"/>
      <c r="M435" s="207"/>
      <c r="O435" s="297"/>
      <c r="P435" s="61"/>
      <c r="Z435" s="207"/>
      <c r="AB435" s="129"/>
      <c r="AC435" s="129"/>
      <c r="AD435" s="313"/>
      <c r="AE435" s="207"/>
    </row>
    <row r="436" spans="1:38" s="1" customFormat="1" ht="15" customHeight="1">
      <c r="A436" s="8"/>
      <c r="D436" s="1" t="s">
        <v>813</v>
      </c>
      <c r="H436" s="35"/>
      <c r="M436" s="207"/>
      <c r="O436" s="297"/>
      <c r="P436" s="61"/>
      <c r="Z436" s="207"/>
      <c r="AA436" s="149"/>
      <c r="AB436" s="207"/>
      <c r="AE436" s="207"/>
      <c r="AK436" s="27"/>
      <c r="AL436" s="27"/>
    </row>
    <row r="437" spans="1:38" s="1" customFormat="1" ht="15" customHeight="1">
      <c r="C437" s="205"/>
      <c r="D437" s="205"/>
      <c r="E437" s="205"/>
      <c r="F437" s="205"/>
      <c r="G437" s="205"/>
      <c r="O437" s="297"/>
      <c r="P437" s="61"/>
      <c r="Z437" s="205"/>
      <c r="AB437" s="207"/>
      <c r="AE437" s="207"/>
    </row>
    <row r="438" spans="1:38" s="1" customFormat="1" ht="15" customHeight="1">
      <c r="G438" s="107"/>
      <c r="H438" s="107"/>
      <c r="I438" s="107"/>
      <c r="L438" s="207"/>
      <c r="O438" s="308"/>
      <c r="P438" s="61"/>
      <c r="Z438" s="207"/>
      <c r="AB438" s="207"/>
      <c r="AE438" s="207"/>
    </row>
    <row r="439" spans="1:38" s="1" customFormat="1" ht="15" customHeight="1" thickBot="1">
      <c r="A439" s="56" t="s">
        <v>842</v>
      </c>
      <c r="G439" s="107"/>
      <c r="H439" s="107"/>
      <c r="I439" s="107"/>
      <c r="L439" s="207"/>
      <c r="O439" s="308"/>
      <c r="P439" s="61"/>
      <c r="Z439" s="205"/>
      <c r="AB439" s="207"/>
      <c r="AE439" s="207"/>
    </row>
    <row r="440" spans="1:38" s="1" customFormat="1" ht="15" customHeight="1">
      <c r="A440" s="274" t="s">
        <v>98</v>
      </c>
      <c r="B440" s="489" t="s">
        <v>843</v>
      </c>
      <c r="C440" s="493"/>
      <c r="D440" s="490"/>
      <c r="E440" s="489" t="s">
        <v>844</v>
      </c>
      <c r="F440" s="493"/>
      <c r="G440" s="490"/>
      <c r="H440" s="489" t="s">
        <v>845</v>
      </c>
      <c r="I440" s="493"/>
      <c r="J440" s="490"/>
      <c r="K440" s="335" t="s">
        <v>453</v>
      </c>
      <c r="L440" s="335" t="s">
        <v>846</v>
      </c>
      <c r="M440" s="276" t="s">
        <v>847</v>
      </c>
      <c r="O440" s="309"/>
      <c r="P440" s="61"/>
      <c r="R440" s="207"/>
    </row>
    <row r="441" spans="1:38" s="1" customFormat="1" ht="15" customHeight="1">
      <c r="A441" s="277"/>
      <c r="B441" s="286" t="s">
        <v>200</v>
      </c>
      <c r="C441" s="286" t="s">
        <v>201</v>
      </c>
      <c r="D441" s="286" t="s">
        <v>197</v>
      </c>
      <c r="E441" s="286" t="s">
        <v>202</v>
      </c>
      <c r="F441" s="286" t="s">
        <v>198</v>
      </c>
      <c r="G441" s="286" t="s">
        <v>228</v>
      </c>
      <c r="H441" s="286" t="s">
        <v>680</v>
      </c>
      <c r="I441" s="286" t="s">
        <v>681</v>
      </c>
      <c r="J441" s="286" t="s">
        <v>149</v>
      </c>
      <c r="K441" s="303" t="s">
        <v>229</v>
      </c>
      <c r="L441" s="303"/>
      <c r="M441" s="279"/>
      <c r="O441" s="309"/>
      <c r="P441" s="61"/>
    </row>
    <row r="442" spans="1:38" ht="15" customHeight="1">
      <c r="A442" s="186" t="str">
        <f>A271</f>
        <v>1001i</v>
      </c>
      <c r="B442" s="171">
        <f>INPUT!H3</f>
        <v>2</v>
      </c>
      <c r="C442" s="171">
        <f>INPUT!I3</f>
        <v>500</v>
      </c>
      <c r="D442" s="171">
        <f>INPUT!J3</f>
        <v>22</v>
      </c>
      <c r="E442" s="171">
        <f>INPUT!M3</f>
        <v>1940</v>
      </c>
      <c r="F442" s="171">
        <f>INPUT!N3</f>
        <v>12</v>
      </c>
      <c r="G442" s="171">
        <f>INPUT!O3</f>
        <v>120</v>
      </c>
      <c r="H442" s="171">
        <f>INPUT!R3</f>
        <v>0</v>
      </c>
      <c r="I442" s="171">
        <f>INPUT!Q3</f>
        <v>290</v>
      </c>
      <c r="J442" s="171">
        <f>INPUT!T3</f>
        <v>2350</v>
      </c>
      <c r="K442" s="190">
        <f>INPUT!K3</f>
        <v>2600</v>
      </c>
      <c r="L442" s="292">
        <f t="shared" ref="L442" si="3">+(J442+E442-2*G442)*(K442+D442/2+F442/2)/2</f>
        <v>5299425</v>
      </c>
      <c r="M442" s="344">
        <f t="shared" ref="M442" si="4">+(J442+E442-2*G442)*(K442+F442/2+H442+I442/2)/2</f>
        <v>5570775</v>
      </c>
      <c r="N442" s="1"/>
    </row>
    <row r="443" spans="1:38" s="1" customFormat="1" ht="15" customHeight="1">
      <c r="A443" s="207"/>
      <c r="B443" s="207"/>
      <c r="C443" s="135"/>
      <c r="D443" s="135"/>
      <c r="E443" s="135"/>
      <c r="F443" s="135"/>
      <c r="G443" s="130"/>
      <c r="H443" s="130"/>
      <c r="I443" s="130"/>
      <c r="J443" s="130"/>
      <c r="K443" s="130"/>
      <c r="L443" s="130"/>
      <c r="M443" s="313"/>
      <c r="N443" s="313"/>
      <c r="O443" s="352"/>
      <c r="P443" s="369"/>
      <c r="Q443" s="313"/>
      <c r="R443" s="313"/>
      <c r="S443" s="301"/>
      <c r="T443" s="301"/>
      <c r="U443" s="313"/>
      <c r="V443" s="313"/>
      <c r="W443" s="313"/>
      <c r="X443" s="313"/>
      <c r="Y443" s="130"/>
      <c r="Z443" s="130"/>
      <c r="AB443" s="207"/>
      <c r="AE443" s="207"/>
    </row>
    <row r="444" spans="1:38" s="1" customFormat="1" ht="15" customHeight="1" thickBot="1">
      <c r="A444" s="56" t="s">
        <v>848</v>
      </c>
      <c r="G444" s="107"/>
      <c r="H444" s="107"/>
      <c r="I444" s="107"/>
      <c r="L444" s="207"/>
      <c r="O444" s="297"/>
      <c r="P444" s="61"/>
      <c r="Z444" s="207"/>
      <c r="AB444" s="207"/>
      <c r="AE444" s="207"/>
    </row>
    <row r="445" spans="1:38" s="1" customFormat="1" ht="15" customHeight="1">
      <c r="A445" s="274" t="s">
        <v>98</v>
      </c>
      <c r="B445" s="489" t="s">
        <v>225</v>
      </c>
      <c r="C445" s="493"/>
      <c r="D445" s="493"/>
      <c r="E445" s="493"/>
      <c r="F445" s="493"/>
      <c r="G445" s="493"/>
      <c r="H445" s="490"/>
      <c r="I445" s="275" t="s">
        <v>849</v>
      </c>
      <c r="J445" s="275" t="s">
        <v>850</v>
      </c>
      <c r="K445" s="275" t="s">
        <v>851</v>
      </c>
      <c r="L445" s="276" t="s">
        <v>227</v>
      </c>
      <c r="N445" s="205"/>
      <c r="O445" s="297"/>
      <c r="P445" s="61"/>
      <c r="Z445" s="207"/>
    </row>
    <row r="446" spans="1:38" s="1" customFormat="1" ht="15" customHeight="1">
      <c r="A446" s="277"/>
      <c r="B446" s="286" t="s">
        <v>231</v>
      </c>
      <c r="C446" s="286" t="s">
        <v>232</v>
      </c>
      <c r="D446" s="286" t="s">
        <v>233</v>
      </c>
      <c r="E446" s="286" t="s">
        <v>852</v>
      </c>
      <c r="F446" s="286" t="s">
        <v>853</v>
      </c>
      <c r="G446" s="286" t="s">
        <v>854</v>
      </c>
      <c r="H446" s="286" t="s">
        <v>855</v>
      </c>
      <c r="I446" s="278"/>
      <c r="J446" s="278"/>
      <c r="K446" s="278"/>
      <c r="L446" s="279"/>
      <c r="O446" s="297"/>
      <c r="P446" s="61"/>
      <c r="Z446" s="207"/>
    </row>
    <row r="447" spans="1:38" ht="15" customHeight="1">
      <c r="A447" s="186" t="str">
        <f>A442</f>
        <v>1001i</v>
      </c>
      <c r="B447" s="190" t="e">
        <f>INPUT!#REF!</f>
        <v>#REF!</v>
      </c>
      <c r="C447" s="190" t="e">
        <f>INPUT!#REF!</f>
        <v>#REF!</v>
      </c>
      <c r="D447" s="190" t="e">
        <f>INPUT!#REF!</f>
        <v>#REF!</v>
      </c>
      <c r="E447" s="190" t="e">
        <f>INPUT!#REF!</f>
        <v>#REF!</v>
      </c>
      <c r="F447" s="190" t="e">
        <f>INPUT!#REF!</f>
        <v>#REF!</v>
      </c>
      <c r="G447" s="190" t="e">
        <f>INPUT!#REF!</f>
        <v>#REF!</v>
      </c>
      <c r="H447" s="190" t="e">
        <f>INPUT!#REF!</f>
        <v>#REF!</v>
      </c>
      <c r="I447" s="191" t="e">
        <f>1.25*(B447+C447+D447)/2/L442/IF(B112="Positive",D442,F442)*10^6</f>
        <v>#REF!</v>
      </c>
      <c r="J447" s="191" t="e">
        <f>(1.25*E447+1.5*F447+1.8*IF(1.25*E447+1.5*F447&gt;=0,G447,H447))/2/M442/IF(B112="Positive",D442,F442)*10^6</f>
        <v>#REF!</v>
      </c>
      <c r="K447" s="191" t="e">
        <f t="shared" ref="K447" si="5">+I447+J447</f>
        <v>#REF!</v>
      </c>
      <c r="L447" s="193" t="e">
        <f>SQRT(1-(K447/INPUT!AK3)^2)</f>
        <v>#REF!</v>
      </c>
      <c r="M447" s="1"/>
      <c r="N447" s="1"/>
    </row>
    <row r="448" spans="1:38" s="1" customFormat="1" ht="15" customHeight="1">
      <c r="A448" s="207"/>
      <c r="B448" s="207"/>
      <c r="C448" s="135"/>
      <c r="D448" s="135"/>
      <c r="E448" s="135"/>
      <c r="F448" s="135"/>
      <c r="G448" s="130"/>
      <c r="H448" s="130"/>
      <c r="I448" s="130"/>
      <c r="J448" s="130"/>
      <c r="K448" s="130"/>
      <c r="L448" s="130"/>
      <c r="N448" s="313"/>
      <c r="O448" s="352"/>
      <c r="P448" s="369"/>
      <c r="Q448" s="313"/>
      <c r="R448" s="313"/>
      <c r="S448" s="301"/>
      <c r="T448" s="301"/>
      <c r="U448" s="313"/>
      <c r="V448" s="313"/>
      <c r="W448" s="313"/>
      <c r="X448" s="313"/>
      <c r="Y448" s="313"/>
      <c r="Z448" s="313"/>
      <c r="AB448" s="207"/>
      <c r="AD448" s="313"/>
      <c r="AE448" s="207"/>
    </row>
    <row r="449" spans="1:88" s="1" customFormat="1" ht="15" customHeight="1" thickBot="1">
      <c r="A449" s="56" t="s">
        <v>856</v>
      </c>
      <c r="G449" s="107"/>
      <c r="H449" s="107"/>
      <c r="I449" s="107"/>
      <c r="L449" s="207"/>
      <c r="O449" s="297"/>
      <c r="P449" s="61"/>
      <c r="Z449" s="207"/>
      <c r="AB449" s="207"/>
      <c r="AE449" s="207"/>
    </row>
    <row r="450" spans="1:88" s="1" customFormat="1" ht="15" customHeight="1">
      <c r="A450" s="274" t="s">
        <v>188</v>
      </c>
      <c r="B450" s="489" t="s">
        <v>189</v>
      </c>
      <c r="C450" s="493"/>
      <c r="D450" s="493"/>
      <c r="E450" s="493"/>
      <c r="F450" s="490"/>
      <c r="G450" s="275" t="s">
        <v>203</v>
      </c>
      <c r="H450" s="489" t="s">
        <v>191</v>
      </c>
      <c r="I450" s="490"/>
      <c r="J450" s="275" t="s">
        <v>192</v>
      </c>
      <c r="K450" s="275" t="s">
        <v>193</v>
      </c>
      <c r="L450" s="276" t="s">
        <v>194</v>
      </c>
      <c r="O450" s="297"/>
      <c r="P450" s="61"/>
    </row>
    <row r="451" spans="1:88" s="1" customFormat="1" ht="15" customHeight="1">
      <c r="A451" s="277"/>
      <c r="B451" s="286" t="s">
        <v>195</v>
      </c>
      <c r="C451" s="286" t="s">
        <v>196</v>
      </c>
      <c r="D451" s="286" t="s">
        <v>197</v>
      </c>
      <c r="E451" s="286" t="s">
        <v>198</v>
      </c>
      <c r="F451" s="286" t="s">
        <v>199</v>
      </c>
      <c r="G451" s="278"/>
      <c r="H451" s="286" t="s">
        <v>204</v>
      </c>
      <c r="I451" s="286" t="s">
        <v>205</v>
      </c>
      <c r="J451" s="278"/>
      <c r="K451" s="278"/>
      <c r="L451" s="279"/>
      <c r="O451" s="297"/>
      <c r="P451" s="61"/>
    </row>
    <row r="452" spans="1:88" ht="15" customHeight="1">
      <c r="A452" s="186" t="str">
        <f>A447</f>
        <v>1001i</v>
      </c>
      <c r="B452" s="190" t="e">
        <f>INPUT!#REF!</f>
        <v>#REF!</v>
      </c>
      <c r="C452" s="190" t="e">
        <f>INPUT!#REF!</f>
        <v>#REF!</v>
      </c>
      <c r="D452" s="171">
        <f>D442</f>
        <v>22</v>
      </c>
      <c r="E452" s="171">
        <f>F442</f>
        <v>12</v>
      </c>
      <c r="F452" s="190" t="e">
        <f>MAX(B452-D452,C452-E452)</f>
        <v>#REF!</v>
      </c>
      <c r="G452" s="171" t="e">
        <f>IF(B452-D452&gt;=C452-E452,INPUT!H3*INPUT!I3*INPUT!J3,INPUT!M3*INPUT!N3)</f>
        <v>#REF!</v>
      </c>
      <c r="H452" s="171" t="e">
        <f>MAX(ABS(INPUT!#REF!),ABS(INPUT!#REF!),INPUT!AK3)</f>
        <v>#REF!</v>
      </c>
      <c r="I452" s="191" t="e">
        <f>MIN(INPUT!AM3/H452,1)</f>
        <v>#REF!</v>
      </c>
      <c r="J452" s="171">
        <f>INPUT!L3</f>
        <v>12</v>
      </c>
      <c r="K452" s="190" t="e">
        <f t="shared" ref="K452" si="6">2*F452*J452/G452</f>
        <v>#REF!</v>
      </c>
      <c r="L452" s="193" t="e">
        <f>IF(INPUT!AM3&gt;=INPUT!AK3,1,(12+K452*(3*I452-I452^3))/(12+2*K452))</f>
        <v>#REF!</v>
      </c>
      <c r="M452" s="1"/>
      <c r="N452" s="1"/>
    </row>
    <row r="453" spans="1:88" s="1" customFormat="1" ht="15" customHeight="1"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135"/>
      <c r="O453" s="353"/>
      <c r="P453" s="372"/>
      <c r="Q453" s="207"/>
      <c r="R453" s="130"/>
      <c r="S453" s="130"/>
      <c r="T453" s="130"/>
      <c r="U453" s="130"/>
      <c r="V453" s="313"/>
      <c r="W453" s="313"/>
      <c r="X453" s="130"/>
      <c r="Y453" s="130"/>
    </row>
    <row r="454" spans="1:88" s="1" customFormat="1" ht="15" customHeight="1" thickBot="1">
      <c r="A454" s="56" t="s">
        <v>857</v>
      </c>
      <c r="L454" s="207"/>
      <c r="O454" s="297"/>
      <c r="P454" s="61"/>
      <c r="Z454" s="207"/>
      <c r="AB454" s="207"/>
    </row>
    <row r="455" spans="1:88" s="1" customFormat="1" ht="15" customHeight="1">
      <c r="A455" s="336" t="s">
        <v>188</v>
      </c>
      <c r="B455" s="335" t="s">
        <v>207</v>
      </c>
      <c r="C455" s="335" t="s">
        <v>238</v>
      </c>
      <c r="D455" s="335" t="s">
        <v>149</v>
      </c>
      <c r="E455" s="335" t="s">
        <v>236</v>
      </c>
      <c r="F455" s="335" t="s">
        <v>237</v>
      </c>
      <c r="G455" s="337" t="s">
        <v>858</v>
      </c>
      <c r="H455" s="335" t="s">
        <v>408</v>
      </c>
      <c r="I455" s="335" t="s">
        <v>344</v>
      </c>
      <c r="J455" s="335" t="s">
        <v>239</v>
      </c>
      <c r="K455" s="337" t="s">
        <v>859</v>
      </c>
      <c r="L455" s="337" t="s">
        <v>860</v>
      </c>
      <c r="M455" s="335" t="s">
        <v>861</v>
      </c>
      <c r="N455" s="276" t="s">
        <v>862</v>
      </c>
      <c r="O455" s="297"/>
      <c r="P455" s="61"/>
    </row>
    <row r="456" spans="1:88" s="1" customFormat="1" ht="15" customHeight="1">
      <c r="A456" s="338"/>
      <c r="B456" s="303" t="s">
        <v>212</v>
      </c>
      <c r="C456" s="303"/>
      <c r="D456" s="303"/>
      <c r="E456" s="303"/>
      <c r="F456" s="303"/>
      <c r="G456" s="303"/>
      <c r="H456" s="303"/>
      <c r="I456" s="303"/>
      <c r="J456" s="303"/>
      <c r="K456" s="303"/>
      <c r="L456" s="303"/>
      <c r="M456" s="303"/>
      <c r="N456" s="279"/>
      <c r="O456" s="297"/>
      <c r="P456" s="61"/>
    </row>
    <row r="457" spans="1:88" ht="15" customHeight="1">
      <c r="A457" s="186" t="str">
        <f>A452</f>
        <v>1001i</v>
      </c>
      <c r="B457" s="171" t="e">
        <f>B249</f>
        <v>#REF!</v>
      </c>
      <c r="C457" s="171" t="e">
        <f>IF(B457="Positive",INPUT!AF3,INPUT!AC3)</f>
        <v>#REF!</v>
      </c>
      <c r="D457" s="190" t="e">
        <f>IF(B457="Positive",IF(INPUT!AF3=0,0,(INPUT!T3-INPUT!AF3*INPUT!AG3)/(INPUT!AF3+1)),IF(INPUT!AC3=0,0,(INPUT!M3-2*INPUT!O3-INPUT!AC3*INPUT!AD3)/(INPUT!AC3+1)))</f>
        <v>#REF!</v>
      </c>
      <c r="E457" s="171" t="e">
        <f>IF(B457="Positive",D442,F442)</f>
        <v>#REF!</v>
      </c>
      <c r="F457" s="171" t="e">
        <f>IF(B457="Positive",C442,E442)</f>
        <v>#REF!</v>
      </c>
      <c r="G457" s="190" t="e">
        <f>IF(D457=0,F457,D457)/E457</f>
        <v>#REF!</v>
      </c>
      <c r="H457" s="171" t="e">
        <f>IF(B457="Positive",1/3*INPUT!AG3*INPUT!AH3^3,1/3*INPUT!AD3*INPUT!AE3^3)</f>
        <v>#REF!</v>
      </c>
      <c r="I457" s="191" t="e">
        <f>IF(D457=0,4,MIN(MAX((IF(C457=1,8,0.894)*H457/D457/E457^3)^(1/3),1),4))</f>
        <v>#REF!</v>
      </c>
      <c r="J457" s="191" t="e">
        <f>IF(D457=0,5.34,MIN((5.34+2.84*(H457/D457/E457^3)^(1/3))/((C457+1)^2),5.34))</f>
        <v>#REF!</v>
      </c>
      <c r="K457" s="190" t="e">
        <f>0.57*SQRT(INPUT!$B$2*I457/INPUT!AK3/L447)</f>
        <v>#REF!</v>
      </c>
      <c r="L457" s="190" t="e">
        <f>0.95*SQRT(INPUT!$B$2*I457/(L447-0.3)/INPUT!AK3)</f>
        <v>#REF!</v>
      </c>
      <c r="M457" s="182" t="e">
        <f>IF(G457&lt;=K457,1*L452*INPUT!AK3*L447,IF(G457&lt;=L457,1*L452*INPUT!AK3*(L447-(L447-(L447-0.3)/L452)*(G457-K457)/(L457-K457)),0.9*INPUT!$B$2*1*I457/G457^2))</f>
        <v>#REF!</v>
      </c>
      <c r="N457" s="287" t="e">
        <f>IF(G457&lt;=1.12*SQRT(INPUT!$B$2*J457/INPUT!AK3),0.58*INPUT!AK3,IF(G457&lt;=1.4*SQRT(INPUT!$B$2*J457/INPUT!AK3),0.65*SQRT(INPUT!AK3*INPUT!$B$2*J457)/G457,0.9*INPUT!$B$2*J457/G457^2))</f>
        <v>#REF!</v>
      </c>
    </row>
    <row r="458" spans="1:88" s="1" customFormat="1" ht="15" customHeight="1">
      <c r="A458" s="207"/>
      <c r="B458" s="207"/>
      <c r="C458" s="313"/>
      <c r="D458" s="313"/>
      <c r="E458" s="313"/>
      <c r="F458" s="313"/>
      <c r="G458" s="130"/>
      <c r="H458" s="130"/>
      <c r="I458" s="313"/>
      <c r="J458" s="313"/>
      <c r="K458" s="313"/>
      <c r="L458" s="313"/>
      <c r="M458" s="313"/>
      <c r="N458" s="313"/>
      <c r="O458" s="330"/>
      <c r="P458" s="371"/>
      <c r="Q458" s="313"/>
      <c r="R458" s="313"/>
      <c r="S458" s="313"/>
      <c r="T458" s="313"/>
      <c r="U458" s="313"/>
      <c r="V458" s="313"/>
      <c r="W458" s="313"/>
      <c r="X458" s="313"/>
      <c r="Y458" s="313"/>
      <c r="Z458" s="313"/>
      <c r="AB458" s="129"/>
      <c r="AC458" s="129"/>
      <c r="AD458" s="313"/>
      <c r="AE458" s="207"/>
    </row>
    <row r="459" spans="1:88" s="1" customFormat="1" ht="15" customHeight="1" thickBot="1">
      <c r="A459" s="56" t="s">
        <v>863</v>
      </c>
      <c r="L459" s="207"/>
      <c r="O459" s="297"/>
      <c r="P459" s="61"/>
      <c r="AB459" s="129"/>
      <c r="AC459" s="129"/>
      <c r="AD459" s="313"/>
      <c r="AE459" s="207"/>
    </row>
    <row r="460" spans="1:88" s="1" customFormat="1" ht="15" customHeight="1">
      <c r="A460" s="69" t="s">
        <v>188</v>
      </c>
      <c r="B460" s="70" t="s">
        <v>207</v>
      </c>
      <c r="C460" s="70" t="s">
        <v>864</v>
      </c>
      <c r="D460" s="489" t="s">
        <v>865</v>
      </c>
      <c r="E460" s="493"/>
      <c r="F460" s="490"/>
      <c r="G460" s="75" t="s">
        <v>270</v>
      </c>
      <c r="H460" s="489" t="s">
        <v>866</v>
      </c>
      <c r="I460" s="493"/>
      <c r="J460" s="493"/>
      <c r="K460" s="493"/>
      <c r="L460" s="534"/>
      <c r="O460" s="297"/>
      <c r="P460" s="61"/>
    </row>
    <row r="461" spans="1:88" s="1" customFormat="1" ht="15" customHeight="1">
      <c r="A461" s="72"/>
      <c r="B461" s="73" t="s">
        <v>212</v>
      </c>
      <c r="C461" s="73"/>
      <c r="D461" s="73" t="s">
        <v>486</v>
      </c>
      <c r="E461" s="76" t="s">
        <v>556</v>
      </c>
      <c r="F461" s="76" t="s">
        <v>867</v>
      </c>
      <c r="G461" s="76"/>
      <c r="H461" s="339" t="s">
        <v>679</v>
      </c>
      <c r="I461" s="339" t="s">
        <v>682</v>
      </c>
      <c r="J461" s="339" t="s">
        <v>621</v>
      </c>
      <c r="K461" s="339" t="s">
        <v>868</v>
      </c>
      <c r="L461" s="340" t="s">
        <v>869</v>
      </c>
      <c r="O461" s="297"/>
      <c r="P461" s="61"/>
    </row>
    <row r="462" spans="1:88" ht="15" customHeight="1">
      <c r="A462" s="186" t="str">
        <f>A457</f>
        <v>1001i</v>
      </c>
      <c r="B462" s="171" t="e">
        <f>B457</f>
        <v>#REF!</v>
      </c>
      <c r="C462" s="171" t="str">
        <f>IF(INPUT!H3=2,"OF","BF")</f>
        <v>OF</v>
      </c>
      <c r="D462" s="190" t="e">
        <f>IF(B462="Positive",IF(C462="OF",1,L447)*1*L452*INPUT!AK3,"-")</f>
        <v>#REF!</v>
      </c>
      <c r="E462" s="190" t="e">
        <f>IF(B462="Positive","-",M457*SQRT(1-(K447/N457)^2))</f>
        <v>#REF!</v>
      </c>
      <c r="F462" s="190" t="e">
        <f>IF(B462="Positive",D462,E462)</f>
        <v>#REF!</v>
      </c>
      <c r="G462" s="190" t="e">
        <f>IF(B462="Positive",L452*INPUT!AL3*L447,IF(C462="OF",L452*INPUT!AK3,L452*INPUT!AK3*L447))</f>
        <v>#REF!</v>
      </c>
      <c r="H462" s="190" t="e">
        <f>E249</f>
        <v>#REF!</v>
      </c>
      <c r="I462" s="190" t="e">
        <f>IF(B462="Positive",F442+K442+H442+I442,F442+K442+D442)</f>
        <v>#REF!</v>
      </c>
      <c r="J462" s="171" t="e">
        <f>N199</f>
        <v>#REF!</v>
      </c>
      <c r="K462" s="345" t="e">
        <f>1.3*L452*M223</f>
        <v>#REF!</v>
      </c>
      <c r="L462" s="382" t="e">
        <f>MIN(IF(H462&lt;=0.1*I462,1,1.07-0.7*H462/I462)*J462,K462)</f>
        <v>#REF!</v>
      </c>
      <c r="M462" s="1"/>
      <c r="N462" s="1"/>
    </row>
    <row r="463" spans="1:88" s="207" customFormat="1" ht="15" customHeight="1">
      <c r="C463" s="313"/>
      <c r="D463" s="313"/>
      <c r="E463" s="313"/>
      <c r="F463" s="313"/>
      <c r="G463" s="313"/>
      <c r="H463" s="313"/>
      <c r="I463" s="130"/>
      <c r="J463" s="130"/>
      <c r="K463" s="130"/>
      <c r="L463" s="130"/>
      <c r="M463" s="1"/>
      <c r="O463" s="352"/>
      <c r="P463" s="369"/>
      <c r="Q463" s="313"/>
      <c r="R463" s="313"/>
      <c r="S463" s="313"/>
      <c r="T463" s="313"/>
      <c r="U463" s="313"/>
      <c r="V463" s="313"/>
      <c r="W463" s="313"/>
      <c r="X463" s="313"/>
      <c r="Y463" s="301"/>
      <c r="Z463" s="301"/>
      <c r="AA463" s="313"/>
      <c r="AB463" s="313"/>
      <c r="AC463" s="313"/>
      <c r="AD463" s="313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</row>
    <row r="464" spans="1:88" s="1" customFormat="1" ht="15" customHeight="1" thickBot="1">
      <c r="A464" s="56" t="s">
        <v>870</v>
      </c>
      <c r="B464" s="207"/>
      <c r="C464" s="313"/>
      <c r="D464" s="16"/>
      <c r="E464" s="313"/>
      <c r="F464" s="313"/>
      <c r="G464" s="130"/>
      <c r="H464" s="130"/>
      <c r="I464" s="313"/>
      <c r="J464" s="313"/>
      <c r="K464" s="313"/>
      <c r="L464" s="313"/>
      <c r="M464" s="313"/>
      <c r="N464" s="313"/>
      <c r="O464" s="330"/>
      <c r="P464" s="371"/>
      <c r="Q464" s="313"/>
      <c r="R464" s="313"/>
      <c r="S464" s="313"/>
      <c r="T464" s="313"/>
      <c r="U464" s="313"/>
      <c r="V464" s="313"/>
      <c r="W464" s="313"/>
      <c r="X464" s="313"/>
      <c r="Y464" s="313"/>
      <c r="Z464" s="313"/>
      <c r="AB464" s="129"/>
      <c r="AC464" s="129"/>
      <c r="AD464" s="313"/>
      <c r="AE464" s="207"/>
      <c r="AL464" s="27"/>
      <c r="AM464" s="27"/>
      <c r="AN464" s="27"/>
      <c r="AO464" s="27"/>
      <c r="AP464" s="27"/>
      <c r="AR464" s="297"/>
      <c r="AS464" s="297"/>
      <c r="AT464" s="297"/>
      <c r="AU464" s="297"/>
      <c r="AV464" s="297"/>
      <c r="AW464" s="333"/>
      <c r="AX464" s="297"/>
    </row>
    <row r="465" spans="1:50" s="1" customFormat="1" ht="15" customHeight="1">
      <c r="A465" s="132" t="s">
        <v>98</v>
      </c>
      <c r="B465" s="75" t="s">
        <v>871</v>
      </c>
      <c r="C465" s="75" t="s">
        <v>872</v>
      </c>
      <c r="D465" s="75" t="s">
        <v>322</v>
      </c>
      <c r="E465" s="75" t="s">
        <v>873</v>
      </c>
      <c r="F465" s="75" t="s">
        <v>804</v>
      </c>
      <c r="G465" s="75" t="s">
        <v>149</v>
      </c>
      <c r="H465" s="75" t="s">
        <v>807</v>
      </c>
      <c r="I465" s="75" t="s">
        <v>874</v>
      </c>
      <c r="J465" s="75" t="s">
        <v>811</v>
      </c>
      <c r="K465" s="75" t="s">
        <v>192</v>
      </c>
      <c r="L465" s="585" t="s">
        <v>875</v>
      </c>
      <c r="M465" s="557"/>
      <c r="O465" s="297"/>
      <c r="P465" s="369"/>
      <c r="Q465" s="313"/>
      <c r="R465" s="313"/>
      <c r="S465" s="313"/>
      <c r="T465" s="313"/>
      <c r="U465" s="313"/>
      <c r="V465" s="313"/>
      <c r="W465" s="313"/>
      <c r="X465" s="313"/>
      <c r="Y465" s="313"/>
      <c r="AA465" s="129"/>
    </row>
    <row r="466" spans="1:50" s="1" customFormat="1" ht="15" customHeight="1">
      <c r="A466" s="277"/>
      <c r="B466" s="278" t="s">
        <v>212</v>
      </c>
      <c r="C466" s="278"/>
      <c r="D466" s="278"/>
      <c r="E466" s="278"/>
      <c r="F466" s="278"/>
      <c r="G466" s="278"/>
      <c r="H466" s="278"/>
      <c r="I466" s="278"/>
      <c r="J466" s="278"/>
      <c r="K466" s="278"/>
      <c r="L466" s="278"/>
      <c r="M466" s="342"/>
      <c r="O466" s="297"/>
      <c r="P466" s="369"/>
      <c r="Q466" s="313"/>
      <c r="R466" s="313"/>
      <c r="S466" s="313"/>
      <c r="T466" s="313"/>
      <c r="U466" s="313"/>
      <c r="V466" s="313"/>
      <c r="W466" s="313"/>
      <c r="X466" s="313"/>
      <c r="Y466" s="313"/>
      <c r="AA466" s="129"/>
    </row>
    <row r="467" spans="1:50" ht="15" customHeight="1">
      <c r="A467" s="186" t="str">
        <f>A462</f>
        <v>1001i</v>
      </c>
      <c r="B467" s="171" t="e">
        <f>B462</f>
        <v>#REF!</v>
      </c>
      <c r="C467" s="171">
        <f>INPUT!G3</f>
        <v>0</v>
      </c>
      <c r="D467" s="171">
        <f>IF(INPUT!AA3=1,0.2,IF(INPUT!AA3=2,0.25,0))*INPUT!K3</f>
        <v>650</v>
      </c>
      <c r="E467" s="190">
        <f>INPUT!K3/COS(ATAN(I467))/INPUT!L3</f>
        <v>218.35281401641907</v>
      </c>
      <c r="F467" s="171">
        <f>INPUT!U3</f>
        <v>3850</v>
      </c>
      <c r="G467" s="171">
        <f>INPUT!T3</f>
        <v>2350</v>
      </c>
      <c r="H467" s="171">
        <f>INPUT!V3</f>
        <v>1175</v>
      </c>
      <c r="I467" s="171">
        <f>(INPUT!T3/2 - 0.5*(INPUT!M3-2*INPUT!O3))/INPUT!K3</f>
        <v>0.125</v>
      </c>
      <c r="J467" s="190" t="e">
        <f>IF(OR(L199=1,L199="a"),M199,IF(OR(L199="b",L199="c",L199="d",L199=8),H249-M199,0))/COS(ATAN(I467))</f>
        <v>#REF!</v>
      </c>
      <c r="K467" s="345">
        <f>INPUT!L3</f>
        <v>12</v>
      </c>
      <c r="L467" s="292" t="e">
        <f>IF(B467="Positive",IF(C467=0,(IF(AND(INPUT!AK3 &lt;= 455, INPUT!AM3 &lt; 455, E467&lt;= IF(D467=0,1000,150),0.8*G467&lt;=F467,1.2*G467&gt;=F467,I467&lt;=0.25,H467&lt;=MIN(F467,1800),2*J467/K467&lt;=3.76*SQRT(INPUT!$B$2/INPUT!AK3)),"compact","noncompact")),"noncompact"),"-")</f>
        <v>#REF!</v>
      </c>
      <c r="M467" s="383"/>
      <c r="N467" s="1"/>
    </row>
    <row r="468" spans="1:50" s="1" customFormat="1" ht="15" customHeight="1">
      <c r="A468" s="207"/>
      <c r="B468" s="207"/>
      <c r="C468" s="16"/>
      <c r="G468" s="130"/>
      <c r="H468" s="314"/>
      <c r="I468" s="313"/>
      <c r="J468" s="313"/>
      <c r="L468" s="207"/>
      <c r="N468" s="313"/>
      <c r="O468" s="330"/>
      <c r="P468" s="371"/>
      <c r="Q468" s="313"/>
      <c r="R468" s="313"/>
      <c r="S468" s="313"/>
      <c r="T468" s="313"/>
      <c r="U468" s="313"/>
      <c r="V468" s="313"/>
      <c r="W468" s="313"/>
      <c r="X468" s="313"/>
      <c r="Y468" s="313"/>
      <c r="Z468" s="313"/>
      <c r="AB468" s="207"/>
      <c r="AE468" s="207"/>
      <c r="AL468" s="27"/>
      <c r="AM468" s="27"/>
      <c r="AN468" s="27"/>
      <c r="AO468" s="27"/>
      <c r="AP468" s="27"/>
    </row>
    <row r="469" spans="1:50" s="1" customFormat="1" ht="15" customHeight="1">
      <c r="A469" s="212" t="s">
        <v>65</v>
      </c>
      <c r="B469" s="16" t="s">
        <v>889</v>
      </c>
      <c r="C469" s="313"/>
      <c r="D469" s="313"/>
      <c r="E469" s="313"/>
      <c r="F469" s="313"/>
      <c r="G469" s="130"/>
      <c r="H469" s="130"/>
      <c r="I469" s="313"/>
      <c r="J469" s="313"/>
      <c r="K469" s="313"/>
      <c r="L469" s="313"/>
      <c r="M469" s="313"/>
      <c r="N469" s="313"/>
      <c r="O469" s="330"/>
      <c r="P469" s="371"/>
      <c r="Q469" s="313"/>
      <c r="R469" s="313"/>
      <c r="S469" s="313"/>
      <c r="T469" s="313"/>
      <c r="U469" s="313"/>
      <c r="V469" s="313"/>
      <c r="W469" s="313"/>
      <c r="X469" s="313"/>
      <c r="Y469" s="313"/>
      <c r="Z469" s="313"/>
      <c r="AB469" s="129"/>
      <c r="AC469" s="129"/>
      <c r="AD469" s="313"/>
      <c r="AE469" s="207"/>
      <c r="AL469" s="27"/>
      <c r="AM469" s="27"/>
      <c r="AN469" s="27"/>
      <c r="AO469" s="27"/>
      <c r="AP469" s="27"/>
      <c r="AR469" s="297"/>
      <c r="AS469" s="297"/>
      <c r="AT469" s="297"/>
      <c r="AU469" s="297"/>
      <c r="AV469" s="297"/>
      <c r="AW469" s="333"/>
      <c r="AX469" s="297"/>
    </row>
    <row r="470" spans="1:50" s="1" customFormat="1" ht="15" customHeight="1" thickBot="1">
      <c r="A470" s="16"/>
      <c r="B470" s="207"/>
      <c r="C470" s="313"/>
      <c r="D470" s="313"/>
      <c r="E470" s="313"/>
      <c r="F470" s="313"/>
      <c r="G470" s="130"/>
      <c r="H470" s="130"/>
      <c r="I470" s="313"/>
      <c r="J470" s="313"/>
      <c r="K470" s="313"/>
      <c r="L470" s="313"/>
      <c r="M470" s="313"/>
      <c r="N470" s="313"/>
      <c r="O470" s="330"/>
      <c r="P470" s="371"/>
      <c r="Q470" s="313"/>
      <c r="R470" s="313"/>
      <c r="S470" s="313"/>
      <c r="T470" s="313"/>
      <c r="U470" s="313"/>
      <c r="V470" s="313"/>
      <c r="W470" s="313"/>
      <c r="X470" s="313"/>
      <c r="Y470" s="313"/>
      <c r="Z470" s="313"/>
      <c r="AB470" s="129"/>
      <c r="AC470" s="129"/>
      <c r="AD470" s="313"/>
      <c r="AE470" s="207"/>
      <c r="AL470" s="27"/>
      <c r="AM470" s="27"/>
      <c r="AN470" s="27"/>
      <c r="AO470" s="27"/>
      <c r="AP470" s="27"/>
      <c r="AR470" s="297"/>
      <c r="AS470" s="297"/>
      <c r="AT470" s="297"/>
      <c r="AU470" s="297"/>
      <c r="AV470" s="297"/>
      <c r="AW470" s="333"/>
      <c r="AX470" s="297"/>
    </row>
    <row r="471" spans="1:50" s="1" customFormat="1" ht="15" customHeight="1">
      <c r="A471" s="37"/>
      <c r="B471" s="524" t="s">
        <v>728</v>
      </c>
      <c r="C471" s="493"/>
      <c r="D471" s="493"/>
      <c r="E471" s="493"/>
      <c r="F471" s="493"/>
      <c r="G471" s="493"/>
      <c r="H471" s="493"/>
      <c r="I471" s="525"/>
      <c r="J471" s="555" t="s">
        <v>729</v>
      </c>
      <c r="K471" s="556"/>
      <c r="L471" s="556"/>
      <c r="M471" s="557"/>
      <c r="O471" s="297"/>
      <c r="P471" s="61"/>
      <c r="Z471" s="207"/>
      <c r="AB471" s="207"/>
      <c r="AE471" s="207"/>
    </row>
    <row r="472" spans="1:50" s="1" customFormat="1" ht="15" customHeight="1">
      <c r="A472" s="37"/>
      <c r="B472" s="561" t="s">
        <v>254</v>
      </c>
      <c r="C472" s="562"/>
      <c r="D472" s="562"/>
      <c r="E472" s="563"/>
      <c r="F472" s="564" t="s">
        <v>255</v>
      </c>
      <c r="G472" s="565"/>
      <c r="H472" s="565"/>
      <c r="I472" s="566"/>
      <c r="J472" s="558"/>
      <c r="K472" s="559"/>
      <c r="L472" s="559"/>
      <c r="M472" s="560"/>
      <c r="O472" s="297"/>
      <c r="P472" s="61"/>
      <c r="Z472" s="207"/>
      <c r="AB472" s="207"/>
      <c r="AE472" s="207"/>
    </row>
    <row r="473" spans="1:50" s="1" customFormat="1" ht="15" customHeight="1">
      <c r="A473" s="37"/>
      <c r="B473" s="587" t="s">
        <v>730</v>
      </c>
      <c r="C473" s="588"/>
      <c r="D473" s="588"/>
      <c r="E473" s="589"/>
      <c r="F473" s="590" t="s">
        <v>731</v>
      </c>
      <c r="G473" s="588"/>
      <c r="H473" s="588"/>
      <c r="I473" s="591"/>
      <c r="J473" s="592" t="s">
        <v>732</v>
      </c>
      <c r="K473" s="588"/>
      <c r="L473" s="588"/>
      <c r="M473" s="593"/>
      <c r="O473" s="297"/>
      <c r="P473" s="61"/>
      <c r="Z473" s="207"/>
      <c r="AB473" s="207"/>
      <c r="AE473" s="207"/>
    </row>
    <row r="474" spans="1:50" s="1" customFormat="1" ht="15" customHeight="1">
      <c r="A474" s="37"/>
      <c r="B474" s="594" t="s">
        <v>434</v>
      </c>
      <c r="C474" s="595"/>
      <c r="D474" s="595"/>
      <c r="E474" s="596"/>
      <c r="F474" s="597" t="s">
        <v>437</v>
      </c>
      <c r="G474" s="595"/>
      <c r="H474" s="595"/>
      <c r="I474" s="598"/>
      <c r="J474" s="599" t="s">
        <v>439</v>
      </c>
      <c r="K474" s="595"/>
      <c r="L474" s="595"/>
      <c r="M474" s="600"/>
      <c r="O474" s="297"/>
      <c r="P474" s="61"/>
      <c r="Z474" s="207"/>
      <c r="AB474" s="207"/>
      <c r="AE474" s="207"/>
    </row>
    <row r="475" spans="1:50" s="1" customFormat="1" ht="15" customHeight="1" thickBot="1">
      <c r="A475" s="37"/>
      <c r="B475" s="31"/>
      <c r="C475" s="144"/>
      <c r="D475" s="144"/>
      <c r="E475" s="144"/>
      <c r="F475" s="310"/>
      <c r="G475" s="311"/>
      <c r="H475" s="144"/>
      <c r="I475" s="144"/>
      <c r="J475" s="312"/>
      <c r="K475" s="144"/>
      <c r="L475" s="32"/>
      <c r="M475" s="34"/>
      <c r="O475" s="297"/>
      <c r="P475" s="61"/>
      <c r="Z475" s="207"/>
      <c r="AB475" s="207"/>
      <c r="AE475" s="207"/>
    </row>
    <row r="476" spans="1:50" s="1" customFormat="1" ht="15" customHeight="1">
      <c r="A476" s="205"/>
      <c r="B476" s="207"/>
      <c r="C476" s="313"/>
      <c r="D476" s="313"/>
      <c r="E476" s="313"/>
      <c r="F476" s="313"/>
      <c r="G476" s="313"/>
      <c r="H476" s="313"/>
      <c r="I476" s="313"/>
      <c r="J476" s="313"/>
      <c r="K476" s="130"/>
      <c r="L476" s="130"/>
      <c r="M476" s="313"/>
      <c r="N476" s="313"/>
      <c r="O476" s="352"/>
      <c r="P476" s="369"/>
      <c r="Q476" s="313"/>
      <c r="R476" s="313"/>
      <c r="S476" s="301"/>
      <c r="T476" s="301"/>
      <c r="U476" s="313"/>
      <c r="V476" s="313"/>
      <c r="W476" s="313"/>
      <c r="X476" s="313"/>
      <c r="Y476" s="313"/>
      <c r="Z476" s="313"/>
      <c r="AB476" s="207"/>
      <c r="AE476" s="207"/>
    </row>
    <row r="477" spans="1:50" s="1" customFormat="1" ht="15" customHeight="1" thickBot="1">
      <c r="A477" s="334" t="s">
        <v>1080</v>
      </c>
      <c r="B477" s="460"/>
      <c r="C477" s="313"/>
      <c r="D477" s="313"/>
      <c r="E477" s="313"/>
      <c r="F477" s="313"/>
      <c r="G477" s="313"/>
      <c r="H477" s="313"/>
      <c r="I477" s="313"/>
      <c r="J477" s="313"/>
      <c r="K477" s="130"/>
      <c r="L477" s="130"/>
      <c r="M477" s="313"/>
      <c r="N477" s="313"/>
      <c r="O477" s="352"/>
      <c r="P477" s="369"/>
      <c r="Q477" s="313"/>
      <c r="R477" s="313"/>
      <c r="S477" s="301"/>
      <c r="T477" s="301"/>
      <c r="U477" s="313"/>
      <c r="V477" s="313"/>
      <c r="W477" s="313"/>
      <c r="X477" s="313"/>
      <c r="Y477" s="313"/>
      <c r="Z477" s="313"/>
      <c r="AB477" s="460"/>
      <c r="AE477" s="460"/>
    </row>
    <row r="478" spans="1:50" s="1" customFormat="1" ht="15" customHeight="1">
      <c r="A478" s="132" t="s">
        <v>98</v>
      </c>
      <c r="B478" s="70" t="s">
        <v>90</v>
      </c>
      <c r="C478" s="461" t="s">
        <v>267</v>
      </c>
      <c r="D478" s="461" t="s">
        <v>877</v>
      </c>
      <c r="E478" s="489" t="s">
        <v>878</v>
      </c>
      <c r="F478" s="493"/>
      <c r="G478" s="493"/>
      <c r="H478" s="490"/>
      <c r="I478" s="461" t="s">
        <v>879</v>
      </c>
      <c r="J478" s="461" t="s">
        <v>880</v>
      </c>
      <c r="K478" s="585" t="s">
        <v>881</v>
      </c>
      <c r="L478" s="557"/>
      <c r="O478" s="309"/>
    </row>
    <row r="479" spans="1:50" s="1" customFormat="1" ht="15" customHeight="1">
      <c r="A479" s="133"/>
      <c r="B479" s="73"/>
      <c r="C479" s="462"/>
      <c r="D479" s="462"/>
      <c r="E479" s="134" t="s">
        <v>884</v>
      </c>
      <c r="F479" s="463"/>
      <c r="G479" s="134" t="s">
        <v>885</v>
      </c>
      <c r="H479" s="464"/>
      <c r="I479" s="462"/>
      <c r="J479" s="462"/>
      <c r="K479" s="586" t="s">
        <v>886</v>
      </c>
      <c r="L479" s="560"/>
      <c r="O479" s="309"/>
    </row>
    <row r="480" spans="1:50" ht="15" customHeight="1">
      <c r="A480" s="186" t="str">
        <f>A467</f>
        <v>1001i</v>
      </c>
      <c r="B480" s="190" t="e">
        <f>INPUT!#REF!</f>
        <v>#REF!</v>
      </c>
      <c r="C480" s="190">
        <f>F458</f>
        <v>0</v>
      </c>
      <c r="D480" s="190">
        <f>G458</f>
        <v>0</v>
      </c>
      <c r="E480" s="201" t="e">
        <f>IF(L463="compact","-",IF(-MIN(B480,#REF!)&lt;=C480,"OK","NG"))</f>
        <v>#REF!</v>
      </c>
      <c r="F480" s="200" t="e">
        <f>IF(MIN(B480,#REF!)=0,"Inf",IF(L463="compact","-",-C480/MIN(B480,#REF!)))</f>
        <v>#REF!</v>
      </c>
      <c r="G480" s="201" t="e">
        <f>IF(L463="compact","-",IF(MAX(B480,#REF!)&lt;=D480,"OK","NG"))</f>
        <v>#REF!</v>
      </c>
      <c r="H480" s="200" t="e">
        <f>IF(MAX(B480,#REF!) = 0,"Inf",IF(L463="compact","-",D480/MAX(B480,#REF!)))</f>
        <v>#REF!</v>
      </c>
      <c r="I480" s="397" t="e">
        <f>1.25*(INPUT!#REF!+INPUT!#REF!+INPUT!#REF!+INPUT!#REF!)+1.5*INPUT!#REF!+1.8*IF(B463="Positive",INPUT!#REF!,INPUT!#REF!)</f>
        <v>#REF!</v>
      </c>
      <c r="J480" s="345">
        <f>L458</f>
        <v>0</v>
      </c>
      <c r="K480" s="201" t="str">
        <f>IF(L463="compact",IF(I480&lt;=J480,"OK","NG"),"-")</f>
        <v>-</v>
      </c>
      <c r="L480" s="203" t="str">
        <f>IF(L463="compact",J480/I480,"-")</f>
        <v>-</v>
      </c>
      <c r="M480" s="1"/>
      <c r="P480" s="1"/>
      <c r="Q480" s="1"/>
      <c r="R480" s="1"/>
    </row>
    <row r="481" spans="1:31" ht="15" customHeight="1">
      <c r="A481" s="409"/>
      <c r="B481" s="473"/>
      <c r="C481" s="473"/>
      <c r="D481" s="473"/>
      <c r="E481" s="473"/>
      <c r="F481" s="474"/>
      <c r="G481" s="313"/>
      <c r="H481" s="313"/>
      <c r="I481" s="313"/>
      <c r="J481" s="313"/>
      <c r="K481" s="130"/>
      <c r="L481" s="130"/>
      <c r="M481" s="313"/>
      <c r="N481" s="1"/>
      <c r="P481" s="61"/>
      <c r="Q481" s="1"/>
      <c r="R481" s="1"/>
      <c r="S481" s="1"/>
    </row>
    <row r="482" spans="1:31" s="1" customFormat="1" ht="15" customHeight="1" thickBot="1">
      <c r="A482" s="334" t="s">
        <v>876</v>
      </c>
      <c r="B482" s="207"/>
      <c r="C482" s="313"/>
      <c r="D482" s="313"/>
      <c r="E482" s="313"/>
      <c r="F482" s="313"/>
      <c r="G482" s="313"/>
      <c r="H482" s="313"/>
      <c r="I482" s="313"/>
      <c r="J482" s="313"/>
      <c r="K482" s="130"/>
      <c r="L482" s="130"/>
      <c r="M482" s="313"/>
      <c r="N482" s="313"/>
      <c r="O482" s="352"/>
      <c r="P482" s="369"/>
      <c r="Q482" s="313"/>
      <c r="R482" s="313"/>
      <c r="S482" s="301"/>
      <c r="T482" s="301"/>
      <c r="U482" s="313"/>
      <c r="V482" s="313"/>
      <c r="W482" s="313"/>
      <c r="X482" s="313"/>
      <c r="Y482" s="313"/>
      <c r="Z482" s="313"/>
      <c r="AB482" s="207"/>
      <c r="AE482" s="207"/>
    </row>
    <row r="483" spans="1:31" s="1" customFormat="1" ht="15" customHeight="1">
      <c r="A483" s="132" t="s">
        <v>98</v>
      </c>
      <c r="B483" s="489" t="s">
        <v>90</v>
      </c>
      <c r="C483" s="490"/>
      <c r="D483" s="75" t="s">
        <v>267</v>
      </c>
      <c r="E483" s="75" t="s">
        <v>877</v>
      </c>
      <c r="F483" s="489" t="s">
        <v>878</v>
      </c>
      <c r="G483" s="493"/>
      <c r="H483" s="493"/>
      <c r="I483" s="490"/>
      <c r="J483" s="75" t="s">
        <v>879</v>
      </c>
      <c r="K483" s="75" t="s">
        <v>880</v>
      </c>
      <c r="L483" s="585" t="s">
        <v>881</v>
      </c>
      <c r="M483" s="557"/>
      <c r="O483" s="309"/>
      <c r="P483" s="61"/>
    </row>
    <row r="484" spans="1:31" s="1" customFormat="1" ht="15" customHeight="1">
      <c r="A484" s="133"/>
      <c r="B484" s="76" t="s">
        <v>882</v>
      </c>
      <c r="C484" s="76" t="s">
        <v>883</v>
      </c>
      <c r="D484" s="76"/>
      <c r="E484" s="76"/>
      <c r="F484" s="134" t="s">
        <v>884</v>
      </c>
      <c r="G484" s="378"/>
      <c r="H484" s="134" t="s">
        <v>885</v>
      </c>
      <c r="I484" s="379"/>
      <c r="J484" s="76"/>
      <c r="K484" s="76"/>
      <c r="L484" s="586" t="s">
        <v>886</v>
      </c>
      <c r="M484" s="560"/>
      <c r="O484" s="309"/>
      <c r="P484" s="61"/>
    </row>
    <row r="485" spans="1:31" ht="15" customHeight="1">
      <c r="A485" s="186" t="str">
        <f>A467</f>
        <v>1001i</v>
      </c>
      <c r="B485" s="190" t="e">
        <f>INPUT!#REF!</f>
        <v>#REF!</v>
      </c>
      <c r="C485" s="190" t="e">
        <f>INPUT!#REF!</f>
        <v>#REF!</v>
      </c>
      <c r="D485" s="190" t="e">
        <f>F462</f>
        <v>#REF!</v>
      </c>
      <c r="E485" s="190" t="e">
        <f>G462</f>
        <v>#REF!</v>
      </c>
      <c r="F485" s="201" t="e">
        <f>IF(L467="compact","-",IF(-MIN(B485,C485)&lt;=D485,"OK","NG"))</f>
        <v>#REF!</v>
      </c>
      <c r="G485" s="200" t="e">
        <f>IF(MIN(B485,C485)=0,"Inf",IF(L467="compact","-",-D485/MIN(B485,C485)))</f>
        <v>#REF!</v>
      </c>
      <c r="H485" s="201" t="e">
        <f>IF(L467="compact","-",IF(MAX(B485,C485)&lt;=E485,"OK","NG"))</f>
        <v>#REF!</v>
      </c>
      <c r="I485" s="200" t="e">
        <f>IF(MAX(B485,C485) = 0,"Inf",IF(L467="compact","-",E485/MAX(B485,C485)))</f>
        <v>#REF!</v>
      </c>
      <c r="J485" s="397" t="e">
        <f>1.25*(INPUT!#REF!+INPUT!#REF!+INPUT!#REF!+INPUT!#REF!)+1.5*INPUT!#REF!+1.8*IF(B467="Positive",INPUT!#REF!,INPUT!#REF!)</f>
        <v>#REF!</v>
      </c>
      <c r="K485" s="345" t="e">
        <f>L462</f>
        <v>#REF!</v>
      </c>
      <c r="L485" s="201" t="e">
        <f>IF(L467="compact",IF(J485&lt;=K485,"OK","NG"),"-")</f>
        <v>#REF!</v>
      </c>
      <c r="M485" s="203" t="e">
        <f>IF(L467="compact",K485/J485,"-")</f>
        <v>#REF!</v>
      </c>
      <c r="N485" s="1"/>
      <c r="P485" s="61"/>
      <c r="Q485" s="1"/>
      <c r="R485" s="1"/>
      <c r="S485" s="1"/>
    </row>
    <row r="486" spans="1:31" s="1" customFormat="1" ht="15" customHeight="1">
      <c r="A486" s="207"/>
      <c r="B486" s="207"/>
      <c r="C486" s="313"/>
      <c r="D486" s="313"/>
      <c r="E486" s="313"/>
      <c r="F486" s="313"/>
      <c r="G486" s="313"/>
      <c r="H486" s="313"/>
      <c r="I486" s="313"/>
      <c r="J486" s="313"/>
      <c r="K486" s="130"/>
      <c r="L486" s="130"/>
      <c r="M486" s="313"/>
      <c r="N486" s="313"/>
      <c r="O486" s="352"/>
      <c r="P486" s="61"/>
      <c r="T486" s="301"/>
      <c r="U486" s="313"/>
      <c r="V486" s="313"/>
      <c r="W486" s="313"/>
      <c r="Z486" s="207"/>
      <c r="AB486" s="207"/>
      <c r="AE486" s="207"/>
    </row>
    <row r="487" spans="1:31" s="1" customFormat="1" ht="15" customHeight="1">
      <c r="A487" s="209"/>
      <c r="B487" s="209"/>
      <c r="C487" s="313"/>
      <c r="D487" s="313"/>
      <c r="E487" s="313"/>
      <c r="F487" s="313"/>
      <c r="G487" s="313"/>
      <c r="H487" s="313"/>
      <c r="I487" s="313"/>
      <c r="J487" s="313"/>
      <c r="K487" s="130"/>
      <c r="L487" s="130"/>
      <c r="M487" s="313"/>
      <c r="N487" s="313"/>
      <c r="O487" s="352"/>
      <c r="P487" s="61"/>
      <c r="T487" s="301"/>
      <c r="U487" s="313"/>
      <c r="V487" s="313"/>
      <c r="W487" s="313"/>
      <c r="Z487" s="209"/>
      <c r="AB487" s="209"/>
      <c r="AE487" s="209"/>
    </row>
    <row r="488" spans="1:31" s="1" customFormat="1" ht="15" customHeight="1">
      <c r="A488" s="36" t="s">
        <v>926</v>
      </c>
      <c r="L488" s="209"/>
      <c r="N488" s="235" t="s">
        <v>921</v>
      </c>
      <c r="O488" s="297"/>
      <c r="P488" s="61"/>
      <c r="Z488" s="209"/>
      <c r="AB488" s="209"/>
      <c r="AE488" s="209"/>
    </row>
    <row r="489" spans="1:31" s="1" customFormat="1" ht="15" customHeight="1" thickBot="1">
      <c r="A489" s="37"/>
      <c r="L489" s="209"/>
      <c r="O489" s="297"/>
      <c r="P489" s="61"/>
      <c r="Z489" s="209"/>
      <c r="AB489" s="209"/>
      <c r="AE489" s="209"/>
    </row>
    <row r="490" spans="1:31" ht="20.100000000000001" customHeight="1" thickBot="1">
      <c r="A490" s="37"/>
      <c r="B490" s="16"/>
      <c r="C490" s="38"/>
      <c r="D490" s="39"/>
      <c r="E490" s="40" t="s">
        <v>351</v>
      </c>
      <c r="F490" s="39"/>
      <c r="G490" s="41"/>
      <c r="H490" s="42"/>
      <c r="I490" s="1"/>
      <c r="J490" s="1"/>
      <c r="K490" s="1"/>
      <c r="L490" s="209"/>
      <c r="M490" s="1"/>
      <c r="N490" s="1"/>
      <c r="O490" s="297"/>
      <c r="P490" s="61"/>
    </row>
    <row r="491" spans="1:31" s="1" customFormat="1" ht="15" customHeight="1">
      <c r="C491" s="16"/>
      <c r="G491" s="35"/>
      <c r="L491" s="209"/>
      <c r="O491" s="297"/>
      <c r="P491" s="61"/>
      <c r="Z491" s="209"/>
      <c r="AB491" s="209"/>
      <c r="AE491" s="209"/>
    </row>
    <row r="492" spans="1:31" s="1" customFormat="1" ht="15" customHeight="1">
      <c r="A492" s="1" t="s">
        <v>280</v>
      </c>
      <c r="G492" s="35"/>
      <c r="L492" s="209"/>
      <c r="O492" s="297"/>
      <c r="P492" s="61"/>
      <c r="Z492" s="209"/>
      <c r="AB492" s="209"/>
      <c r="AE492" s="209"/>
    </row>
    <row r="493" spans="1:31" s="1" customFormat="1" ht="15" customHeight="1">
      <c r="A493" s="212" t="s">
        <v>65</v>
      </c>
      <c r="B493" s="1" t="s">
        <v>890</v>
      </c>
      <c r="G493" s="35"/>
      <c r="L493" s="209"/>
      <c r="O493" s="297"/>
      <c r="P493" s="61"/>
      <c r="Z493" s="209"/>
      <c r="AB493" s="209"/>
      <c r="AE493" s="209"/>
    </row>
    <row r="494" spans="1:31" s="1" customFormat="1" ht="15" customHeight="1">
      <c r="B494" s="1" t="s">
        <v>327</v>
      </c>
      <c r="G494" s="35"/>
      <c r="L494" s="209"/>
      <c r="O494" s="297"/>
      <c r="P494" s="61"/>
      <c r="Z494" s="209"/>
      <c r="AB494" s="209"/>
      <c r="AE494" s="209"/>
    </row>
    <row r="495" spans="1:31" s="1" customFormat="1" ht="15" customHeight="1">
      <c r="B495" s="1" t="s">
        <v>328</v>
      </c>
      <c r="G495" s="35"/>
      <c r="L495" s="209"/>
      <c r="O495" s="297"/>
      <c r="P495" s="61"/>
      <c r="Z495" s="209"/>
      <c r="AB495" s="209"/>
      <c r="AE495" s="209"/>
    </row>
    <row r="496" spans="1:31" s="1" customFormat="1" ht="15" customHeight="1">
      <c r="A496" s="8"/>
      <c r="B496" s="102"/>
      <c r="G496" s="35"/>
      <c r="L496" s="209"/>
      <c r="O496" s="297"/>
      <c r="P496" s="61"/>
      <c r="Z496" s="209"/>
      <c r="AB496" s="209"/>
      <c r="AE496" s="209"/>
    </row>
    <row r="497" spans="1:31" s="1" customFormat="1" ht="15" customHeight="1">
      <c r="A497" s="8"/>
      <c r="G497" s="35"/>
      <c r="L497" s="209"/>
      <c r="O497" s="297"/>
      <c r="P497" s="61"/>
      <c r="Y497" s="209"/>
      <c r="Z497" s="209"/>
      <c r="AB497" s="209"/>
      <c r="AE497" s="209"/>
    </row>
    <row r="498" spans="1:31" s="1" customFormat="1" ht="15" customHeight="1">
      <c r="A498" s="212" t="s">
        <v>65</v>
      </c>
      <c r="B498" s="1" t="s">
        <v>891</v>
      </c>
      <c r="G498" s="346"/>
      <c r="H498" s="346"/>
      <c r="I498" s="346"/>
      <c r="L498" s="209"/>
      <c r="O498" s="297"/>
      <c r="P498" s="61"/>
      <c r="Z498" s="209"/>
      <c r="AB498" s="209"/>
      <c r="AE498" s="209"/>
    </row>
    <row r="499" spans="1:31" s="1" customFormat="1" ht="20.100000000000001" customHeight="1">
      <c r="B499" s="43" t="s">
        <v>30</v>
      </c>
      <c r="C499" s="43"/>
      <c r="D499" s="43"/>
      <c r="E499" s="43"/>
      <c r="F499" s="43"/>
      <c r="G499" s="44"/>
      <c r="H499" s="43" t="s">
        <v>892</v>
      </c>
      <c r="I499" s="347"/>
      <c r="J499" s="347"/>
      <c r="K499" s="44"/>
      <c r="L499" s="44"/>
      <c r="O499" s="297"/>
      <c r="P499" s="61"/>
      <c r="Z499" s="209"/>
      <c r="AB499" s="209"/>
      <c r="AE499" s="209"/>
    </row>
    <row r="500" spans="1:31" s="1" customFormat="1" ht="20.100000000000001" customHeight="1">
      <c r="B500" s="111" t="s">
        <v>893</v>
      </c>
      <c r="C500" s="111"/>
      <c r="D500" s="111"/>
      <c r="E500" s="111"/>
      <c r="F500" s="111"/>
      <c r="G500" s="111"/>
      <c r="H500" s="111" t="s">
        <v>894</v>
      </c>
      <c r="I500" s="348"/>
      <c r="J500" s="348"/>
      <c r="K500" s="111"/>
      <c r="L500" s="111"/>
      <c r="N500" s="235" t="s">
        <v>922</v>
      </c>
      <c r="O500" s="297"/>
      <c r="P500" s="61"/>
      <c r="Z500" s="209"/>
      <c r="AB500" s="209"/>
      <c r="AE500" s="209"/>
    </row>
    <row r="501" spans="1:31" s="1" customFormat="1" ht="20.100000000000001" customHeight="1">
      <c r="B501" s="1" t="s">
        <v>895</v>
      </c>
      <c r="J501" s="346"/>
      <c r="O501" s="297"/>
      <c r="P501" s="61"/>
      <c r="Z501" s="209"/>
      <c r="AB501" s="209"/>
      <c r="AE501" s="209"/>
    </row>
    <row r="502" spans="1:31" s="1" customFormat="1" ht="20.100000000000001" customHeight="1">
      <c r="B502" s="102"/>
      <c r="C502" s="88" t="s">
        <v>896</v>
      </c>
      <c r="D502" s="46"/>
      <c r="E502" s="46"/>
      <c r="F502" s="46"/>
      <c r="G502" s="46"/>
      <c r="H502" s="46" t="s">
        <v>894</v>
      </c>
      <c r="I502" s="349"/>
      <c r="J502" s="349"/>
      <c r="K502" s="46"/>
      <c r="L502" s="46"/>
      <c r="N502" s="235" t="s">
        <v>923</v>
      </c>
      <c r="O502" s="297"/>
      <c r="P502" s="61"/>
      <c r="Z502" s="209"/>
      <c r="AB502" s="209"/>
      <c r="AE502" s="209"/>
    </row>
    <row r="503" spans="1:31" s="1" customFormat="1" ht="20.100000000000001" customHeight="1">
      <c r="C503" s="27" t="s">
        <v>897</v>
      </c>
      <c r="G503" s="346"/>
      <c r="H503" s="346"/>
      <c r="L503" s="209"/>
      <c r="N503" s="235" t="s">
        <v>924</v>
      </c>
      <c r="O503" s="297"/>
      <c r="P503" s="61"/>
      <c r="Z503" s="209"/>
      <c r="AB503" s="209"/>
      <c r="AE503" s="209"/>
    </row>
    <row r="504" spans="1:31" s="1" customFormat="1" ht="20.100000000000001" customHeight="1">
      <c r="D504" s="1" t="s">
        <v>928</v>
      </c>
      <c r="G504" s="346"/>
      <c r="H504" s="354" t="s">
        <v>927</v>
      </c>
      <c r="J504" s="210"/>
      <c r="K504" s="210"/>
      <c r="L504" s="210"/>
      <c r="M504" s="210"/>
      <c r="N504" s="210"/>
      <c r="O504" s="297"/>
      <c r="P504" s="61"/>
      <c r="Z504" s="209"/>
      <c r="AB504" s="209"/>
      <c r="AE504" s="209"/>
    </row>
    <row r="505" spans="1:31" s="1" customFormat="1" ht="20.100000000000001" customHeight="1">
      <c r="B505" s="19"/>
      <c r="C505" s="19"/>
      <c r="D505" s="19" t="s">
        <v>34</v>
      </c>
      <c r="E505" s="19"/>
      <c r="F505" s="19"/>
      <c r="G505" s="351"/>
      <c r="H505" s="355" t="s">
        <v>929</v>
      </c>
      <c r="I505" s="19"/>
      <c r="J505" s="19"/>
      <c r="K505" s="19"/>
      <c r="L505" s="211"/>
      <c r="O505" s="297"/>
      <c r="P505" s="61"/>
      <c r="Z505" s="209"/>
      <c r="AB505" s="209"/>
      <c r="AE505" s="209"/>
    </row>
    <row r="506" spans="1:31" s="1" customFormat="1" ht="15" customHeight="1">
      <c r="C506" s="8"/>
      <c r="H506" s="129"/>
      <c r="I506" s="106"/>
      <c r="J506" s="129"/>
      <c r="K506" s="129"/>
      <c r="L506" s="129"/>
      <c r="M506" s="129"/>
      <c r="N506" s="209"/>
      <c r="O506" s="297"/>
      <c r="P506" s="61"/>
      <c r="Z506" s="209"/>
      <c r="AB506" s="209"/>
      <c r="AE506" s="209"/>
    </row>
    <row r="507" spans="1:31" s="1" customFormat="1" ht="15" customHeight="1">
      <c r="A507" s="212" t="s">
        <v>65</v>
      </c>
      <c r="B507" s="1" t="s">
        <v>331</v>
      </c>
      <c r="C507" s="102"/>
      <c r="D507" s="16"/>
      <c r="E507" s="102"/>
      <c r="F507" s="102"/>
      <c r="G507" s="102"/>
      <c r="L507" s="209"/>
      <c r="N507" s="235" t="s">
        <v>924</v>
      </c>
      <c r="O507" s="297"/>
      <c r="P507" s="61"/>
      <c r="Y507" s="209"/>
      <c r="Z507" s="209"/>
      <c r="AB507" s="209"/>
      <c r="AE507" s="209"/>
    </row>
    <row r="508" spans="1:31" s="1" customFormat="1" ht="20.100000000000001" customHeight="1">
      <c r="B508" s="43" t="s">
        <v>30</v>
      </c>
      <c r="C508" s="44"/>
      <c r="D508" s="43"/>
      <c r="E508" s="43"/>
      <c r="F508" s="43"/>
      <c r="G508" s="44"/>
      <c r="H508" s="44"/>
      <c r="I508" s="44"/>
      <c r="J508" s="43" t="s">
        <v>332</v>
      </c>
      <c r="K508" s="44"/>
      <c r="L508" s="44"/>
      <c r="O508" s="297"/>
      <c r="P508" s="61"/>
      <c r="Y508" s="209"/>
      <c r="Z508" s="209"/>
      <c r="AB508" s="209"/>
      <c r="AE508" s="209"/>
    </row>
    <row r="509" spans="1:31" s="1" customFormat="1" ht="20.100000000000001" customHeight="1">
      <c r="B509" s="356" t="s">
        <v>930</v>
      </c>
      <c r="C509" s="356"/>
      <c r="D509" s="356"/>
      <c r="E509" s="356"/>
      <c r="F509" s="356"/>
      <c r="G509" s="356"/>
      <c r="H509" s="356"/>
      <c r="I509" s="356"/>
      <c r="J509" s="51">
        <v>1</v>
      </c>
      <c r="K509" s="356"/>
      <c r="L509" s="356"/>
      <c r="O509" s="297"/>
      <c r="P509" s="61"/>
      <c r="Y509" s="209"/>
      <c r="Z509" s="209"/>
      <c r="AB509" s="209"/>
      <c r="AE509" s="209"/>
    </row>
    <row r="510" spans="1:31" s="1" customFormat="1" ht="20.100000000000001" customHeight="1">
      <c r="B510" s="356" t="s">
        <v>931</v>
      </c>
      <c r="C510" s="356"/>
      <c r="D510" s="357"/>
      <c r="E510" s="356"/>
      <c r="F510" s="356"/>
      <c r="G510" s="356"/>
      <c r="H510" s="356"/>
      <c r="I510" s="356"/>
      <c r="J510" s="356" t="s">
        <v>933</v>
      </c>
      <c r="K510" s="356"/>
      <c r="L510" s="356"/>
      <c r="O510" s="297"/>
      <c r="P510" s="61"/>
      <c r="Y510" s="209"/>
      <c r="Z510" s="209"/>
      <c r="AB510" s="209"/>
      <c r="AE510" s="209"/>
    </row>
    <row r="511" spans="1:31" s="1" customFormat="1" ht="20.100000000000001" customHeight="1">
      <c r="B511" s="358" t="s">
        <v>932</v>
      </c>
      <c r="C511" s="358"/>
      <c r="D511" s="358"/>
      <c r="E511" s="358"/>
      <c r="F511" s="358"/>
      <c r="G511" s="358"/>
      <c r="H511" s="358"/>
      <c r="I511" s="358"/>
      <c r="J511" s="358" t="s">
        <v>898</v>
      </c>
      <c r="K511" s="358"/>
      <c r="L511" s="358"/>
      <c r="O511" s="297"/>
      <c r="P511" s="61"/>
      <c r="Y511" s="209"/>
      <c r="Z511" s="209"/>
      <c r="AB511" s="209"/>
      <c r="AE511" s="209"/>
    </row>
    <row r="512" spans="1:31" s="1" customFormat="1" ht="15" customHeight="1">
      <c r="O512" s="297"/>
      <c r="P512" s="61"/>
      <c r="Y512" s="209"/>
      <c r="Z512" s="209"/>
      <c r="AB512" s="209"/>
      <c r="AE512" s="209"/>
    </row>
    <row r="513" spans="1:32" s="1" customFormat="1" ht="15" customHeight="1">
      <c r="A513" s="212" t="s">
        <v>65</v>
      </c>
      <c r="B513" s="1" t="s">
        <v>899</v>
      </c>
      <c r="C513" s="102"/>
      <c r="D513" s="16"/>
      <c r="E513" s="102"/>
      <c r="F513" s="102"/>
      <c r="G513" s="102"/>
      <c r="L513" s="209"/>
      <c r="O513" s="297"/>
      <c r="P513" s="61"/>
      <c r="Y513" s="209"/>
      <c r="Z513" s="209"/>
      <c r="AB513" s="209"/>
      <c r="AE513" s="209"/>
    </row>
    <row r="514" spans="1:32" s="1" customFormat="1" ht="20.100000000000001" customHeight="1">
      <c r="B514" s="43" t="s">
        <v>30</v>
      </c>
      <c r="C514" s="44"/>
      <c r="D514" s="43"/>
      <c r="E514" s="43"/>
      <c r="F514" s="43"/>
      <c r="G514" s="44"/>
      <c r="H514" s="44"/>
      <c r="I514" s="44"/>
      <c r="J514" s="43" t="s">
        <v>344</v>
      </c>
      <c r="K514" s="44"/>
      <c r="L514" s="44"/>
      <c r="O514" s="297"/>
      <c r="P514" s="61"/>
      <c r="Y514" s="209"/>
      <c r="Z514" s="209"/>
      <c r="AB514" s="209"/>
      <c r="AE514" s="209"/>
    </row>
    <row r="515" spans="1:32" s="1" customFormat="1" ht="20.100000000000001" customHeight="1">
      <c r="B515" s="1" t="s">
        <v>900</v>
      </c>
      <c r="J515" s="51">
        <v>5</v>
      </c>
      <c r="O515" s="297"/>
      <c r="P515" s="61"/>
      <c r="Y515" s="209"/>
      <c r="AD515" s="209"/>
      <c r="AF515" s="209"/>
    </row>
    <row r="516" spans="1:32" s="1" customFormat="1" ht="20.100000000000001" customHeight="1">
      <c r="B516" s="19" t="s">
        <v>895</v>
      </c>
      <c r="C516" s="19"/>
      <c r="D516" s="20"/>
      <c r="E516" s="19"/>
      <c r="F516" s="19"/>
      <c r="G516" s="19"/>
      <c r="H516" s="19"/>
      <c r="I516" s="19"/>
      <c r="J516" s="19" t="s">
        <v>901</v>
      </c>
      <c r="K516" s="19"/>
      <c r="L516" s="19"/>
      <c r="O516" s="297"/>
      <c r="P516" s="61"/>
      <c r="Y516" s="209"/>
      <c r="AD516" s="209"/>
      <c r="AF516" s="209"/>
    </row>
    <row r="517" spans="1:32" s="1" customFormat="1" ht="15" customHeight="1">
      <c r="B517" s="1" t="s">
        <v>339</v>
      </c>
      <c r="O517" s="297"/>
      <c r="P517" s="61"/>
      <c r="Y517" s="209"/>
      <c r="AD517" s="209"/>
      <c r="AF517" s="209"/>
    </row>
    <row r="518" spans="1:32" s="1" customFormat="1" ht="15" customHeight="1">
      <c r="O518" s="297"/>
      <c r="P518" s="61"/>
      <c r="Y518" s="209"/>
      <c r="AD518" s="209"/>
      <c r="AF518" s="209"/>
    </row>
    <row r="519" spans="1:32" s="1" customFormat="1" ht="15" customHeight="1">
      <c r="A519" s="212" t="s">
        <v>65</v>
      </c>
      <c r="B519" s="1" t="s">
        <v>902</v>
      </c>
      <c r="G519" s="346"/>
      <c r="H519" s="346"/>
      <c r="I519" s="346"/>
      <c r="L519" s="209"/>
      <c r="N519" s="235" t="s">
        <v>925</v>
      </c>
      <c r="O519" s="297"/>
      <c r="P519" s="61"/>
      <c r="Z519" s="209"/>
      <c r="AB519" s="209"/>
      <c r="AE519" s="209"/>
    </row>
    <row r="520" spans="1:32" s="1" customFormat="1" ht="20.100000000000001" customHeight="1">
      <c r="B520" s="44" t="s">
        <v>30</v>
      </c>
      <c r="C520" s="44"/>
      <c r="D520" s="44"/>
      <c r="E520" s="44"/>
      <c r="F520" s="44"/>
      <c r="G520" s="350"/>
      <c r="H520" s="350"/>
      <c r="I520" s="44"/>
      <c r="J520" s="350" t="s">
        <v>903</v>
      </c>
      <c r="K520" s="44"/>
      <c r="L520" s="44"/>
      <c r="O520" s="297"/>
      <c r="P520" s="61"/>
      <c r="Z520" s="209"/>
      <c r="AB520" s="209"/>
      <c r="AE520" s="209"/>
    </row>
    <row r="521" spans="1:32" s="1" customFormat="1" ht="20.100000000000001" customHeight="1">
      <c r="B521" s="1" t="s">
        <v>904</v>
      </c>
      <c r="G521" s="346"/>
      <c r="H521" s="346"/>
      <c r="J521" s="346" t="s">
        <v>905</v>
      </c>
      <c r="O521" s="297"/>
      <c r="P521" s="61"/>
      <c r="Z521" s="209"/>
      <c r="AB521" s="209"/>
      <c r="AE521" s="209"/>
    </row>
    <row r="522" spans="1:32" s="1" customFormat="1" ht="20.100000000000001" customHeight="1">
      <c r="B522" s="1" t="s">
        <v>906</v>
      </c>
      <c r="G522" s="346"/>
      <c r="H522" s="346"/>
      <c r="J522" s="346" t="s">
        <v>905</v>
      </c>
      <c r="O522" s="297"/>
      <c r="P522" s="61"/>
      <c r="Z522" s="209"/>
      <c r="AB522" s="209"/>
      <c r="AE522" s="209"/>
    </row>
    <row r="523" spans="1:32" s="1" customFormat="1" ht="20.100000000000001" customHeight="1">
      <c r="B523" s="19" t="s">
        <v>34</v>
      </c>
      <c r="C523" s="19"/>
      <c r="D523" s="19"/>
      <c r="E523" s="19"/>
      <c r="F523" s="19"/>
      <c r="G523" s="351"/>
      <c r="H523" s="351"/>
      <c r="I523" s="19"/>
      <c r="J523" s="351" t="s">
        <v>907</v>
      </c>
      <c r="K523" s="19"/>
      <c r="L523" s="19"/>
      <c r="O523" s="297"/>
      <c r="P523" s="61"/>
      <c r="Z523" s="209"/>
      <c r="AB523" s="209"/>
      <c r="AE523" s="209"/>
    </row>
    <row r="524" spans="1:32" s="1" customFormat="1" ht="15" customHeight="1">
      <c r="L524" s="209"/>
      <c r="O524" s="297"/>
      <c r="P524" s="61"/>
      <c r="Z524" s="209"/>
      <c r="AB524" s="209"/>
      <c r="AE524" s="209"/>
    </row>
    <row r="525" spans="1:32" s="1" customFormat="1" ht="15" customHeight="1" thickBot="1">
      <c r="A525" s="56" t="s">
        <v>908</v>
      </c>
      <c r="L525" s="209"/>
      <c r="O525" s="297"/>
      <c r="P525" s="61"/>
      <c r="Z525" s="209"/>
      <c r="AB525" s="209"/>
      <c r="AE525" s="209"/>
    </row>
    <row r="526" spans="1:32" s="1" customFormat="1" ht="15" customHeight="1">
      <c r="A526" s="336" t="s">
        <v>98</v>
      </c>
      <c r="B526" s="489" t="s">
        <v>875</v>
      </c>
      <c r="C526" s="493"/>
      <c r="D526" s="493"/>
      <c r="E526" s="493"/>
      <c r="F526" s="490"/>
      <c r="G526" s="335" t="s">
        <v>192</v>
      </c>
      <c r="H526" s="335" t="s">
        <v>888</v>
      </c>
      <c r="I526" s="335" t="s">
        <v>909</v>
      </c>
      <c r="J526" s="489" t="s">
        <v>910</v>
      </c>
      <c r="K526" s="493"/>
      <c r="L526" s="493"/>
      <c r="M526" s="490"/>
      <c r="N526" s="276" t="s">
        <v>911</v>
      </c>
      <c r="O526" s="297"/>
      <c r="P526" s="61"/>
    </row>
    <row r="527" spans="1:32" s="1" customFormat="1" ht="15" customHeight="1">
      <c r="A527" s="338"/>
      <c r="B527" s="359" t="s">
        <v>343</v>
      </c>
      <c r="C527" s="359" t="s">
        <v>229</v>
      </c>
      <c r="D527" s="359" t="s">
        <v>322</v>
      </c>
      <c r="E527" s="359" t="s">
        <v>875</v>
      </c>
      <c r="F527" s="359"/>
      <c r="G527" s="303"/>
      <c r="H527" s="303"/>
      <c r="I527" s="303"/>
      <c r="J527" s="303" t="s">
        <v>344</v>
      </c>
      <c r="K527" s="303" t="s">
        <v>873</v>
      </c>
      <c r="L527" s="303" t="s">
        <v>912</v>
      </c>
      <c r="M527" s="360" t="s">
        <v>345</v>
      </c>
      <c r="N527" s="279"/>
      <c r="O527" s="297"/>
      <c r="P527" s="61"/>
    </row>
    <row r="528" spans="1:32" ht="15" customHeight="1">
      <c r="A528" s="186" t="str">
        <f>A485</f>
        <v>1001i</v>
      </c>
      <c r="B528" s="171">
        <f>INPUT!AB3</f>
        <v>2500</v>
      </c>
      <c r="C528" s="171">
        <f>K442</f>
        <v>2600</v>
      </c>
      <c r="D528" s="190">
        <f>D467</f>
        <v>650</v>
      </c>
      <c r="E528" s="171" t="str">
        <f>IF(OR(AND(B528&lt;=3*C528,D528=0),AND(B528&lt;=1.5*C528,D528&gt;0)),"stiffened","unstiffened")</f>
        <v>stiffened</v>
      </c>
      <c r="F528" s="384"/>
      <c r="G528" s="345">
        <f>K467</f>
        <v>12</v>
      </c>
      <c r="H528" s="171">
        <f>E467*K467</f>
        <v>2620.2337681970289</v>
      </c>
      <c r="I528" s="190">
        <f>0.58*INPUT!AM3*1000*H528*G528/10^6</f>
        <v>6474.0735944612179</v>
      </c>
      <c r="J528" s="191">
        <f>IF(E528="stiffened",5+5/(B528/C528)^2,5)</f>
        <v>10.408000000000001</v>
      </c>
      <c r="K528" s="190">
        <f>H528/G528</f>
        <v>218.35281401641907</v>
      </c>
      <c r="L528" s="190">
        <f>SQRT(INPUT!$B$2*J528/INPUT!AM3)</f>
        <v>78.46556614479077</v>
      </c>
      <c r="M528" s="182">
        <f t="shared" ref="M528" si="7">IF(K528&lt;=1.12*L528,1,IF(K528&lt;=1.4*L528,1.12/K528*L528,1.57*L528^2/K528^2))</f>
        <v>0.20274039632533478</v>
      </c>
      <c r="N528" s="287">
        <f>IF(E528="stiffened",IF(2*C528*G528/(INPUT!H3*INPUT!I3*INPUT!J3+INPUT!M3*INPUT!N3)&lt;=2.5,I528*(M528+0.87*(1-M528)/SQRT(1+(B528/C528)^2)),I528*(M528+0.87*(1-M528)/(SQRT(1+(B528/C528)^2)+B528/C528))),M528*I528)</f>
        <v>4549.4716078986585</v>
      </c>
    </row>
    <row r="529" spans="1:31" s="1" customFormat="1" ht="15" customHeight="1">
      <c r="O529" s="297"/>
      <c r="P529" s="61"/>
      <c r="Z529" s="209"/>
      <c r="AB529" s="209"/>
      <c r="AC529" s="322"/>
      <c r="AE529" s="209"/>
    </row>
    <row r="530" spans="1:31" s="1" customFormat="1" ht="15" customHeight="1" thickBot="1">
      <c r="A530" s="56" t="s">
        <v>913</v>
      </c>
      <c r="O530" s="297"/>
      <c r="P530" s="61"/>
      <c r="Z530" s="209"/>
      <c r="AB530" s="209"/>
      <c r="AC530" s="322"/>
      <c r="AE530" s="209"/>
    </row>
    <row r="531" spans="1:31" s="1" customFormat="1" ht="15" customHeight="1">
      <c r="A531" s="132" t="s">
        <v>98</v>
      </c>
      <c r="B531" s="489" t="s">
        <v>914</v>
      </c>
      <c r="C531" s="493"/>
      <c r="D531" s="493"/>
      <c r="E531" s="493"/>
      <c r="F531" s="493"/>
      <c r="G531" s="493"/>
      <c r="H531" s="493"/>
      <c r="I531" s="490"/>
      <c r="J531" s="341" t="s">
        <v>915</v>
      </c>
      <c r="K531" s="341" t="s">
        <v>342</v>
      </c>
      <c r="L531" s="341" t="s">
        <v>347</v>
      </c>
      <c r="M531" s="71" t="s">
        <v>266</v>
      </c>
      <c r="N531" s="322"/>
      <c r="O531" s="297"/>
      <c r="P531" s="372"/>
    </row>
    <row r="532" spans="1:31" s="1" customFormat="1" ht="15" customHeight="1">
      <c r="A532" s="133"/>
      <c r="B532" s="134" t="s">
        <v>231</v>
      </c>
      <c r="C532" s="339" t="s">
        <v>916</v>
      </c>
      <c r="D532" s="134" t="s">
        <v>917</v>
      </c>
      <c r="E532" s="134" t="s">
        <v>918</v>
      </c>
      <c r="F532" s="339" t="s">
        <v>853</v>
      </c>
      <c r="G532" s="134" t="s">
        <v>855</v>
      </c>
      <c r="H532" s="134" t="s">
        <v>854</v>
      </c>
      <c r="I532" s="134" t="s">
        <v>340</v>
      </c>
      <c r="J532" s="343"/>
      <c r="K532" s="343"/>
      <c r="L532" s="343"/>
      <c r="M532" s="74"/>
      <c r="N532" s="322"/>
      <c r="O532" s="297"/>
      <c r="P532" s="372"/>
    </row>
    <row r="533" spans="1:31" ht="15" customHeight="1">
      <c r="A533" s="186" t="str">
        <f>A528</f>
        <v>1001i</v>
      </c>
      <c r="B533" s="190" t="e">
        <f>INPUT!#REF!</f>
        <v>#REF!</v>
      </c>
      <c r="C533" s="190" t="e">
        <f>INPUT!#REF!</f>
        <v>#REF!</v>
      </c>
      <c r="D533" s="190" t="e">
        <f>INPUT!#REF!</f>
        <v>#REF!</v>
      </c>
      <c r="E533" s="182" t="e">
        <f>INPUT!#REF!</f>
        <v>#REF!</v>
      </c>
      <c r="F533" s="182" t="e">
        <f>INPUT!#REF!</f>
        <v>#REF!</v>
      </c>
      <c r="G533" s="190" t="e">
        <f>INPUT!#REF!</f>
        <v>#REF!</v>
      </c>
      <c r="H533" s="190" t="e">
        <f>INPUT!#REF!</f>
        <v>#REF!</v>
      </c>
      <c r="I533" s="190" t="e">
        <f>(1.25*(B533+C533+D533+E533)+1.5*F533+1.8*IF(1.25*(B533+C533+D533+E533)+1.5*F533&gt;=0,H533,G533))/2</f>
        <v>#REF!</v>
      </c>
      <c r="J533" s="191">
        <f>ATAN(I467)*180/PI()</f>
        <v>7.1250163489017977</v>
      </c>
      <c r="K533" s="190" t="e">
        <f>I533/COS(J533*PI()/180)</f>
        <v>#REF!</v>
      </c>
      <c r="L533" s="190">
        <f>N528</f>
        <v>4549.4716078986585</v>
      </c>
      <c r="M533" s="395" t="e">
        <f t="shared" ref="M533" si="8">IF(ABS(K533)&lt;=L533,"OK","NG")</f>
        <v>#REF!</v>
      </c>
      <c r="N533" s="322"/>
      <c r="O533" s="297"/>
    </row>
    <row r="534" spans="1:31" ht="15" customHeight="1">
      <c r="N534" s="322"/>
      <c r="O534" s="297"/>
    </row>
  </sheetData>
  <mergeCells count="73">
    <mergeCell ref="B483:C483"/>
    <mergeCell ref="F483:I483"/>
    <mergeCell ref="L483:M483"/>
    <mergeCell ref="L484:M484"/>
    <mergeCell ref="B473:E473"/>
    <mergeCell ref="F473:I473"/>
    <mergeCell ref="J473:M473"/>
    <mergeCell ref="B474:E474"/>
    <mergeCell ref="F474:I474"/>
    <mergeCell ref="J474:M474"/>
    <mergeCell ref="E478:H478"/>
    <mergeCell ref="K478:L478"/>
    <mergeCell ref="K479:L479"/>
    <mergeCell ref="B471:I471"/>
    <mergeCell ref="J471:M472"/>
    <mergeCell ref="B472:E472"/>
    <mergeCell ref="F472:I472"/>
    <mergeCell ref="N362:N363"/>
    <mergeCell ref="D362:E363"/>
    <mergeCell ref="B440:D440"/>
    <mergeCell ref="E440:G440"/>
    <mergeCell ref="H440:J440"/>
    <mergeCell ref="B445:H445"/>
    <mergeCell ref="B450:F450"/>
    <mergeCell ref="H450:I450"/>
    <mergeCell ref="D460:F460"/>
    <mergeCell ref="H460:L460"/>
    <mergeCell ref="L465:M465"/>
    <mergeCell ref="B279:E279"/>
    <mergeCell ref="F279:I279"/>
    <mergeCell ref="J279:M279"/>
    <mergeCell ref="I329:L329"/>
    <mergeCell ref="C397:E398"/>
    <mergeCell ref="I290:L291"/>
    <mergeCell ref="J276:M277"/>
    <mergeCell ref="B277:E277"/>
    <mergeCell ref="F277:I277"/>
    <mergeCell ref="B278:E278"/>
    <mergeCell ref="F278:I278"/>
    <mergeCell ref="J278:M278"/>
    <mergeCell ref="G265:H265"/>
    <mergeCell ref="I265:J265"/>
    <mergeCell ref="C266:D266"/>
    <mergeCell ref="E266:F266"/>
    <mergeCell ref="G266:H266"/>
    <mergeCell ref="I266:J266"/>
    <mergeCell ref="B255:B256"/>
    <mergeCell ref="B257:B258"/>
    <mergeCell ref="E257:E258"/>
    <mergeCell ref="C265:D265"/>
    <mergeCell ref="E265:F265"/>
    <mergeCell ref="C263:D264"/>
    <mergeCell ref="A164:A165"/>
    <mergeCell ref="A174:A175"/>
    <mergeCell ref="A181:A182"/>
    <mergeCell ref="A189:A190"/>
    <mergeCell ref="B221:E221"/>
    <mergeCell ref="B531:I531"/>
    <mergeCell ref="G221:J221"/>
    <mergeCell ref="C247:E247"/>
    <mergeCell ref="F247:K247"/>
    <mergeCell ref="B276:I276"/>
    <mergeCell ref="B526:F526"/>
    <mergeCell ref="J526:M526"/>
    <mergeCell ref="E263:F263"/>
    <mergeCell ref="G263:H263"/>
    <mergeCell ref="I263:J263"/>
    <mergeCell ref="E264:F264"/>
    <mergeCell ref="G264:H264"/>
    <mergeCell ref="B269:F269"/>
    <mergeCell ref="G269:I269"/>
    <mergeCell ref="J269:K269"/>
    <mergeCell ref="L269:M269"/>
  </mergeCells>
  <phoneticPr fontId="28" type="noConversion"/>
  <conditionalFormatting sqref="M250">
    <cfRule type="cellIs" dxfId="114" priority="80" operator="equal">
      <formula>"NG"</formula>
    </cfRule>
  </conditionalFormatting>
  <conditionalFormatting sqref="M249 F481 E480">
    <cfRule type="containsText" dxfId="113" priority="62" operator="containsText" text="NG">
      <formula>NOT(ISERROR(SEARCH("NG",E249)))</formula>
    </cfRule>
    <cfRule type="containsText" dxfId="112" priority="63" operator="containsText" text="NG">
      <formula>NOT(ISERROR(SEARCH("NG",E249)))</formula>
    </cfRule>
    <cfRule type="containsText" dxfId="111" priority="64" operator="containsText" text="NG">
      <formula>NOT(ISERROR(SEARCH("NG",E249)))</formula>
    </cfRule>
    <cfRule type="cellIs" dxfId="110" priority="65" operator="equal">
      <formula>"NG"</formula>
    </cfRule>
  </conditionalFormatting>
  <conditionalFormatting sqref="M271">
    <cfRule type="containsText" dxfId="109" priority="58" operator="containsText" text="NG">
      <formula>NOT(ISERROR(SEARCH("NG",M271)))</formula>
    </cfRule>
    <cfRule type="containsText" dxfId="108" priority="59" operator="containsText" text="NG">
      <formula>NOT(ISERROR(SEARCH("NG",M271)))</formula>
    </cfRule>
    <cfRule type="containsText" dxfId="107" priority="60" operator="containsText" text="NG">
      <formula>NOT(ISERROR(SEARCH("NG",M271)))</formula>
    </cfRule>
    <cfRule type="cellIs" dxfId="106" priority="61" operator="equal">
      <formula>"NG"</formula>
    </cfRule>
  </conditionalFormatting>
  <conditionalFormatting sqref="L271:L273">
    <cfRule type="containsText" dxfId="105" priority="54" operator="containsText" text="NG">
      <formula>NOT(ISERROR(SEARCH("NG",L271)))</formula>
    </cfRule>
    <cfRule type="containsText" dxfId="104" priority="55" operator="containsText" text="NG">
      <formula>NOT(ISERROR(SEARCH("NG",L271)))</formula>
    </cfRule>
    <cfRule type="containsText" dxfId="103" priority="56" operator="containsText" text="NG">
      <formula>NOT(ISERROR(SEARCH("NG",L271)))</formula>
    </cfRule>
    <cfRule type="cellIs" dxfId="102" priority="57" operator="equal">
      <formula>"NG"</formula>
    </cfRule>
  </conditionalFormatting>
  <conditionalFormatting sqref="L271:M271">
    <cfRule type="containsText" dxfId="101" priority="53" operator="containsText" text="NG">
      <formula>NOT(ISERROR(SEARCH("NG",L271)))</formula>
    </cfRule>
  </conditionalFormatting>
  <conditionalFormatting sqref="F485">
    <cfRule type="containsText" dxfId="100" priority="32" operator="containsText" text="NG">
      <formula>NOT(ISERROR(SEARCH("NG",F485)))</formula>
    </cfRule>
    <cfRule type="containsText" dxfId="99" priority="44" operator="containsText" text="NG">
      <formula>NOT(ISERROR(SEARCH("NG",F485)))</formula>
    </cfRule>
    <cfRule type="containsText" dxfId="98" priority="45" operator="containsText" text="NG">
      <formula>NOT(ISERROR(SEARCH("NG",F485)))</formula>
    </cfRule>
    <cfRule type="cellIs" dxfId="97" priority="47" operator="equal">
      <formula>"NG"</formula>
    </cfRule>
  </conditionalFormatting>
  <conditionalFormatting sqref="G485">
    <cfRule type="cellIs" dxfId="96" priority="31" operator="lessThan">
      <formula>1</formula>
    </cfRule>
    <cfRule type="cellIs" dxfId="95" priority="43" operator="lessThan">
      <formula>1</formula>
    </cfRule>
    <cfRule type="cellIs" dxfId="94" priority="46" operator="equal">
      <formula>"NG"</formula>
    </cfRule>
  </conditionalFormatting>
  <conditionalFormatting sqref="H485">
    <cfRule type="containsText" dxfId="93" priority="30" operator="containsText" text="NG">
      <formula>NOT(ISERROR(SEARCH("NG",H485)))</formula>
    </cfRule>
    <cfRule type="containsText" dxfId="92" priority="39" operator="containsText" text="NG">
      <formula>NOT(ISERROR(SEARCH("NG",H485)))</formula>
    </cfRule>
    <cfRule type="containsText" dxfId="91" priority="40" operator="containsText" text="NG">
      <formula>NOT(ISERROR(SEARCH("NG",H485)))</formula>
    </cfRule>
    <cfRule type="cellIs" dxfId="90" priority="42" operator="equal">
      <formula>"NG"</formula>
    </cfRule>
  </conditionalFormatting>
  <conditionalFormatting sqref="I485">
    <cfRule type="cellIs" dxfId="89" priority="29" operator="lessThan">
      <formula>1</formula>
    </cfRule>
    <cfRule type="cellIs" dxfId="88" priority="38" operator="lessThan">
      <formula>1</formula>
    </cfRule>
    <cfRule type="cellIs" dxfId="87" priority="41" operator="equal">
      <formula>"NG"</formula>
    </cfRule>
  </conditionalFormatting>
  <conditionalFormatting sqref="L485">
    <cfRule type="containsText" dxfId="86" priority="28" operator="containsText" text="NG">
      <formula>NOT(ISERROR(SEARCH("NG",L485)))</formula>
    </cfRule>
    <cfRule type="containsText" dxfId="85" priority="34" operator="containsText" text="NG">
      <formula>NOT(ISERROR(SEARCH("NG",L485)))</formula>
    </cfRule>
    <cfRule type="containsText" dxfId="84" priority="35" operator="containsText" text="NG">
      <formula>NOT(ISERROR(SEARCH("NG",L485)))</formula>
    </cfRule>
    <cfRule type="cellIs" dxfId="83" priority="37" operator="equal">
      <formula>"NG"</formula>
    </cfRule>
  </conditionalFormatting>
  <conditionalFormatting sqref="M485">
    <cfRule type="cellIs" dxfId="82" priority="27" operator="lessThan">
      <formula>1</formula>
    </cfRule>
    <cfRule type="cellIs" dxfId="81" priority="33" operator="lessThan">
      <formula>1</formula>
    </cfRule>
    <cfRule type="cellIs" dxfId="80" priority="36" operator="equal">
      <formula>"NG"</formula>
    </cfRule>
  </conditionalFormatting>
  <conditionalFormatting sqref="M533">
    <cfRule type="containsText" dxfId="79" priority="22" operator="containsText" text="NG">
      <formula>NOT(ISERROR(SEARCH("NG",M533)))</formula>
    </cfRule>
    <cfRule type="containsText" dxfId="78" priority="23" operator="containsText" text="NG">
      <formula>NOT(ISERROR(SEARCH("NG",M533)))</formula>
    </cfRule>
    <cfRule type="containsText" dxfId="77" priority="24" operator="containsText" text="NG">
      <formula>NOT(ISERROR(SEARCH("NG",M533)))</formula>
    </cfRule>
    <cfRule type="containsText" dxfId="76" priority="25" operator="containsText" text="NG">
      <formula>NOT(ISERROR(SEARCH("NG",M533)))</formula>
    </cfRule>
    <cfRule type="cellIs" dxfId="75" priority="26" operator="equal">
      <formula>"NG"</formula>
    </cfRule>
  </conditionalFormatting>
  <conditionalFormatting sqref="F480">
    <cfRule type="cellIs" dxfId="74" priority="5" operator="lessThan">
      <formula>1</formula>
    </cfRule>
    <cfRule type="cellIs" dxfId="73" priority="17" operator="lessThan">
      <formula>1</formula>
    </cfRule>
    <cfRule type="cellIs" dxfId="72" priority="20" operator="equal">
      <formula>"NG"</formula>
    </cfRule>
  </conditionalFormatting>
  <conditionalFormatting sqref="G480">
    <cfRule type="containsText" dxfId="71" priority="4" operator="containsText" text="NG">
      <formula>NOT(ISERROR(SEARCH("NG",G480)))</formula>
    </cfRule>
    <cfRule type="containsText" dxfId="70" priority="13" operator="containsText" text="NG">
      <formula>NOT(ISERROR(SEARCH("NG",G480)))</formula>
    </cfRule>
    <cfRule type="containsText" dxfId="69" priority="14" operator="containsText" text="NG">
      <formula>NOT(ISERROR(SEARCH("NG",G480)))</formula>
    </cfRule>
    <cfRule type="cellIs" dxfId="68" priority="16" operator="equal">
      <formula>"NG"</formula>
    </cfRule>
  </conditionalFormatting>
  <conditionalFormatting sqref="H480">
    <cfRule type="cellIs" dxfId="67" priority="3" operator="lessThan">
      <formula>1</formula>
    </cfRule>
    <cfRule type="cellIs" dxfId="66" priority="12" operator="lessThan">
      <formula>1</formula>
    </cfRule>
    <cfRule type="cellIs" dxfId="65" priority="15" operator="equal">
      <formula>"NG"</formula>
    </cfRule>
  </conditionalFormatting>
  <conditionalFormatting sqref="K480">
    <cfRule type="containsText" dxfId="64" priority="2" operator="containsText" text="NG">
      <formula>NOT(ISERROR(SEARCH("NG",K480)))</formula>
    </cfRule>
    <cfRule type="containsText" dxfId="63" priority="8" operator="containsText" text="NG">
      <formula>NOT(ISERROR(SEARCH("NG",K480)))</formula>
    </cfRule>
    <cfRule type="containsText" dxfId="62" priority="9" operator="containsText" text="NG">
      <formula>NOT(ISERROR(SEARCH("NG",K480)))</formula>
    </cfRule>
    <cfRule type="cellIs" dxfId="61" priority="11" operator="equal">
      <formula>"NG"</formula>
    </cfRule>
  </conditionalFormatting>
  <conditionalFormatting sqref="L480">
    <cfRule type="cellIs" dxfId="60" priority="1" operator="lessThan">
      <formula>1</formula>
    </cfRule>
    <cfRule type="cellIs" dxfId="59" priority="7" operator="lessThan">
      <formula>1</formula>
    </cfRule>
    <cfRule type="cellIs" dxfId="58" priority="10" operator="equal">
      <formula>"NG"</formula>
    </cfRule>
  </conditionalFormatting>
  <pageMargins left="0.47244094488188981" right="0.39370078740157483" top="0.74803149606299213" bottom="0.74803149606299213" header="0.31496062992125984" footer="0.31496062992125984"/>
  <pageSetup paperSize="9" orientation="portrait" r:id="rId1"/>
  <rowBreaks count="23" manualBreakCount="23">
    <brk id="37" max="16383" man="1"/>
    <brk id="80" max="16383" man="1"/>
    <brk id="158" max="16383" man="1"/>
    <brk id="195" max="16383" man="1"/>
    <brk id="201" max="16383" man="1"/>
    <brk id="214" max="16383" man="1"/>
    <brk id="219" max="16383" man="1"/>
    <brk id="225" max="16383" man="1"/>
    <brk id="245" max="16383" man="1"/>
    <brk id="251" max="16383" man="1"/>
    <brk id="267" max="16383" man="1"/>
    <brk id="273" max="16383" man="1"/>
    <brk id="400" max="16383" man="1"/>
    <brk id="438" max="16383" man="1"/>
    <brk id="443" max="16383" man="1"/>
    <brk id="448" max="16383" man="1"/>
    <brk id="453" max="16383" man="1"/>
    <brk id="458" max="16383" man="1"/>
    <brk id="463" max="16383" man="1"/>
    <brk id="468" max="16383" man="1"/>
    <brk id="487" max="16383" man="1"/>
    <brk id="524" max="16383" man="1"/>
    <brk id="529" max="16383" man="1"/>
  </rowBreaks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E1E3-8C3B-42CD-911D-B0C53CCEA810}">
  <dimension ref="A1:AQ107"/>
  <sheetViews>
    <sheetView showGridLines="0" zoomScaleNormal="100" zoomScaleSheetLayoutView="100" workbookViewId="0"/>
  </sheetViews>
  <sheetFormatPr defaultRowHeight="15" customHeight="1"/>
  <cols>
    <col min="1" max="13" width="6" customWidth="1"/>
    <col min="14" max="14" width="6" style="64" customWidth="1"/>
    <col min="15" max="15" width="5.7109375" style="306" customWidth="1"/>
    <col min="16" max="16" width="9" style="368"/>
  </cols>
  <sheetData>
    <row r="1" spans="1:39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74"/>
      <c r="M1" s="1"/>
      <c r="N1" s="61"/>
      <c r="O1" s="297"/>
    </row>
    <row r="2" spans="1:39" ht="15" customHeight="1">
      <c r="A2" s="3"/>
      <c r="B2" s="4">
        <v>7</v>
      </c>
      <c r="C2" s="164" t="s">
        <v>0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297"/>
    </row>
    <row r="3" spans="1:39" ht="15" customHeight="1">
      <c r="A3" s="5"/>
      <c r="B3" s="6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62"/>
      <c r="O3" s="387"/>
    </row>
    <row r="4" spans="1:39" ht="15" customHeight="1">
      <c r="A4" s="7" t="s">
        <v>942</v>
      </c>
      <c r="B4" s="1"/>
      <c r="C4" s="1"/>
      <c r="D4" s="1"/>
      <c r="E4" s="1"/>
      <c r="F4" s="1"/>
      <c r="G4" s="1"/>
      <c r="H4" s="1"/>
      <c r="I4" s="1"/>
      <c r="J4" s="1"/>
      <c r="K4" s="1"/>
      <c r="L4" s="374"/>
      <c r="M4" s="1"/>
      <c r="N4" s="62"/>
      <c r="O4" s="388"/>
    </row>
    <row r="5" spans="1:39" ht="15" customHeight="1" thickBot="1">
      <c r="A5" s="8"/>
      <c r="B5" s="1"/>
      <c r="C5" s="1"/>
      <c r="D5" s="1"/>
      <c r="E5" s="1"/>
      <c r="F5" s="9"/>
      <c r="G5" s="10"/>
      <c r="H5" s="1"/>
      <c r="I5" s="1"/>
      <c r="J5" s="1"/>
      <c r="K5" s="1"/>
      <c r="L5" s="374"/>
      <c r="M5" s="1"/>
      <c r="N5" s="62"/>
      <c r="O5" s="387"/>
    </row>
    <row r="6" spans="1:39" ht="15" customHeight="1">
      <c r="A6" s="11"/>
      <c r="B6" s="12" t="s">
        <v>943</v>
      </c>
      <c r="C6" s="13"/>
      <c r="D6" s="13"/>
      <c r="E6" s="13"/>
      <c r="F6" s="13"/>
      <c r="G6" s="13"/>
      <c r="H6" s="13"/>
      <c r="I6" s="13"/>
      <c r="J6" s="13"/>
      <c r="K6" s="13"/>
      <c r="L6" s="14"/>
      <c r="M6" s="1"/>
      <c r="N6" s="62"/>
      <c r="O6" s="387"/>
    </row>
    <row r="7" spans="1:39" ht="15" customHeight="1">
      <c r="A7" s="11"/>
      <c r="B7" s="15"/>
      <c r="C7" s="1"/>
      <c r="D7" s="1"/>
      <c r="E7" s="1"/>
      <c r="F7" s="16" t="s">
        <v>944</v>
      </c>
      <c r="G7" s="1"/>
      <c r="H7" s="1"/>
      <c r="I7" s="1"/>
      <c r="J7" s="1"/>
      <c r="K7" s="1"/>
      <c r="L7" s="17"/>
      <c r="M7" s="1"/>
      <c r="N7" s="65" t="s">
        <v>945</v>
      </c>
    </row>
    <row r="8" spans="1:39" s="368" customFormat="1" ht="15" customHeight="1">
      <c r="A8" s="11"/>
      <c r="B8" s="15"/>
      <c r="C8" s="400" t="s">
        <v>946</v>
      </c>
      <c r="D8" s="77"/>
      <c r="E8" s="77"/>
      <c r="F8" s="78"/>
      <c r="G8" s="77"/>
      <c r="H8" s="77"/>
      <c r="I8" s="77"/>
      <c r="J8" s="77"/>
      <c r="K8" s="77"/>
      <c r="L8" s="24"/>
      <c r="M8" s="1"/>
      <c r="N8" s="66"/>
      <c r="O8" s="306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368" customFormat="1" ht="15" customHeight="1">
      <c r="A9" s="11"/>
      <c r="B9" s="18"/>
      <c r="C9" s="399"/>
      <c r="D9" s="19"/>
      <c r="E9" s="19"/>
      <c r="F9" s="20"/>
      <c r="G9" s="19"/>
      <c r="H9" s="19"/>
      <c r="I9" s="19"/>
      <c r="J9" s="19"/>
      <c r="K9" s="19"/>
      <c r="L9" s="21"/>
      <c r="M9" s="1"/>
      <c r="N9" s="66"/>
      <c r="O9" s="306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368" customFormat="1" ht="15" customHeight="1">
      <c r="A10" s="11"/>
      <c r="B10" s="22" t="s">
        <v>947</v>
      </c>
      <c r="C10" s="1"/>
      <c r="D10" s="1"/>
      <c r="E10" s="1"/>
      <c r="F10" s="23"/>
      <c r="G10" s="1"/>
      <c r="H10" s="1"/>
      <c r="I10" s="1"/>
      <c r="J10" s="1"/>
      <c r="K10" s="1"/>
      <c r="L10" s="24"/>
      <c r="M10" s="1"/>
      <c r="N10" s="66"/>
      <c r="O10" s="306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368" customFormat="1" ht="15" customHeight="1">
      <c r="A11" s="11"/>
      <c r="B11" s="25"/>
      <c r="C11" s="1"/>
      <c r="D11" s="1"/>
      <c r="E11" s="1"/>
      <c r="F11" s="16" t="s">
        <v>948</v>
      </c>
      <c r="G11" s="1"/>
      <c r="H11" s="1"/>
      <c r="I11" s="1"/>
      <c r="J11" s="1"/>
      <c r="K11" s="1"/>
      <c r="L11" s="17"/>
      <c r="M11" s="1"/>
      <c r="N11" s="65" t="s">
        <v>949</v>
      </c>
      <c r="O11" s="30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368" customFormat="1" ht="15" customHeight="1">
      <c r="A12" s="11"/>
      <c r="B12" s="25"/>
      <c r="C12" s="400" t="s">
        <v>950</v>
      </c>
      <c r="D12" s="77"/>
      <c r="E12" s="77"/>
      <c r="F12" s="78"/>
      <c r="G12" s="77"/>
      <c r="H12" s="77"/>
      <c r="I12" s="77"/>
      <c r="J12" s="77"/>
      <c r="K12" s="77"/>
      <c r="L12" s="24"/>
      <c r="M12" s="1"/>
      <c r="N12" s="66"/>
      <c r="O12" s="306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368" customFormat="1" ht="15" customHeight="1">
      <c r="A13" s="11"/>
      <c r="B13" s="28"/>
      <c r="C13" s="399"/>
      <c r="D13" s="19"/>
      <c r="E13" s="19"/>
      <c r="F13" s="20"/>
      <c r="G13" s="19"/>
      <c r="H13" s="19"/>
      <c r="I13" s="19"/>
      <c r="J13" s="19"/>
      <c r="K13" s="19"/>
      <c r="L13" s="21"/>
      <c r="M13" s="1"/>
      <c r="N13" s="66"/>
      <c r="O13" s="306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368" customFormat="1" ht="15" customHeight="1">
      <c r="A14" s="11"/>
      <c r="B14" s="29" t="s">
        <v>951</v>
      </c>
      <c r="C14" s="1"/>
      <c r="D14" s="1"/>
      <c r="E14" s="1"/>
      <c r="F14" s="16"/>
      <c r="G14" s="1"/>
      <c r="H14" s="1"/>
      <c r="I14" s="1"/>
      <c r="J14" s="1"/>
      <c r="K14" s="1"/>
      <c r="L14" s="24"/>
      <c r="M14" s="1"/>
      <c r="N14" s="66"/>
      <c r="O14" s="306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368" customFormat="1" ht="15" customHeight="1">
      <c r="A15" s="11"/>
      <c r="B15" s="25"/>
      <c r="C15" s="1"/>
      <c r="D15" s="1"/>
      <c r="E15" s="1"/>
      <c r="F15" s="16" t="s">
        <v>952</v>
      </c>
      <c r="G15" s="1"/>
      <c r="H15" s="1"/>
      <c r="I15" s="1"/>
      <c r="J15" s="1"/>
      <c r="K15" s="1"/>
      <c r="L15" s="17"/>
      <c r="M15" s="1"/>
      <c r="N15" s="65"/>
      <c r="O15" s="30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368" customFormat="1" ht="15" customHeight="1" thickBot="1">
      <c r="A16" s="1"/>
      <c r="B16" s="31"/>
      <c r="C16" s="32"/>
      <c r="D16" s="32"/>
      <c r="E16" s="32"/>
      <c r="F16" s="33"/>
      <c r="G16" s="32"/>
      <c r="H16" s="32"/>
      <c r="I16" s="32"/>
      <c r="J16" s="32"/>
      <c r="K16" s="32"/>
      <c r="L16" s="34"/>
      <c r="M16" s="1"/>
      <c r="N16" s="66"/>
      <c r="O16" s="30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43" s="368" customFormat="1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66"/>
      <c r="O17" s="306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43" s="368" customFormat="1" ht="15" customHeight="1">
      <c r="A18" s="1"/>
      <c r="B18" s="1"/>
      <c r="C18" s="1"/>
      <c r="D18" s="1"/>
      <c r="E18" s="1"/>
      <c r="F18" s="1"/>
      <c r="G18" s="35"/>
      <c r="H18" s="1"/>
      <c r="I18" s="1"/>
      <c r="J18" s="1"/>
      <c r="K18" s="1"/>
      <c r="L18" s="374"/>
      <c r="M18" s="1"/>
      <c r="N18" s="66"/>
      <c r="O18" s="30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43" s="368" customFormat="1" ht="15" customHeight="1">
      <c r="A19" s="1"/>
      <c r="B19" s="1"/>
      <c r="C19" s="1"/>
      <c r="D19" s="1"/>
      <c r="E19" s="1"/>
      <c r="F19" s="1"/>
      <c r="G19" s="35"/>
      <c r="H19" s="1"/>
      <c r="I19" s="1"/>
      <c r="J19" s="1"/>
      <c r="K19" s="1"/>
      <c r="L19" s="374"/>
      <c r="M19" s="1"/>
      <c r="N19" s="66"/>
      <c r="O19" s="306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43" s="368" customFormat="1" ht="15" customHeight="1">
      <c r="A20" s="36" t="s">
        <v>953</v>
      </c>
      <c r="B20" s="16"/>
      <c r="C20" s="1"/>
      <c r="D20" s="1"/>
      <c r="E20" s="1"/>
      <c r="F20" s="1"/>
      <c r="G20" s="35"/>
      <c r="H20" s="1"/>
      <c r="I20" s="1"/>
      <c r="J20" s="1"/>
      <c r="K20" s="1"/>
      <c r="L20" s="374"/>
      <c r="M20" s="1"/>
      <c r="N20" s="65" t="s">
        <v>954</v>
      </c>
      <c r="O20" s="306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43" s="368" customFormat="1" ht="15" customHeight="1" thickBot="1">
      <c r="A21" s="37"/>
      <c r="B21" s="16"/>
      <c r="C21" s="1"/>
      <c r="D21" s="1"/>
      <c r="E21" s="1"/>
      <c r="F21" s="1"/>
      <c r="G21" s="35"/>
      <c r="H21" s="1"/>
      <c r="I21" s="1"/>
      <c r="J21" s="1"/>
      <c r="K21" s="1"/>
      <c r="L21" s="374"/>
      <c r="M21" s="1"/>
      <c r="N21" s="62"/>
      <c r="O21" s="38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43" s="368" customFormat="1" ht="20.100000000000001" customHeight="1" thickBot="1">
      <c r="A22" s="37"/>
      <c r="B22" s="16"/>
      <c r="C22" s="38"/>
      <c r="D22" s="39"/>
      <c r="E22" s="40" t="s">
        <v>944</v>
      </c>
      <c r="F22" s="39"/>
      <c r="G22" s="41"/>
      <c r="H22" s="42"/>
      <c r="I22" s="1"/>
      <c r="J22" s="1"/>
      <c r="K22" s="1"/>
      <c r="L22" s="374"/>
      <c r="M22" s="1"/>
      <c r="N22" s="62"/>
      <c r="O22" s="387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43" s="368" customFormat="1" ht="15" customHeight="1">
      <c r="A23" s="37"/>
      <c r="B23" s="16"/>
      <c r="C23" s="1"/>
      <c r="D23" s="1"/>
      <c r="E23" s="1"/>
      <c r="F23" s="1"/>
      <c r="G23" s="35"/>
      <c r="H23" s="1"/>
      <c r="I23" s="1"/>
      <c r="J23" s="1"/>
      <c r="K23" s="1"/>
      <c r="L23" s="374"/>
      <c r="M23" s="1"/>
      <c r="N23" s="62"/>
      <c r="O23" s="38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43" s="1" customFormat="1" ht="15" customHeight="1">
      <c r="B24" s="1" t="s">
        <v>280</v>
      </c>
      <c r="L24" s="374"/>
      <c r="O24" s="387"/>
      <c r="X24" s="374"/>
      <c r="Z24" s="374"/>
      <c r="AC24" s="374"/>
      <c r="AN24" s="168"/>
      <c r="AQ24" s="27"/>
    </row>
    <row r="25" spans="1:43" s="1" customFormat="1" ht="15" customHeight="1">
      <c r="B25" s="8"/>
      <c r="C25" s="1" t="s">
        <v>955</v>
      </c>
      <c r="D25" s="27" t="s">
        <v>146</v>
      </c>
      <c r="E25" s="1" t="s">
        <v>956</v>
      </c>
      <c r="L25" s="374"/>
      <c r="O25" s="387"/>
      <c r="X25" s="374"/>
      <c r="Z25" s="374"/>
      <c r="AC25" s="374"/>
      <c r="AN25" s="168"/>
      <c r="AQ25" s="27"/>
    </row>
    <row r="26" spans="1:43" s="1" customFormat="1" ht="15" customHeight="1">
      <c r="B26" s="8"/>
      <c r="C26" s="1" t="s">
        <v>194</v>
      </c>
      <c r="D26" s="27" t="s">
        <v>146</v>
      </c>
      <c r="E26" s="1" t="s">
        <v>957</v>
      </c>
      <c r="L26" s="374"/>
      <c r="O26" s="387"/>
      <c r="X26" s="374"/>
      <c r="Z26" s="374"/>
      <c r="AC26" s="374"/>
      <c r="AN26" s="168"/>
      <c r="AQ26" s="27"/>
    </row>
    <row r="27" spans="1:43" s="1" customFormat="1" ht="15" customHeight="1">
      <c r="B27" s="8"/>
      <c r="E27" s="27"/>
      <c r="L27" s="374"/>
      <c r="O27" s="387"/>
      <c r="X27" s="374"/>
      <c r="Z27" s="374"/>
      <c r="AC27" s="374"/>
      <c r="AN27" s="168"/>
      <c r="AQ27" s="27"/>
    </row>
    <row r="28" spans="1:43" s="1" customFormat="1" ht="15" customHeight="1" thickBot="1">
      <c r="A28" s="56" t="s">
        <v>958</v>
      </c>
      <c r="B28" s="27"/>
      <c r="I28" s="374"/>
      <c r="O28" s="387"/>
      <c r="X28" s="374"/>
      <c r="Z28" s="374"/>
      <c r="AC28" s="374"/>
      <c r="AN28" s="168"/>
      <c r="AQ28" s="27"/>
    </row>
    <row r="29" spans="1:43" s="1" customFormat="1" ht="15" customHeight="1">
      <c r="A29" s="274" t="s">
        <v>98</v>
      </c>
      <c r="B29" s="275" t="s">
        <v>959</v>
      </c>
      <c r="C29" s="403"/>
      <c r="D29" s="404" t="s">
        <v>903</v>
      </c>
      <c r="E29" s="404"/>
      <c r="F29" s="489" t="s">
        <v>269</v>
      </c>
      <c r="G29" s="490"/>
      <c r="H29" s="275" t="s">
        <v>194</v>
      </c>
      <c r="I29" s="416" t="s">
        <v>997</v>
      </c>
      <c r="J29" s="275" t="s">
        <v>266</v>
      </c>
      <c r="K29" s="276" t="s">
        <v>268</v>
      </c>
      <c r="O29" s="387"/>
    </row>
    <row r="30" spans="1:43" s="1" customFormat="1" ht="15" customHeight="1">
      <c r="A30" s="277"/>
      <c r="B30" s="278" t="s">
        <v>212</v>
      </c>
      <c r="C30" s="405"/>
      <c r="D30" s="278"/>
      <c r="E30" s="405"/>
      <c r="F30" s="278" t="s">
        <v>960</v>
      </c>
      <c r="G30" s="278" t="s">
        <v>961</v>
      </c>
      <c r="H30" s="278"/>
      <c r="I30" s="278"/>
      <c r="J30" s="406"/>
      <c r="K30" s="407"/>
      <c r="O30" s="387"/>
    </row>
    <row r="31" spans="1:43" ht="15" customHeight="1">
      <c r="A31" s="186" t="str">
        <f>INPUT!D3</f>
        <v>1001i</v>
      </c>
      <c r="B31" s="171" t="str">
        <f>IF(INPUT!AO3&lt;=0,"Positive","Negative")</f>
        <v>Negative</v>
      </c>
      <c r="C31" s="384"/>
      <c r="D31" s="190" t="e">
        <f>INPUT!#REF!</f>
        <v>#REF!</v>
      </c>
      <c r="E31" s="415"/>
      <c r="F31" s="190" t="e">
        <f>INPUT!#REF!</f>
        <v>#REF!</v>
      </c>
      <c r="G31" s="190" t="e">
        <f>INPUT!#REF!</f>
        <v>#REF!</v>
      </c>
      <c r="H31" s="190" t="e">
        <f>INPUT!#REF!</f>
        <v>#REF!</v>
      </c>
      <c r="I31" s="190" t="e">
        <f>0.95*H31*INPUT!AK3</f>
        <v>#REF!</v>
      </c>
      <c r="J31" s="201" t="e">
        <f t="shared" ref="J31" si="0">IF(AND(D31="compact",F31&lt;=0),IF(MAX(ABS(F31),ABS(F31))&lt;=I31,"OK","NG"),"-")</f>
        <v>#REF!</v>
      </c>
      <c r="K31" s="203" t="e">
        <f t="shared" ref="K31" si="1">IF(AND(D31="compact",F31&lt;=0),I31/MAX(ABS(F31),ABS(F31)),"-")</f>
        <v>#REF!</v>
      </c>
      <c r="L31" s="1"/>
      <c r="M31" s="1"/>
      <c r="N31" s="1"/>
    </row>
    <row r="32" spans="1:43" s="1" customFormat="1" ht="15" customHeight="1">
      <c r="A32" s="409"/>
      <c r="B32" s="293"/>
      <c r="C32" s="293"/>
      <c r="D32" s="408"/>
      <c r="E32" s="408"/>
      <c r="F32" s="293"/>
      <c r="G32" s="293"/>
      <c r="H32" s="293"/>
      <c r="I32" s="293"/>
      <c r="J32" s="410"/>
      <c r="K32" s="410"/>
      <c r="O32" s="387"/>
    </row>
    <row r="33" spans="1:43" s="1" customFormat="1" ht="15" customHeight="1">
      <c r="A33" s="409"/>
      <c r="B33" s="293"/>
      <c r="C33" s="293"/>
      <c r="D33" s="408"/>
      <c r="E33" s="408"/>
      <c r="F33" s="293"/>
      <c r="G33" s="293"/>
      <c r="H33" s="293"/>
      <c r="I33" s="293"/>
      <c r="J33" s="410"/>
      <c r="K33" s="410"/>
      <c r="O33" s="387"/>
    </row>
    <row r="34" spans="1:43" s="1" customFormat="1" ht="15" customHeight="1">
      <c r="A34" s="36" t="s">
        <v>977</v>
      </c>
      <c r="L34" s="374"/>
      <c r="N34" s="65" t="s">
        <v>954</v>
      </c>
      <c r="O34" s="297"/>
      <c r="X34" s="374"/>
      <c r="Z34" s="374"/>
      <c r="AC34" s="374"/>
      <c r="AN34" s="168"/>
      <c r="AQ34" s="27"/>
    </row>
    <row r="35" spans="1:43" s="1" customFormat="1" ht="15" customHeight="1" thickBot="1">
      <c r="A35" s="153"/>
      <c r="D35" s="16"/>
      <c r="L35" s="374"/>
      <c r="O35" s="297"/>
      <c r="X35" s="374"/>
      <c r="Z35" s="374"/>
      <c r="AC35" s="374"/>
      <c r="AN35" s="168"/>
      <c r="AQ35" s="27"/>
    </row>
    <row r="36" spans="1:43" s="368" customFormat="1" ht="20.100000000000001" customHeight="1" thickBot="1">
      <c r="A36" s="37"/>
      <c r="B36" s="16"/>
      <c r="C36" s="38"/>
      <c r="D36" s="39"/>
      <c r="E36" s="40" t="s">
        <v>962</v>
      </c>
      <c r="F36" s="39"/>
      <c r="G36" s="41"/>
      <c r="H36" s="42"/>
      <c r="I36" s="1"/>
      <c r="J36" s="1"/>
      <c r="K36" s="1"/>
      <c r="L36" s="374"/>
      <c r="M36" s="1"/>
      <c r="N36" s="62"/>
      <c r="O36" s="387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43" s="368" customFormat="1" ht="20.100000000000001" customHeight="1">
      <c r="A37" s="37"/>
      <c r="B37" s="16"/>
      <c r="C37" s="78"/>
      <c r="D37" s="77"/>
      <c r="E37" s="78"/>
      <c r="F37" s="77"/>
      <c r="G37" s="411"/>
      <c r="H37" s="77"/>
      <c r="I37" s="1"/>
      <c r="J37" s="1"/>
      <c r="K37" s="1"/>
      <c r="L37" s="374"/>
      <c r="M37" s="1"/>
      <c r="N37" s="62"/>
      <c r="O37" s="38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43" s="1" customFormat="1" ht="15" customHeight="1">
      <c r="B38" s="1" t="s">
        <v>280</v>
      </c>
      <c r="L38" s="374"/>
      <c r="O38" s="297"/>
      <c r="X38" s="374"/>
      <c r="Z38" s="374"/>
      <c r="AC38" s="374"/>
      <c r="AN38" s="168"/>
      <c r="AQ38" s="27"/>
    </row>
    <row r="39" spans="1:43" s="1" customFormat="1" ht="15" customHeight="1">
      <c r="B39" s="8"/>
      <c r="C39" s="1" t="s">
        <v>963</v>
      </c>
      <c r="D39" s="27" t="s">
        <v>146</v>
      </c>
      <c r="E39" s="1" t="s">
        <v>964</v>
      </c>
      <c r="L39" s="374"/>
      <c r="O39" s="297"/>
      <c r="X39" s="374"/>
      <c r="Z39" s="374"/>
      <c r="AC39" s="374"/>
      <c r="AN39" s="168"/>
      <c r="AQ39" s="27"/>
    </row>
    <row r="40" spans="1:43" s="1" customFormat="1" ht="15" customHeight="1">
      <c r="B40" s="8"/>
      <c r="C40" s="1" t="s">
        <v>323</v>
      </c>
      <c r="D40" s="27" t="s">
        <v>146</v>
      </c>
      <c r="E40" s="1" t="s">
        <v>965</v>
      </c>
      <c r="L40" s="374"/>
      <c r="O40" s="297"/>
      <c r="X40" s="374"/>
      <c r="AN40" s="168"/>
      <c r="AQ40" s="27"/>
    </row>
    <row r="41" spans="1:43" s="1" customFormat="1" ht="15" customHeight="1">
      <c r="B41" s="8"/>
      <c r="C41" s="501" t="s">
        <v>323</v>
      </c>
      <c r="D41" s="509" t="s">
        <v>146</v>
      </c>
      <c r="E41" s="19" t="s">
        <v>282</v>
      </c>
      <c r="F41" s="499" t="s">
        <v>966</v>
      </c>
      <c r="G41" s="499"/>
      <c r="H41" s="499"/>
      <c r="I41" s="499"/>
      <c r="N41" s="65" t="s">
        <v>818</v>
      </c>
      <c r="O41" s="297"/>
      <c r="X41" s="374"/>
      <c r="AN41" s="168"/>
      <c r="AQ41" s="27"/>
    </row>
    <row r="42" spans="1:43" s="1" customFormat="1" ht="15" customHeight="1">
      <c r="A42" s="8"/>
      <c r="B42" s="37"/>
      <c r="C42" s="501"/>
      <c r="D42" s="509"/>
      <c r="E42" s="45" t="s">
        <v>284</v>
      </c>
      <c r="F42" s="499"/>
      <c r="G42" s="499"/>
      <c r="H42" s="499"/>
      <c r="I42" s="499"/>
      <c r="O42" s="297"/>
      <c r="Y42" s="374"/>
      <c r="AA42" s="149"/>
      <c r="AD42" s="374"/>
      <c r="AF42" s="374"/>
    </row>
    <row r="43" spans="1:43" s="1" customFormat="1" ht="15" customHeight="1">
      <c r="A43" s="110"/>
      <c r="B43" s="16"/>
      <c r="O43" s="297"/>
      <c r="AF43" s="374"/>
    </row>
    <row r="44" spans="1:43" s="1" customFormat="1" ht="15" customHeight="1">
      <c r="B44" s="377" t="s">
        <v>65</v>
      </c>
      <c r="C44" s="1" t="s">
        <v>285</v>
      </c>
      <c r="D44" s="153"/>
      <c r="E44" s="153"/>
      <c r="F44" s="153"/>
      <c r="G44" s="153"/>
      <c r="H44" s="153"/>
      <c r="I44" s="153"/>
      <c r="M44" s="374"/>
      <c r="O44" s="297"/>
      <c r="Y44" s="374"/>
      <c r="AD44" s="374"/>
      <c r="AF44" s="374"/>
    </row>
    <row r="45" spans="1:43" s="1" customFormat="1" ht="15" customHeight="1">
      <c r="B45" s="8"/>
      <c r="C45" s="1" t="s">
        <v>286</v>
      </c>
      <c r="D45" s="153"/>
      <c r="E45" s="153"/>
      <c r="F45" s="153"/>
      <c r="G45" s="1" t="s">
        <v>287</v>
      </c>
      <c r="H45" s="153"/>
      <c r="I45" s="153"/>
      <c r="M45" s="374"/>
      <c r="O45" s="297"/>
      <c r="Y45" s="374"/>
      <c r="AD45" s="374"/>
      <c r="AF45" s="374"/>
    </row>
    <row r="46" spans="1:43" s="1" customFormat="1" ht="15" customHeight="1">
      <c r="B46" s="8"/>
      <c r="C46" s="19" t="s">
        <v>288</v>
      </c>
      <c r="D46" s="154"/>
      <c r="E46" s="154"/>
      <c r="F46" s="154"/>
      <c r="G46" s="154"/>
      <c r="H46" s="154"/>
      <c r="I46" s="154"/>
      <c r="N46" s="65" t="s">
        <v>978</v>
      </c>
      <c r="O46" s="297"/>
      <c r="Y46" s="374"/>
      <c r="AD46" s="374"/>
      <c r="AF46" s="374"/>
    </row>
    <row r="47" spans="1:43" s="1" customFormat="1" ht="20.100000000000001" customHeight="1">
      <c r="C47" s="43" t="s">
        <v>30</v>
      </c>
      <c r="D47" s="43"/>
      <c r="E47" s="43"/>
      <c r="F47" s="43"/>
      <c r="G47" s="43"/>
      <c r="H47" s="43" t="s">
        <v>154</v>
      </c>
      <c r="I47" s="43"/>
      <c r="J47" s="43"/>
      <c r="K47" s="43"/>
      <c r="L47" s="43"/>
      <c r="O47" s="297"/>
      <c r="Y47" s="374"/>
    </row>
    <row r="48" spans="1:43" s="1" customFormat="1" ht="20.100000000000001" customHeight="1">
      <c r="C48" s="1" t="s">
        <v>289</v>
      </c>
      <c r="H48" s="488">
        <v>7.2</v>
      </c>
      <c r="I48" s="488"/>
      <c r="O48" s="297"/>
      <c r="Y48" s="374"/>
    </row>
    <row r="49" spans="3:32" s="1" customFormat="1" ht="20.100000000000001" customHeight="1">
      <c r="C49" s="1" t="s">
        <v>290</v>
      </c>
      <c r="O49" s="297"/>
      <c r="Y49" s="374"/>
    </row>
    <row r="50" spans="3:32" s="1" customFormat="1" ht="20.100000000000001" customHeight="1">
      <c r="D50" s="1" t="s">
        <v>291</v>
      </c>
      <c r="H50" s="1" t="s">
        <v>292</v>
      </c>
      <c r="O50" s="297"/>
      <c r="Y50" s="374"/>
    </row>
    <row r="51" spans="3:32" s="1" customFormat="1" ht="20.100000000000001" customHeight="1">
      <c r="C51" s="19"/>
      <c r="D51" s="19" t="s">
        <v>293</v>
      </c>
      <c r="E51" s="19"/>
      <c r="F51" s="19"/>
      <c r="G51" s="19"/>
      <c r="H51" s="19" t="s">
        <v>294</v>
      </c>
      <c r="I51" s="19"/>
      <c r="J51" s="19"/>
      <c r="K51" s="19"/>
      <c r="L51" s="19"/>
      <c r="O51" s="297"/>
      <c r="Y51" s="374"/>
    </row>
    <row r="52" spans="3:32" s="1" customFormat="1" ht="15" customHeight="1">
      <c r="O52" s="297"/>
      <c r="Y52" s="374"/>
    </row>
    <row r="53" spans="3:32" s="1" customFormat="1" ht="15" customHeight="1">
      <c r="C53" s="1" t="s">
        <v>295</v>
      </c>
      <c r="D53" s="27" t="s">
        <v>146</v>
      </c>
      <c r="E53" s="1" t="s">
        <v>296</v>
      </c>
      <c r="O53" s="297"/>
      <c r="Y53" s="374"/>
      <c r="AD53" s="374"/>
      <c r="AF53" s="374"/>
    </row>
    <row r="54" spans="3:32" s="1" customFormat="1" ht="15" customHeight="1">
      <c r="D54" s="27" t="s">
        <v>146</v>
      </c>
      <c r="E54" s="1" t="s">
        <v>297</v>
      </c>
      <c r="O54" s="297"/>
      <c r="Y54" s="374"/>
      <c r="AD54" s="374"/>
      <c r="AF54" s="374"/>
    </row>
    <row r="55" spans="3:32" s="1" customFormat="1" ht="15" customHeight="1">
      <c r="C55" s="1" t="s">
        <v>298</v>
      </c>
      <c r="D55" s="27" t="s">
        <v>146</v>
      </c>
      <c r="E55" s="1" t="s">
        <v>299</v>
      </c>
      <c r="O55" s="297"/>
      <c r="Y55" s="374"/>
      <c r="AD55" s="374"/>
      <c r="AF55" s="374"/>
    </row>
    <row r="56" spans="3:32" s="1" customFormat="1" ht="15" customHeight="1">
      <c r="C56" s="1" t="s">
        <v>300</v>
      </c>
      <c r="D56" s="27"/>
      <c r="O56" s="297"/>
      <c r="Y56" s="374"/>
      <c r="AD56" s="374"/>
      <c r="AF56" s="374"/>
    </row>
    <row r="57" spans="3:32" s="1" customFormat="1" ht="15" customHeight="1">
      <c r="D57" s="27"/>
      <c r="O57" s="297"/>
      <c r="Y57" s="374"/>
      <c r="AD57" s="374"/>
      <c r="AF57" s="374"/>
    </row>
    <row r="58" spans="3:32" s="1" customFormat="1" ht="15" customHeight="1">
      <c r="C58" s="1" t="s">
        <v>301</v>
      </c>
      <c r="D58" s="27"/>
      <c r="O58" s="297"/>
      <c r="Y58" s="374"/>
      <c r="AD58" s="374"/>
      <c r="AF58" s="374"/>
    </row>
    <row r="59" spans="3:32" s="1" customFormat="1" ht="15" customHeight="1">
      <c r="C59" s="153" t="s">
        <v>967</v>
      </c>
      <c r="D59" s="27"/>
      <c r="O59" s="297"/>
      <c r="Y59" s="374"/>
      <c r="AD59" s="374"/>
      <c r="AF59" s="374"/>
    </row>
    <row r="60" spans="3:32" s="1" customFormat="1" ht="15" customHeight="1">
      <c r="C60" s="153" t="s">
        <v>968</v>
      </c>
      <c r="D60" s="27"/>
      <c r="O60" s="297"/>
      <c r="Y60" s="374"/>
      <c r="AD60" s="374"/>
      <c r="AF60" s="374"/>
    </row>
    <row r="61" spans="3:32" s="1" customFormat="1" ht="20.100000000000001" customHeight="1">
      <c r="C61" s="43" t="s">
        <v>30</v>
      </c>
      <c r="D61" s="43"/>
      <c r="E61" s="43"/>
      <c r="F61" s="43"/>
      <c r="G61" s="43"/>
      <c r="H61" s="43" t="s">
        <v>154</v>
      </c>
      <c r="I61" s="43"/>
      <c r="J61" s="43"/>
      <c r="K61" s="43"/>
      <c r="L61" s="43"/>
      <c r="O61" s="297"/>
      <c r="Y61" s="374"/>
    </row>
    <row r="62" spans="3:32" s="1" customFormat="1" ht="20.100000000000001" customHeight="1">
      <c r="C62" s="155" t="s">
        <v>304</v>
      </c>
      <c r="E62" s="1" t="s">
        <v>305</v>
      </c>
      <c r="H62" s="1" t="s">
        <v>306</v>
      </c>
      <c r="O62" s="297"/>
      <c r="Y62" s="374"/>
    </row>
    <row r="63" spans="3:32" s="1" customFormat="1" ht="20.100000000000001" customHeight="1">
      <c r="C63" s="46"/>
      <c r="D63" s="46"/>
      <c r="E63" s="46" t="s">
        <v>307</v>
      </c>
      <c r="F63" s="46"/>
      <c r="G63" s="46"/>
      <c r="H63" s="46" t="s">
        <v>308</v>
      </c>
      <c r="I63" s="46"/>
      <c r="J63" s="46"/>
      <c r="K63" s="46"/>
      <c r="L63" s="46"/>
      <c r="O63" s="297"/>
      <c r="Y63" s="374"/>
    </row>
    <row r="64" spans="3:32" s="1" customFormat="1" ht="20.100000000000001" customHeight="1">
      <c r="C64" s="156" t="s">
        <v>309</v>
      </c>
      <c r="D64" s="19"/>
      <c r="E64" s="19"/>
      <c r="F64" s="19"/>
      <c r="G64" s="19"/>
      <c r="H64" s="19" t="s">
        <v>310</v>
      </c>
      <c r="I64" s="19"/>
      <c r="J64" s="19"/>
      <c r="K64" s="19"/>
      <c r="L64" s="19"/>
      <c r="O64" s="297"/>
      <c r="Y64" s="374"/>
    </row>
    <row r="65" spans="1:32" s="1" customFormat="1" ht="15" customHeight="1">
      <c r="C65" s="153"/>
      <c r="D65" s="27"/>
      <c r="O65" s="297"/>
      <c r="Y65" s="374"/>
      <c r="AD65" s="374"/>
      <c r="AF65" s="374"/>
    </row>
    <row r="66" spans="1:32" s="1" customFormat="1" ht="15" customHeight="1">
      <c r="C66" s="1" t="s">
        <v>969</v>
      </c>
      <c r="D66" s="27" t="s">
        <v>146</v>
      </c>
      <c r="E66" s="1" t="s">
        <v>312</v>
      </c>
      <c r="O66" s="297"/>
      <c r="Y66" s="374"/>
      <c r="AD66" s="374"/>
      <c r="AF66" s="374"/>
    </row>
    <row r="67" spans="1:32" s="1" customFormat="1" ht="15" customHeight="1">
      <c r="C67" s="153"/>
      <c r="D67" s="27"/>
      <c r="E67" s="1" t="s">
        <v>313</v>
      </c>
      <c r="O67" s="297"/>
      <c r="Y67" s="374"/>
      <c r="AD67" s="374"/>
      <c r="AF67" s="374"/>
    </row>
    <row r="68" spans="1:32" s="1" customFormat="1" ht="15" customHeight="1">
      <c r="C68" s="126" t="s">
        <v>314</v>
      </c>
      <c r="D68" s="27" t="s">
        <v>146</v>
      </c>
      <c r="E68" s="1" t="s">
        <v>315</v>
      </c>
      <c r="O68" s="297"/>
      <c r="Y68" s="374"/>
      <c r="AD68" s="374"/>
      <c r="AF68" s="374"/>
    </row>
    <row r="69" spans="1:32" s="1" customFormat="1" ht="15" customHeight="1">
      <c r="C69" s="127" t="s">
        <v>970</v>
      </c>
      <c r="D69" s="27"/>
      <c r="O69" s="297"/>
      <c r="Y69" s="374"/>
      <c r="AD69" s="374"/>
      <c r="AF69" s="374"/>
    </row>
    <row r="70" spans="1:32" s="1" customFormat="1" ht="15" customHeight="1">
      <c r="C70" s="127" t="s">
        <v>971</v>
      </c>
      <c r="D70" s="27"/>
      <c r="O70" s="297"/>
      <c r="Y70" s="374"/>
      <c r="AD70" s="374"/>
      <c r="AF70" s="374"/>
    </row>
    <row r="71" spans="1:32" s="1" customFormat="1" ht="15" customHeight="1">
      <c r="C71" s="127"/>
      <c r="D71" s="27"/>
      <c r="O71" s="297"/>
      <c r="Y71" s="374"/>
      <c r="AD71" s="374"/>
      <c r="AF71" s="374"/>
    </row>
    <row r="72" spans="1:32" s="1" customFormat="1" ht="15" customHeight="1">
      <c r="A72" s="8"/>
      <c r="B72" s="377" t="s">
        <v>65</v>
      </c>
      <c r="C72" s="1" t="s">
        <v>972</v>
      </c>
      <c r="D72" s="153"/>
      <c r="E72" s="153"/>
      <c r="F72" s="153"/>
      <c r="G72" s="35"/>
      <c r="L72" s="374"/>
      <c r="O72" s="297"/>
      <c r="Y72" s="374"/>
      <c r="AD72" s="374"/>
      <c r="AF72" s="374"/>
    </row>
    <row r="73" spans="1:32" s="1" customFormat="1" ht="15" customHeight="1">
      <c r="A73" s="8"/>
      <c r="C73" s="1" t="s">
        <v>980</v>
      </c>
      <c r="E73" s="27"/>
      <c r="G73" s="35"/>
      <c r="L73" s="374"/>
      <c r="N73" s="65" t="s">
        <v>979</v>
      </c>
      <c r="O73" s="297"/>
      <c r="Y73" s="374"/>
      <c r="AD73" s="374"/>
      <c r="AF73" s="374"/>
    </row>
    <row r="74" spans="1:32" s="1" customFormat="1" ht="15" customHeight="1">
      <c r="A74" s="8"/>
      <c r="E74" s="27"/>
      <c r="G74" s="35"/>
      <c r="L74" s="374"/>
      <c r="O74" s="297"/>
      <c r="Y74" s="374"/>
      <c r="AD74" s="374"/>
      <c r="AF74" s="374"/>
    </row>
    <row r="75" spans="1:32" s="1" customFormat="1" ht="15" customHeight="1">
      <c r="A75" s="8"/>
      <c r="E75" s="27"/>
      <c r="G75" s="35"/>
      <c r="L75" s="374"/>
      <c r="O75" s="297"/>
      <c r="Y75" s="374"/>
      <c r="AD75" s="374"/>
      <c r="AF75" s="374"/>
    </row>
    <row r="76" spans="1:32" s="1" customFormat="1" ht="15" customHeight="1">
      <c r="A76" s="8"/>
      <c r="E76" s="27"/>
      <c r="G76" s="35"/>
      <c r="L76" s="374"/>
      <c r="O76" s="297"/>
      <c r="Y76" s="374"/>
      <c r="AD76" s="374"/>
      <c r="AF76" s="374"/>
    </row>
    <row r="77" spans="1:32" s="1" customFormat="1" ht="15" customHeight="1">
      <c r="A77" s="8"/>
      <c r="E77" s="27"/>
      <c r="G77" s="35"/>
      <c r="L77" s="374"/>
      <c r="O77" s="297"/>
      <c r="Y77" s="374"/>
      <c r="AD77" s="374"/>
      <c r="AF77" s="374"/>
    </row>
    <row r="78" spans="1:32" s="1" customFormat="1" ht="15" customHeight="1">
      <c r="A78" s="8"/>
      <c r="E78" s="27"/>
      <c r="G78" s="35"/>
      <c r="L78" s="374"/>
      <c r="O78" s="297"/>
      <c r="Y78" s="374"/>
      <c r="AD78" s="374"/>
      <c r="AF78" s="374"/>
    </row>
    <row r="79" spans="1:32" s="1" customFormat="1" ht="15" customHeight="1">
      <c r="A79" s="8"/>
      <c r="E79" s="27"/>
      <c r="G79" s="35"/>
      <c r="L79" s="374"/>
      <c r="O79" s="297"/>
      <c r="Y79" s="374"/>
      <c r="AD79" s="374"/>
      <c r="AF79" s="374"/>
    </row>
    <row r="80" spans="1:32" s="1" customFormat="1" ht="15" customHeight="1">
      <c r="A80" s="8"/>
      <c r="E80" s="27"/>
      <c r="G80" s="35"/>
      <c r="L80" s="374"/>
      <c r="O80" s="297"/>
      <c r="Y80" s="374"/>
      <c r="AD80" s="374"/>
      <c r="AF80" s="374"/>
    </row>
    <row r="81" spans="1:43" s="1" customFormat="1" ht="15" customHeight="1">
      <c r="A81" s="8"/>
      <c r="E81" s="27"/>
      <c r="G81" s="35"/>
      <c r="L81" s="374"/>
      <c r="O81" s="297"/>
      <c r="Y81" s="374"/>
      <c r="AD81" s="374"/>
      <c r="AF81" s="374"/>
    </row>
    <row r="82" spans="1:43" s="1" customFormat="1" ht="15" customHeight="1">
      <c r="A82" s="8"/>
      <c r="E82" s="27"/>
      <c r="G82" s="35"/>
      <c r="L82" s="374"/>
      <c r="O82" s="297"/>
      <c r="Y82" s="374"/>
      <c r="AD82" s="374"/>
      <c r="AF82" s="374"/>
    </row>
    <row r="83" spans="1:43" s="1" customFormat="1" ht="15" customHeight="1">
      <c r="A83" s="8"/>
      <c r="E83" s="27"/>
      <c r="G83" s="35"/>
      <c r="L83" s="374"/>
      <c r="O83" s="297"/>
      <c r="Y83" s="374"/>
      <c r="AD83" s="374"/>
      <c r="AF83" s="374"/>
    </row>
    <row r="84" spans="1:43" s="1" customFormat="1" ht="15" customHeight="1">
      <c r="A84" s="8"/>
      <c r="C84" s="501" t="s">
        <v>983</v>
      </c>
      <c r="D84" s="536" t="s">
        <v>185</v>
      </c>
      <c r="E84" s="412" t="s">
        <v>981</v>
      </c>
      <c r="F84" s="19"/>
      <c r="G84" s="319"/>
      <c r="L84" s="374"/>
      <c r="O84" s="297"/>
      <c r="Y84" s="374"/>
      <c r="AD84" s="374"/>
      <c r="AF84" s="374"/>
    </row>
    <row r="85" spans="1:43" s="1" customFormat="1" ht="15" customHeight="1">
      <c r="A85" s="8"/>
      <c r="C85" s="501"/>
      <c r="D85" s="536"/>
      <c r="E85" s="27"/>
      <c r="F85" s="1" t="s">
        <v>718</v>
      </c>
      <c r="G85" s="35"/>
      <c r="L85" s="374"/>
      <c r="O85" s="297"/>
      <c r="Y85" s="374"/>
      <c r="AD85" s="374"/>
      <c r="AF85" s="374"/>
    </row>
    <row r="86" spans="1:43" s="1" customFormat="1" ht="15" customHeight="1">
      <c r="A86" s="8"/>
      <c r="C86" s="501" t="s">
        <v>984</v>
      </c>
      <c r="D86" s="536" t="s">
        <v>185</v>
      </c>
      <c r="E86" s="19" t="s">
        <v>982</v>
      </c>
      <c r="F86" s="536" t="s">
        <v>720</v>
      </c>
      <c r="G86" s="412" t="s">
        <v>981</v>
      </c>
      <c r="H86" s="19"/>
      <c r="I86" s="319"/>
      <c r="L86" s="374"/>
      <c r="O86" s="297"/>
      <c r="R86" s="106"/>
      <c r="Y86" s="374"/>
      <c r="AD86" s="374"/>
      <c r="AF86" s="374"/>
    </row>
    <row r="87" spans="1:43" s="1" customFormat="1" ht="15" customHeight="1">
      <c r="A87" s="8"/>
      <c r="C87" s="501"/>
      <c r="D87" s="536"/>
      <c r="E87" s="374" t="s">
        <v>985</v>
      </c>
      <c r="F87" s="499"/>
      <c r="G87" s="27"/>
      <c r="H87" s="1" t="s">
        <v>722</v>
      </c>
      <c r="I87" s="35"/>
      <c r="L87" s="374"/>
      <c r="O87" s="297"/>
      <c r="Q87" s="106"/>
      <c r="R87" s="106"/>
      <c r="Y87" s="374"/>
      <c r="AD87" s="374"/>
      <c r="AF87" s="374"/>
    </row>
    <row r="88" spans="1:43" s="1" customFormat="1" ht="15" customHeight="1">
      <c r="O88" s="297"/>
    </row>
    <row r="89" spans="1:43" s="1" customFormat="1" ht="15" customHeight="1" thickBot="1">
      <c r="A89" s="56" t="s">
        <v>973</v>
      </c>
      <c r="D89" s="27"/>
      <c r="K89" s="374"/>
      <c r="O89" s="297"/>
      <c r="Z89" s="374"/>
      <c r="AC89" s="374"/>
    </row>
    <row r="90" spans="1:43" s="1" customFormat="1" ht="15" customHeight="1">
      <c r="A90" s="69" t="s">
        <v>98</v>
      </c>
      <c r="B90" s="522" t="s">
        <v>974</v>
      </c>
      <c r="C90" s="522"/>
      <c r="D90" s="70" t="s">
        <v>975</v>
      </c>
      <c r="E90" s="70" t="s">
        <v>236</v>
      </c>
      <c r="F90" s="70" t="s">
        <v>295</v>
      </c>
      <c r="G90" s="70" t="s">
        <v>322</v>
      </c>
      <c r="H90" s="386" t="s">
        <v>314</v>
      </c>
      <c r="I90" s="70" t="s">
        <v>229</v>
      </c>
      <c r="J90" s="70" t="s">
        <v>344</v>
      </c>
      <c r="K90" s="70" t="s">
        <v>323</v>
      </c>
      <c r="L90" s="70" t="s">
        <v>976</v>
      </c>
      <c r="M90" s="71" t="s">
        <v>266</v>
      </c>
      <c r="O90" s="297"/>
    </row>
    <row r="91" spans="1:43" s="1" customFormat="1" ht="15" customHeight="1">
      <c r="A91" s="72"/>
      <c r="B91" s="73" t="s">
        <v>960</v>
      </c>
      <c r="C91" s="73" t="s">
        <v>961</v>
      </c>
      <c r="D91" s="147"/>
      <c r="E91" s="147"/>
      <c r="F91" s="73"/>
      <c r="G91" s="73"/>
      <c r="H91" s="73"/>
      <c r="I91" s="73"/>
      <c r="J91" s="73"/>
      <c r="K91" s="73"/>
      <c r="L91" s="73"/>
      <c r="M91" s="74"/>
      <c r="O91" s="297"/>
    </row>
    <row r="92" spans="1:43" ht="15" customHeight="1">
      <c r="A92" s="186" t="str">
        <f>A31</f>
        <v>1001i</v>
      </c>
      <c r="B92" s="190" t="e">
        <f>F31</f>
        <v>#REF!</v>
      </c>
      <c r="C92" s="190" t="e">
        <f>G31</f>
        <v>#REF!</v>
      </c>
      <c r="D92" s="190">
        <f>INPUT!J3+INPUT!N3+INPUT!K3</f>
        <v>2634</v>
      </c>
      <c r="E92" s="345">
        <f>IF(B31="Positive",INPUT!J3,INPUT!N3)</f>
        <v>12</v>
      </c>
      <c r="F92" s="190" t="e">
        <f>IF(AND(B92=0,C92=0),I92,IF((ABS(B92)+ABS(C92))=0,0,IF(B31="Positive",ABS(B92),ABS(C92))/(ABS(B92)+ABS(C92))*D92-E92))</f>
        <v>#REF!</v>
      </c>
      <c r="G92" s="190">
        <f>IF(INPUT!AA3=1,0.2,IF(INPUT!AA3=2,0.25,0))*INPUT!K3</f>
        <v>650</v>
      </c>
      <c r="H92" s="190" t="e">
        <f>IF(OR(B92=0,C92=0),0,IF(B31="Positive",C92/B92,B92/C92))</f>
        <v>#REF!</v>
      </c>
      <c r="I92" s="190">
        <f>INPUT!K3</f>
        <v>2600</v>
      </c>
      <c r="J92" s="194" t="e">
        <f>IF(INPUT!AA3=0,9/(F92/I92)^2,IF(INPUT!AA3=1,IF(AND(B92&lt;=0,C92&lt;=0),7.2,IF(G92/F92&gt;=0.4,MAX(5.17/(G92/I92)^2,9/(F92/I92)^2),11.64/((F92-G92)/I92)^2)),IF(H92&gt;=-1,247.8*((G92/F92)^1.8)*(1-H92)^2.7,247.8*(1-H92)^0.32)))</f>
        <v>#REF!</v>
      </c>
      <c r="K92" s="128" t="e">
        <f>MIN(0.9*INPUT!$B$2*J92/(INPUT!K3/COS(ATAN((INPUT!T3/2 - 0.5*(INPUT!M3-2*INPUT!O3))/INPUT!K3))/INPUT!L3)^2,H31*INPUT!AK3,INPUT!AM3/0.7)</f>
        <v>#REF!</v>
      </c>
      <c r="L92" s="198" t="e">
        <f>IF(B31="Positive",B92,C92)</f>
        <v>#REF!</v>
      </c>
      <c r="M92" s="203" t="e">
        <f>IF(ABS(L92)&lt;=K92,"OK","NG")</f>
        <v>#REF!</v>
      </c>
      <c r="N92" s="1"/>
    </row>
    <row r="93" spans="1:43" s="1" customFormat="1" ht="15" customHeight="1">
      <c r="A93" s="409"/>
      <c r="B93" s="293"/>
      <c r="C93" s="293"/>
      <c r="D93" s="408"/>
      <c r="E93" s="408"/>
      <c r="F93" s="293"/>
      <c r="G93" s="293"/>
      <c r="H93" s="293"/>
      <c r="I93" s="293"/>
      <c r="J93" s="410"/>
      <c r="K93" s="410"/>
      <c r="O93" s="387"/>
    </row>
    <row r="94" spans="1:43" s="1" customFormat="1" ht="15" customHeight="1">
      <c r="A94" s="77"/>
      <c r="B94" s="401"/>
      <c r="C94" s="401"/>
      <c r="F94" s="401"/>
      <c r="G94" s="401"/>
      <c r="H94" s="401"/>
      <c r="I94" s="401"/>
      <c r="J94" s="402"/>
      <c r="K94" s="402"/>
      <c r="O94" s="387"/>
    </row>
    <row r="95" spans="1:43" s="1" customFormat="1" ht="15" customHeight="1">
      <c r="A95" s="36" t="s">
        <v>992</v>
      </c>
      <c r="L95" s="374"/>
      <c r="O95" s="297"/>
      <c r="X95" s="374"/>
      <c r="Z95" s="374"/>
      <c r="AC95" s="374"/>
      <c r="AN95" s="168"/>
      <c r="AQ95" s="27"/>
    </row>
    <row r="96" spans="1:43" s="1" customFormat="1" ht="15" customHeight="1" thickBot="1">
      <c r="A96" s="153"/>
      <c r="L96" s="374"/>
      <c r="O96" s="297"/>
      <c r="X96" s="374"/>
      <c r="Z96" s="374"/>
      <c r="AC96" s="374"/>
      <c r="AN96" s="168"/>
      <c r="AQ96" s="27"/>
    </row>
    <row r="97" spans="1:43" s="368" customFormat="1" ht="20.100000000000001" customHeight="1" thickBot="1">
      <c r="A97" s="37"/>
      <c r="B97" s="16"/>
      <c r="C97" s="38"/>
      <c r="D97" s="39"/>
      <c r="E97" s="40" t="s">
        <v>986</v>
      </c>
      <c r="F97" s="39"/>
      <c r="G97" s="41"/>
      <c r="H97" s="42"/>
      <c r="I97" s="1"/>
      <c r="J97" s="1"/>
      <c r="K97" s="1"/>
      <c r="L97" s="374"/>
      <c r="M97" s="1"/>
      <c r="N97" s="62"/>
      <c r="O97" s="38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43" s="1" customFormat="1" ht="15" customHeight="1">
      <c r="A98" s="153"/>
      <c r="D98" s="16"/>
      <c r="L98" s="374"/>
      <c r="O98" s="297"/>
      <c r="X98" s="374"/>
      <c r="Z98" s="374"/>
      <c r="AC98" s="374"/>
      <c r="AN98" s="168"/>
      <c r="AQ98" s="27"/>
    </row>
    <row r="99" spans="1:43" s="1" customFormat="1" ht="15" customHeight="1">
      <c r="B99" s="1" t="s">
        <v>280</v>
      </c>
      <c r="C99" s="27" t="s">
        <v>996</v>
      </c>
      <c r="L99" s="374"/>
      <c r="O99" s="297"/>
      <c r="X99" s="374"/>
      <c r="Z99" s="374"/>
      <c r="AC99" s="374"/>
      <c r="AN99" s="168"/>
      <c r="AQ99" s="27"/>
    </row>
    <row r="100" spans="1:43" s="1" customFormat="1" ht="15" customHeight="1">
      <c r="B100" s="8"/>
      <c r="C100" s="501" t="s">
        <v>993</v>
      </c>
      <c r="D100" s="412" t="s">
        <v>994</v>
      </c>
      <c r="E100" s="19"/>
      <c r="F100" s="319"/>
      <c r="O100" s="297"/>
      <c r="X100" s="374"/>
      <c r="Z100" s="374"/>
      <c r="AC100" s="374"/>
      <c r="AN100" s="168"/>
      <c r="AQ100" s="27"/>
    </row>
    <row r="101" spans="1:43" s="1" customFormat="1" ht="15" customHeight="1">
      <c r="B101" s="8"/>
      <c r="C101" s="501"/>
      <c r="D101" s="27"/>
      <c r="E101" s="1" t="s">
        <v>995</v>
      </c>
      <c r="F101" s="35"/>
      <c r="O101" s="297"/>
      <c r="X101" s="374"/>
      <c r="Z101" s="374"/>
      <c r="AC101" s="374"/>
      <c r="AN101" s="168"/>
      <c r="AQ101" s="27"/>
    </row>
    <row r="102" spans="1:43" s="1" customFormat="1" ht="15" customHeight="1">
      <c r="B102" s="8"/>
      <c r="C102" s="375" t="s">
        <v>987</v>
      </c>
      <c r="D102" s="314">
        <f>0.8*INPUT!B8</f>
        <v>320</v>
      </c>
      <c r="L102" s="374"/>
      <c r="O102" s="297"/>
      <c r="X102" s="374"/>
      <c r="Z102" s="374"/>
      <c r="AC102" s="374"/>
      <c r="AN102" s="168"/>
      <c r="AQ102" s="27"/>
    </row>
    <row r="103" spans="1:43" s="1" customFormat="1" ht="15" customHeight="1">
      <c r="A103" s="374"/>
      <c r="B103" s="374"/>
      <c r="C103" s="374"/>
      <c r="D103" s="374"/>
      <c r="E103" s="374"/>
      <c r="F103" s="374"/>
      <c r="G103" s="374"/>
      <c r="I103" s="374"/>
      <c r="J103" s="374"/>
      <c r="K103" s="374"/>
      <c r="L103" s="374"/>
      <c r="O103" s="297"/>
      <c r="X103" s="374"/>
      <c r="Z103" s="374"/>
      <c r="AC103" s="374"/>
      <c r="AN103" s="168"/>
      <c r="AQ103" s="27"/>
    </row>
    <row r="104" spans="1:43" s="1" customFormat="1" ht="15" customHeight="1" thickBot="1">
      <c r="C104" s="56" t="s">
        <v>988</v>
      </c>
      <c r="I104" s="374"/>
      <c r="O104" s="297"/>
      <c r="X104" s="374"/>
      <c r="Z104" s="374"/>
      <c r="AC104" s="374"/>
    </row>
    <row r="105" spans="1:43" s="1" customFormat="1" ht="15" customHeight="1">
      <c r="C105" s="132" t="s">
        <v>98</v>
      </c>
      <c r="D105" s="380" t="s">
        <v>959</v>
      </c>
      <c r="E105" s="413"/>
      <c r="F105" s="489" t="s">
        <v>695</v>
      </c>
      <c r="G105" s="493"/>
      <c r="H105" s="493"/>
      <c r="I105" s="490"/>
      <c r="J105" s="380" t="s">
        <v>696</v>
      </c>
      <c r="K105" s="380" t="s">
        <v>998</v>
      </c>
      <c r="L105" s="71" t="s">
        <v>266</v>
      </c>
      <c r="O105" s="297"/>
    </row>
    <row r="106" spans="1:43" s="1" customFormat="1" ht="15" customHeight="1">
      <c r="C106" s="133"/>
      <c r="D106" s="381" t="s">
        <v>212</v>
      </c>
      <c r="E106" s="414"/>
      <c r="F106" s="381" t="s">
        <v>989</v>
      </c>
      <c r="G106" s="381" t="s">
        <v>853</v>
      </c>
      <c r="H106" s="381" t="s">
        <v>855</v>
      </c>
      <c r="I106" s="381" t="s">
        <v>854</v>
      </c>
      <c r="J106" s="381" t="s">
        <v>990</v>
      </c>
      <c r="K106" s="381" t="s">
        <v>991</v>
      </c>
      <c r="L106" s="148"/>
      <c r="O106" s="297"/>
    </row>
    <row r="107" spans="1:43" ht="15" customHeight="1">
      <c r="C107" s="186" t="str">
        <f>A92</f>
        <v>1001i</v>
      </c>
      <c r="D107" s="171" t="str">
        <f>B31</f>
        <v>Negative</v>
      </c>
      <c r="E107" s="384"/>
      <c r="F107" s="190" t="e">
        <f>INPUT!#REF!</f>
        <v>#REF!</v>
      </c>
      <c r="G107" s="190" t="e">
        <f>INPUT!#REF!</f>
        <v>#REF!</v>
      </c>
      <c r="H107" s="190" t="e">
        <f>INPUT!#REF!</f>
        <v>#REF!</v>
      </c>
      <c r="I107" s="190" t="e">
        <f>INPUT!#REF!</f>
        <v>#REF!</v>
      </c>
      <c r="J107" s="292" t="e">
        <f>INPUT!#REF!</f>
        <v>#REF!</v>
      </c>
      <c r="K107" s="190" t="e">
        <f>IF(D107="Positive","-",-(F107+G107+H107)/J107*10^6)</f>
        <v>#REF!</v>
      </c>
      <c r="L107" s="395" t="e">
        <f>IF(D107="Positive","-",IF(K107&lt;=$D$102,"OK","NG"))</f>
        <v>#REF!</v>
      </c>
      <c r="M107" s="1"/>
      <c r="N107" s="1"/>
    </row>
  </sheetData>
  <mergeCells count="13">
    <mergeCell ref="F105:I105"/>
    <mergeCell ref="C100:C101"/>
    <mergeCell ref="F29:G29"/>
    <mergeCell ref="C41:C42"/>
    <mergeCell ref="D41:D42"/>
    <mergeCell ref="F41:I42"/>
    <mergeCell ref="H48:I48"/>
    <mergeCell ref="B90:C90"/>
    <mergeCell ref="D84:D85"/>
    <mergeCell ref="C84:C85"/>
    <mergeCell ref="C86:C87"/>
    <mergeCell ref="D86:D87"/>
    <mergeCell ref="F86:F87"/>
  </mergeCells>
  <phoneticPr fontId="28" type="noConversion"/>
  <conditionalFormatting sqref="J32:K33 J93:K94">
    <cfRule type="cellIs" dxfId="57" priority="37" operator="equal">
      <formula>"NG"</formula>
    </cfRule>
  </conditionalFormatting>
  <conditionalFormatting sqref="J31">
    <cfRule type="containsText" dxfId="56" priority="19" operator="containsText" text="NG">
      <formula>NOT(ISERROR(SEARCH("NG",J31)))</formula>
    </cfRule>
    <cfRule type="containsText" dxfId="55" priority="21" operator="containsText" text="NG">
      <formula>NOT(ISERROR(SEARCH("NG",J31)))</formula>
    </cfRule>
    <cfRule type="containsText" dxfId="54" priority="22" operator="containsText" text="NG">
      <formula>NOT(ISERROR(SEARCH("NG",J31)))</formula>
    </cfRule>
    <cfRule type="cellIs" dxfId="53" priority="24" operator="equal">
      <formula>"NG"</formula>
    </cfRule>
  </conditionalFormatting>
  <conditionalFormatting sqref="K31">
    <cfRule type="cellIs" dxfId="52" priority="18" operator="lessThan">
      <formula>1</formula>
    </cfRule>
    <cfRule type="cellIs" dxfId="51" priority="20" operator="lessThan">
      <formula>1</formula>
    </cfRule>
    <cfRule type="cellIs" dxfId="50" priority="23" operator="equal">
      <formula>"NG"</formula>
    </cfRule>
  </conditionalFormatting>
  <conditionalFormatting sqref="J92">
    <cfRule type="containsText" dxfId="49" priority="12" operator="containsText" text="NG">
      <formula>NOT(ISERROR(SEARCH("NG",J92)))</formula>
    </cfRule>
    <cfRule type="containsText" dxfId="48" priority="14" operator="containsText" text="NG">
      <formula>NOT(ISERROR(SEARCH("NG",J92)))</formula>
    </cfRule>
    <cfRule type="containsText" dxfId="47" priority="15" operator="containsText" text="NG">
      <formula>NOT(ISERROR(SEARCH("NG",J92)))</formula>
    </cfRule>
    <cfRule type="cellIs" dxfId="46" priority="17" operator="equal">
      <formula>"NG"</formula>
    </cfRule>
  </conditionalFormatting>
  <conditionalFormatting sqref="M92">
    <cfRule type="cellIs" dxfId="45" priority="8" operator="lessThan">
      <formula>1</formula>
    </cfRule>
    <cfRule type="cellIs" dxfId="44" priority="9" operator="lessThan">
      <formula>1</formula>
    </cfRule>
    <cfRule type="cellIs" dxfId="43" priority="10" operator="equal">
      <formula>"NG"</formula>
    </cfRule>
  </conditionalFormatting>
  <conditionalFormatting sqref="L107">
    <cfRule type="containsText" dxfId="42" priority="2" operator="containsText" text="NG">
      <formula>NOT(ISERROR(SEARCH("NG",L107)))</formula>
    </cfRule>
    <cfRule type="containsText" dxfId="41" priority="4" operator="containsText" text="NG">
      <formula>NOT(ISERROR(SEARCH("NG",L107)))</formula>
    </cfRule>
    <cfRule type="containsText" dxfId="40" priority="5" operator="containsText" text="NG">
      <formula>NOT(ISERROR(SEARCH("NG",L107)))</formula>
    </cfRule>
    <cfRule type="cellIs" dxfId="39" priority="7" operator="equal">
      <formula>"NG"</formula>
    </cfRule>
  </conditionalFormatting>
  <pageMargins left="0.47244094488188981" right="0.39370078740157483" top="0.74803149606299213" bottom="0.74803149606299213" header="0.31496062992125984" footer="0.31496062992125984"/>
  <pageSetup paperSize="9" orientation="portrait" r:id="rId1"/>
  <rowBreaks count="5" manualBreakCount="5">
    <brk id="18" max="16383" man="1"/>
    <brk id="33" max="16383" man="1"/>
    <brk id="71" max="16383" man="1"/>
    <brk id="88" max="16383" man="1"/>
    <brk id="94" max="16383" man="1"/>
  </rowBreaks>
  <colBreaks count="1" manualBreakCount="1">
    <brk id="15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465-F7E1-46CE-AE8E-66F7F6A53EBF}">
  <dimension ref="A1:AP84"/>
  <sheetViews>
    <sheetView showGridLines="0" zoomScaleNormal="100" zoomScaleSheetLayoutView="100" workbookViewId="0"/>
  </sheetViews>
  <sheetFormatPr defaultRowHeight="15" customHeight="1"/>
  <cols>
    <col min="1" max="13" width="6" customWidth="1"/>
    <col min="14" max="14" width="6" style="64" customWidth="1"/>
    <col min="15" max="15" width="5.7109375" style="306" customWidth="1"/>
    <col min="16" max="16" width="9" style="368"/>
  </cols>
  <sheetData>
    <row r="1" spans="1:42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74"/>
      <c r="M1" s="1"/>
      <c r="N1" s="61"/>
      <c r="O1" s="297"/>
    </row>
    <row r="2" spans="1:42" ht="15" customHeight="1">
      <c r="A2" s="3"/>
      <c r="B2" s="4">
        <v>7</v>
      </c>
      <c r="C2" s="164" t="s">
        <v>0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297"/>
    </row>
    <row r="3" spans="1:42" ht="15" customHeight="1">
      <c r="A3" s="5"/>
      <c r="B3" s="6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62"/>
      <c r="O3" s="387"/>
    </row>
    <row r="4" spans="1:42" ht="15" customHeight="1">
      <c r="A4" s="7" t="s">
        <v>1071</v>
      </c>
      <c r="B4" s="1"/>
      <c r="C4" s="1"/>
      <c r="D4" s="1"/>
      <c r="E4" s="1"/>
      <c r="F4" s="1"/>
      <c r="G4" s="1"/>
      <c r="H4" s="1"/>
      <c r="I4" s="1"/>
      <c r="J4" s="1"/>
      <c r="K4" s="1"/>
      <c r="L4" s="374"/>
      <c r="M4" s="1"/>
      <c r="N4" s="62"/>
      <c r="O4" s="388"/>
    </row>
    <row r="5" spans="1:42" ht="15" customHeight="1" thickBot="1">
      <c r="A5" s="8"/>
      <c r="B5" s="1"/>
      <c r="C5" s="1"/>
      <c r="D5" s="1"/>
      <c r="E5" s="1"/>
      <c r="F5" s="9"/>
      <c r="G5" s="10"/>
      <c r="H5" s="1"/>
      <c r="I5" s="1"/>
      <c r="J5" s="1"/>
      <c r="K5" s="1"/>
      <c r="L5" s="374"/>
      <c r="M5" s="1"/>
      <c r="N5" s="62"/>
      <c r="O5" s="387"/>
    </row>
    <row r="6" spans="1:42" ht="15" customHeight="1">
      <c r="A6" s="11"/>
      <c r="B6" s="12" t="s">
        <v>1067</v>
      </c>
      <c r="C6" s="13"/>
      <c r="D6" s="13"/>
      <c r="E6" s="13"/>
      <c r="F6" s="13"/>
      <c r="G6" s="13"/>
      <c r="H6" s="13"/>
      <c r="I6" s="13"/>
      <c r="J6" s="13"/>
      <c r="K6" s="13"/>
      <c r="L6" s="14"/>
      <c r="M6" s="1"/>
      <c r="N6" s="62"/>
      <c r="O6" s="387"/>
    </row>
    <row r="7" spans="1:42" ht="15" customHeight="1">
      <c r="A7" s="11"/>
      <c r="B7" s="15"/>
      <c r="C7" s="1"/>
      <c r="D7" s="1"/>
      <c r="E7" s="1"/>
      <c r="F7" s="445" t="s">
        <v>999</v>
      </c>
      <c r="G7" s="446"/>
      <c r="H7" s="1"/>
      <c r="I7" s="1"/>
      <c r="J7" s="1"/>
      <c r="K7" s="1"/>
      <c r="L7" s="17"/>
      <c r="M7" s="1"/>
      <c r="N7" s="65" t="s">
        <v>1069</v>
      </c>
    </row>
    <row r="8" spans="1:42" s="368" customFormat="1" ht="15" customHeight="1">
      <c r="A8" s="11"/>
      <c r="B8" s="18"/>
      <c r="C8" s="399"/>
      <c r="D8" s="19"/>
      <c r="E8" s="19"/>
      <c r="F8" s="20"/>
      <c r="G8" s="19"/>
      <c r="H8" s="19"/>
      <c r="I8" s="19"/>
      <c r="J8" s="19"/>
      <c r="K8" s="19"/>
      <c r="L8" s="21"/>
      <c r="M8" s="1"/>
      <c r="N8" s="66"/>
      <c r="O8" s="306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2" s="368" customFormat="1" ht="15" customHeight="1">
      <c r="A9" s="11"/>
      <c r="B9" s="22" t="s">
        <v>1068</v>
      </c>
      <c r="C9" s="1"/>
      <c r="D9" s="1"/>
      <c r="E9" s="1"/>
      <c r="F9" s="23"/>
      <c r="G9" s="1"/>
      <c r="H9" s="1"/>
      <c r="I9" s="1"/>
      <c r="J9" s="1"/>
      <c r="K9" s="1"/>
      <c r="L9" s="24"/>
      <c r="M9" s="1"/>
      <c r="N9" s="66"/>
      <c r="O9" s="306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2" s="368" customFormat="1" ht="15" customHeight="1">
      <c r="A10" s="11"/>
      <c r="B10" s="25"/>
      <c r="C10" s="1"/>
      <c r="D10" s="1"/>
      <c r="E10" s="1"/>
      <c r="F10" s="447" t="s">
        <v>1000</v>
      </c>
      <c r="G10" s="1"/>
      <c r="H10" s="1"/>
      <c r="I10" s="1"/>
      <c r="J10" s="1"/>
      <c r="K10" s="1"/>
      <c r="L10" s="17"/>
      <c r="M10" s="1"/>
      <c r="N10" s="65" t="s">
        <v>1070</v>
      </c>
      <c r="O10" s="306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2" s="368" customFormat="1" ht="15" customHeight="1">
      <c r="A11" s="11"/>
      <c r="B11" s="28"/>
      <c r="C11" s="399"/>
      <c r="D11" s="19"/>
      <c r="E11" s="19"/>
      <c r="F11" s="20"/>
      <c r="G11" s="19"/>
      <c r="H11" s="19"/>
      <c r="I11" s="19"/>
      <c r="J11" s="19"/>
      <c r="K11" s="19"/>
      <c r="L11" s="21"/>
      <c r="M11" s="1"/>
      <c r="N11" s="66"/>
      <c r="O11" s="30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2" s="368" customFormat="1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66"/>
      <c r="O12" s="306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42" s="1" customFormat="1" ht="15" customHeight="1">
      <c r="K13" s="35"/>
      <c r="O13" s="297"/>
      <c r="X13" s="374"/>
      <c r="Z13" s="374"/>
      <c r="AB13" s="374"/>
      <c r="AF13" s="168"/>
      <c r="AI13" s="27"/>
    </row>
    <row r="14" spans="1:42" s="1" customFormat="1" ht="15" customHeight="1">
      <c r="A14" s="36" t="s">
        <v>1072</v>
      </c>
      <c r="L14" s="374"/>
      <c r="M14" s="418"/>
      <c r="N14" s="65" t="s">
        <v>1069</v>
      </c>
      <c r="O14" s="297"/>
      <c r="X14" s="374"/>
      <c r="Z14" s="374"/>
      <c r="AP14" s="27"/>
    </row>
    <row r="15" spans="1:42" s="1" customFormat="1" ht="15" customHeight="1" thickBot="1">
      <c r="A15" s="11"/>
      <c r="B15" s="417"/>
      <c r="L15" s="374"/>
      <c r="O15" s="297"/>
      <c r="X15" s="374"/>
      <c r="Z15" s="374"/>
      <c r="AM15" s="168"/>
      <c r="AP15" s="27"/>
    </row>
    <row r="16" spans="1:42" s="368" customFormat="1" ht="20.100000000000001" customHeight="1" thickBot="1">
      <c r="A16" s="37"/>
      <c r="B16" s="16"/>
      <c r="C16" s="38"/>
      <c r="D16" s="39"/>
      <c r="E16" s="448" t="s">
        <v>1001</v>
      </c>
      <c r="F16" s="39"/>
      <c r="G16" s="41"/>
      <c r="H16" s="42"/>
      <c r="I16" s="1"/>
      <c r="J16" s="1"/>
      <c r="K16" s="1"/>
      <c r="L16" s="374"/>
      <c r="M16" s="1"/>
      <c r="N16" s="62"/>
      <c r="O16" s="387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2:42" s="1" customFormat="1" ht="15" customHeight="1">
      <c r="B17" s="8"/>
      <c r="C17" s="419"/>
      <c r="D17" s="27"/>
      <c r="G17" s="35"/>
      <c r="L17" s="374"/>
      <c r="O17" s="297"/>
      <c r="P17" s="418"/>
      <c r="X17" s="374"/>
      <c r="Z17" s="374"/>
      <c r="AM17" s="168"/>
      <c r="AP17" s="27"/>
    </row>
    <row r="18" spans="2:42" s="1" customFormat="1" ht="15" customHeight="1">
      <c r="B18" s="375" t="s">
        <v>280</v>
      </c>
      <c r="C18" s="16"/>
      <c r="D18" s="27"/>
      <c r="G18" s="35"/>
      <c r="L18" s="374"/>
      <c r="O18" s="297"/>
      <c r="P18" s="418"/>
      <c r="X18" s="374"/>
      <c r="Z18" s="374"/>
      <c r="AM18" s="168"/>
      <c r="AP18" s="27"/>
    </row>
    <row r="19" spans="2:42" s="1" customFormat="1" ht="15" customHeight="1">
      <c r="B19" s="9"/>
      <c r="C19" s="420" t="s">
        <v>1002</v>
      </c>
      <c r="D19" s="27" t="s">
        <v>146</v>
      </c>
      <c r="E19" s="375">
        <v>0.75</v>
      </c>
      <c r="F19" s="35" t="s">
        <v>1003</v>
      </c>
      <c r="O19" s="297"/>
      <c r="P19" s="418"/>
      <c r="X19" s="374"/>
      <c r="Z19" s="374"/>
      <c r="AM19" s="168"/>
      <c r="AP19" s="27"/>
    </row>
    <row r="20" spans="2:42" s="1" customFormat="1" ht="15" customHeight="1">
      <c r="B20" s="9"/>
      <c r="C20" s="376" t="s">
        <v>1004</v>
      </c>
      <c r="D20" s="27" t="s">
        <v>146</v>
      </c>
      <c r="E20" s="35" t="s">
        <v>1005</v>
      </c>
      <c r="L20" s="374"/>
      <c r="O20" s="297"/>
      <c r="P20" s="418"/>
      <c r="X20" s="374"/>
      <c r="Z20" s="374"/>
      <c r="AM20" s="168"/>
      <c r="AP20" s="27"/>
    </row>
    <row r="21" spans="2:42" s="1" customFormat="1" ht="15" customHeight="1">
      <c r="B21" s="9"/>
      <c r="C21" s="376" t="s">
        <v>1006</v>
      </c>
      <c r="D21" s="27" t="s">
        <v>146</v>
      </c>
      <c r="E21" s="35" t="s">
        <v>1007</v>
      </c>
      <c r="L21" s="374"/>
      <c r="O21" s="297"/>
      <c r="P21" s="418"/>
      <c r="X21" s="374"/>
      <c r="Z21" s="374"/>
      <c r="AM21" s="168"/>
      <c r="AP21" s="27"/>
    </row>
    <row r="22" spans="2:42" s="1" customFormat="1" ht="15" customHeight="1">
      <c r="B22" s="375" t="s">
        <v>1008</v>
      </c>
      <c r="C22" s="376"/>
      <c r="D22" s="27"/>
      <c r="E22" s="27"/>
      <c r="G22" s="35"/>
      <c r="L22" s="374"/>
      <c r="N22" s="65" t="s">
        <v>1073</v>
      </c>
      <c r="O22" s="297"/>
      <c r="X22" s="374"/>
      <c r="Z22" s="374"/>
      <c r="AM22" s="168"/>
      <c r="AP22" s="27"/>
    </row>
    <row r="23" spans="2:42" s="1" customFormat="1" ht="15" customHeight="1">
      <c r="B23" s="9"/>
      <c r="C23" s="376" t="s">
        <v>1006</v>
      </c>
      <c r="D23" s="27" t="s">
        <v>146</v>
      </c>
      <c r="E23" s="35" t="s">
        <v>1009</v>
      </c>
      <c r="H23" s="374" t="s">
        <v>1010</v>
      </c>
      <c r="J23" s="1" t="s">
        <v>1011</v>
      </c>
      <c r="L23" s="374"/>
      <c r="O23" s="297"/>
      <c r="X23" s="374"/>
      <c r="Z23" s="374"/>
      <c r="AA23" s="418"/>
      <c r="AM23" s="168"/>
      <c r="AP23" s="27"/>
    </row>
    <row r="24" spans="2:42" s="1" customFormat="1" ht="15" customHeight="1">
      <c r="B24" s="9"/>
      <c r="C24" s="376"/>
      <c r="D24" s="27" t="s">
        <v>146</v>
      </c>
      <c r="E24" s="35" t="s">
        <v>1012</v>
      </c>
      <c r="H24" s="374" t="s">
        <v>1010</v>
      </c>
      <c r="J24" s="1" t="s">
        <v>1013</v>
      </c>
      <c r="L24" s="374"/>
      <c r="O24" s="297"/>
      <c r="X24" s="374"/>
      <c r="Z24" s="374"/>
      <c r="AA24" s="418"/>
      <c r="AM24" s="168"/>
      <c r="AP24" s="27"/>
    </row>
    <row r="25" spans="2:42" s="1" customFormat="1" ht="15" customHeight="1">
      <c r="B25" s="9"/>
      <c r="C25" s="376"/>
      <c r="D25" s="27" t="s">
        <v>146</v>
      </c>
      <c r="E25" s="376" t="s">
        <v>1014</v>
      </c>
      <c r="H25" s="374" t="s">
        <v>1010</v>
      </c>
      <c r="J25" s="1" t="s">
        <v>1015</v>
      </c>
      <c r="L25" s="374"/>
      <c r="O25" s="297"/>
      <c r="X25" s="374"/>
      <c r="Z25" s="374"/>
      <c r="AA25" s="418"/>
      <c r="AM25" s="168"/>
      <c r="AP25" s="27"/>
    </row>
    <row r="26" spans="2:42" s="1" customFormat="1" ht="15" customHeight="1">
      <c r="B26" s="9"/>
      <c r="C26" s="376"/>
      <c r="D26" s="27"/>
      <c r="E26" s="27"/>
      <c r="G26" s="35"/>
      <c r="L26" s="374"/>
      <c r="O26" s="297"/>
      <c r="X26" s="374"/>
      <c r="Z26" s="374"/>
      <c r="AA26" s="418"/>
      <c r="AM26" s="168"/>
      <c r="AP26" s="27"/>
    </row>
    <row r="27" spans="2:42" s="1" customFormat="1" ht="15" customHeight="1">
      <c r="C27" s="375" t="s">
        <v>280</v>
      </c>
      <c r="D27" s="27"/>
      <c r="E27" s="27"/>
      <c r="G27" s="35"/>
      <c r="L27" s="374"/>
      <c r="O27" s="297"/>
      <c r="X27" s="374"/>
      <c r="Z27" s="374"/>
      <c r="AA27" s="418"/>
      <c r="AM27" s="168"/>
      <c r="AP27" s="27"/>
    </row>
    <row r="28" spans="2:42" s="1" customFormat="1" ht="15" customHeight="1">
      <c r="B28" s="375"/>
      <c r="D28" s="27"/>
      <c r="E28" s="1" t="s">
        <v>1016</v>
      </c>
      <c r="G28" s="27" t="s">
        <v>146</v>
      </c>
      <c r="H28" s="35" t="s">
        <v>1017</v>
      </c>
      <c r="K28" s="27" t="s">
        <v>185</v>
      </c>
      <c r="L28" s="663">
        <f>365*100*H29*H30</f>
        <v>54750000</v>
      </c>
      <c r="M28" s="663"/>
      <c r="O28" s="309"/>
      <c r="X28" s="374"/>
      <c r="Z28" s="374"/>
      <c r="AA28" s="418"/>
      <c r="AM28" s="168"/>
      <c r="AP28" s="27"/>
    </row>
    <row r="29" spans="2:42" s="1" customFormat="1" ht="15" customHeight="1">
      <c r="B29" s="375"/>
      <c r="C29" s="376"/>
      <c r="D29" s="27"/>
      <c r="E29" s="35" t="s">
        <v>1018</v>
      </c>
      <c r="G29" s="27" t="s">
        <v>146</v>
      </c>
      <c r="H29" s="51">
        <v>1</v>
      </c>
      <c r="O29" s="297"/>
      <c r="X29" s="374"/>
      <c r="Z29" s="374"/>
      <c r="AA29" s="418"/>
      <c r="AM29" s="168"/>
      <c r="AP29" s="27"/>
    </row>
    <row r="30" spans="2:42" s="1" customFormat="1" ht="15" customHeight="1">
      <c r="B30" s="375"/>
      <c r="C30" s="376"/>
      <c r="D30" s="27"/>
      <c r="E30" s="35" t="s">
        <v>1019</v>
      </c>
      <c r="G30" s="27" t="s">
        <v>146</v>
      </c>
      <c r="H30" s="421">
        <f>INPUT!B9</f>
        <v>1500</v>
      </c>
      <c r="I30" s="1" t="s">
        <v>1020</v>
      </c>
      <c r="L30" s="374"/>
      <c r="O30" s="297"/>
      <c r="X30" s="374"/>
      <c r="Z30" s="374"/>
      <c r="AA30" s="418"/>
      <c r="AM30" s="168"/>
      <c r="AP30" s="27"/>
    </row>
    <row r="31" spans="2:42" s="1" customFormat="1" ht="15" customHeight="1">
      <c r="B31" s="375"/>
      <c r="C31" s="376"/>
      <c r="D31" s="27"/>
      <c r="E31" s="35" t="s">
        <v>1021</v>
      </c>
      <c r="G31" s="27" t="s">
        <v>146</v>
      </c>
      <c r="H31" s="422" t="s">
        <v>1022</v>
      </c>
      <c r="I31" s="35"/>
      <c r="K31" s="423"/>
      <c r="O31" s="297"/>
      <c r="X31" s="374"/>
      <c r="Z31" s="374"/>
      <c r="AA31" s="418"/>
      <c r="AM31" s="168"/>
      <c r="AP31" s="27"/>
    </row>
    <row r="32" spans="2:42" s="1" customFormat="1" ht="15" customHeight="1">
      <c r="B32" s="375"/>
      <c r="C32" s="376"/>
      <c r="D32" s="27"/>
      <c r="E32" s="35" t="s">
        <v>1023</v>
      </c>
      <c r="G32" s="27" t="s">
        <v>146</v>
      </c>
      <c r="H32" s="422" t="s">
        <v>1024</v>
      </c>
      <c r="I32" s="35"/>
      <c r="K32" s="423"/>
      <c r="O32" s="297"/>
      <c r="X32" s="374"/>
      <c r="Z32" s="374"/>
      <c r="AA32" s="418"/>
      <c r="AM32" s="168"/>
      <c r="AP32" s="27"/>
    </row>
    <row r="33" spans="1:42" s="1" customFormat="1" ht="15" customHeight="1">
      <c r="B33" s="375"/>
      <c r="C33" s="376"/>
      <c r="D33" s="27"/>
      <c r="E33" s="35" t="s">
        <v>1025</v>
      </c>
      <c r="G33" s="27" t="s">
        <v>146</v>
      </c>
      <c r="H33" s="422" t="s">
        <v>1026</v>
      </c>
      <c r="I33" s="35"/>
      <c r="K33" s="423"/>
      <c r="O33" s="297"/>
      <c r="X33" s="374"/>
      <c r="Z33" s="374"/>
      <c r="AA33" s="418"/>
      <c r="AM33" s="168"/>
      <c r="AP33" s="27"/>
    </row>
    <row r="34" spans="1:42" s="1" customFormat="1" ht="15" customHeight="1">
      <c r="B34" s="375"/>
      <c r="C34" s="376"/>
      <c r="D34" s="27"/>
      <c r="E34" s="35" t="s">
        <v>1027</v>
      </c>
      <c r="G34" s="27" t="s">
        <v>146</v>
      </c>
      <c r="H34" s="422" t="s">
        <v>1028</v>
      </c>
      <c r="I34" s="35"/>
      <c r="K34" s="423"/>
      <c r="O34" s="297"/>
      <c r="X34" s="374"/>
      <c r="Z34" s="374"/>
      <c r="AA34" s="418"/>
      <c r="AM34" s="168"/>
      <c r="AP34" s="27"/>
    </row>
    <row r="35" spans="1:42" s="1" customFormat="1" ht="15" customHeight="1" thickBot="1">
      <c r="B35" s="375"/>
      <c r="C35" s="376"/>
      <c r="D35" s="27"/>
      <c r="E35" s="27"/>
      <c r="G35" s="35"/>
      <c r="H35" s="27"/>
      <c r="J35" s="27"/>
      <c r="K35" s="35"/>
      <c r="L35" s="424"/>
      <c r="M35" s="425"/>
      <c r="O35" s="297"/>
      <c r="X35" s="374"/>
      <c r="Z35" s="374"/>
      <c r="AA35" s="418"/>
      <c r="AM35" s="168"/>
      <c r="AP35" s="27"/>
    </row>
    <row r="36" spans="1:42" s="1" customFormat="1" ht="15" customHeight="1">
      <c r="A36" s="664" t="s">
        <v>1029</v>
      </c>
      <c r="B36" s="666" t="s">
        <v>1030</v>
      </c>
      <c r="C36" s="667"/>
      <c r="D36" s="667"/>
      <c r="E36" s="668"/>
      <c r="F36" s="426" t="s">
        <v>1031</v>
      </c>
      <c r="G36" s="427" t="s">
        <v>1032</v>
      </c>
      <c r="H36" s="428"/>
      <c r="I36" s="427" t="s">
        <v>1033</v>
      </c>
      <c r="J36" s="428"/>
      <c r="K36" s="426" t="s">
        <v>1034</v>
      </c>
      <c r="L36" s="426" t="s">
        <v>1014</v>
      </c>
      <c r="M36" s="429" t="s">
        <v>1006</v>
      </c>
      <c r="O36" s="297"/>
      <c r="V36" s="374"/>
      <c r="X36" s="374"/>
    </row>
    <row r="37" spans="1:42" s="1" customFormat="1" ht="15" customHeight="1">
      <c r="A37" s="665"/>
      <c r="B37" s="669"/>
      <c r="C37" s="670"/>
      <c r="D37" s="670"/>
      <c r="E37" s="671"/>
      <c r="F37" s="430"/>
      <c r="G37" s="431"/>
      <c r="H37" s="432"/>
      <c r="I37" s="431"/>
      <c r="J37" s="432"/>
      <c r="K37" s="430"/>
      <c r="L37" s="430"/>
      <c r="M37" s="433"/>
      <c r="O37" s="297"/>
      <c r="V37" s="374"/>
      <c r="X37" s="374"/>
    </row>
    <row r="38" spans="1:42" s="1" customFormat="1" ht="15" customHeight="1">
      <c r="A38" s="672">
        <v>1</v>
      </c>
      <c r="B38" s="601" t="s">
        <v>1035</v>
      </c>
      <c r="C38" s="602"/>
      <c r="D38" s="602"/>
      <c r="E38" s="603"/>
      <c r="F38" s="673" t="s">
        <v>1036</v>
      </c>
      <c r="G38" s="674">
        <v>2550000</v>
      </c>
      <c r="H38" s="675"/>
      <c r="I38" s="676">
        <v>81470000</v>
      </c>
      <c r="J38" s="677"/>
      <c r="K38" s="629">
        <v>82.7</v>
      </c>
      <c r="L38" s="629">
        <v>41.4</v>
      </c>
      <c r="M38" s="631">
        <f>+IF($L$28&lt;=G38,(G38/$L$28)^(1/3)*K38,IF($L$28&lt;=I38,(G38/$L$28)^(1/5)*K38,L38))</f>
        <v>44.785427170200244</v>
      </c>
      <c r="O38" s="297"/>
      <c r="V38" s="374"/>
      <c r="X38" s="374"/>
    </row>
    <row r="39" spans="1:42" s="1" customFormat="1" ht="15" customHeight="1">
      <c r="A39" s="657"/>
      <c r="B39" s="604"/>
      <c r="C39" s="605"/>
      <c r="D39" s="605"/>
      <c r="E39" s="606"/>
      <c r="F39" s="660"/>
      <c r="G39" s="661"/>
      <c r="H39" s="662"/>
      <c r="I39" s="678"/>
      <c r="J39" s="679"/>
      <c r="K39" s="630"/>
      <c r="L39" s="630"/>
      <c r="M39" s="632"/>
      <c r="O39" s="297"/>
      <c r="V39" s="374"/>
      <c r="X39" s="374"/>
    </row>
    <row r="40" spans="1:42" s="1" customFormat="1" ht="15" customHeight="1">
      <c r="A40" s="647">
        <v>2</v>
      </c>
      <c r="B40" s="658" t="s">
        <v>1037</v>
      </c>
      <c r="C40" s="659"/>
      <c r="D40" s="659"/>
      <c r="E40" s="434"/>
      <c r="F40" s="649" t="str">
        <f>+IF(E41&gt;=600,"B",IF(E41&gt;=150,"C",IF(E41&gt;=50,"D","E")))</f>
        <v>C</v>
      </c>
      <c r="G40" s="651">
        <f>+IF(E41&gt;=600,2950000,IF(E41&gt;=150,4380000,IF(E41&gt;=50,6400000,12120000)))</f>
        <v>4380000</v>
      </c>
      <c r="H40" s="652"/>
      <c r="I40" s="651">
        <f>+IF(E41&gt;=600,94490000,IF(E41&gt;=150,140270000,IF(E41&gt;=50,204760000,387770000)))</f>
        <v>140270000</v>
      </c>
      <c r="J40" s="652"/>
      <c r="K40" s="633">
        <f>+IF(E41&gt;=600,110,IF(E41&gt;=150,69,IF(E41&gt;=50,48.3,31)))</f>
        <v>69</v>
      </c>
      <c r="L40" s="633">
        <f>+IF(E41&gt;=600,55,IF(E41&gt;=150,34.5,IF(E41&gt;=50,24.2,15.5)))</f>
        <v>34.5</v>
      </c>
      <c r="M40" s="646">
        <f>+IF($L$28&lt;=G40,(G40/$L$28)^(1/3)*K40,IF($L$28&lt;=I40,(G40/$L$28)^(1/5)*K40,L40))</f>
        <v>41.635816722161621</v>
      </c>
      <c r="O40" s="297"/>
      <c r="V40" s="374"/>
      <c r="X40" s="374"/>
    </row>
    <row r="41" spans="1:42" s="1" customFormat="1" ht="15" customHeight="1">
      <c r="A41" s="657"/>
      <c r="B41" s="604"/>
      <c r="C41" s="605"/>
      <c r="D41" s="605"/>
      <c r="E41" s="435">
        <v>150</v>
      </c>
      <c r="F41" s="660"/>
      <c r="G41" s="661"/>
      <c r="H41" s="662"/>
      <c r="I41" s="661"/>
      <c r="J41" s="662"/>
      <c r="K41" s="630"/>
      <c r="L41" s="630"/>
      <c r="M41" s="632"/>
      <c r="O41" s="297"/>
      <c r="V41" s="374"/>
      <c r="X41" s="374"/>
    </row>
    <row r="42" spans="1:42" s="1" customFormat="1" ht="15" customHeight="1">
      <c r="A42" s="647">
        <v>3</v>
      </c>
      <c r="B42" s="607" t="s">
        <v>1038</v>
      </c>
      <c r="C42" s="608"/>
      <c r="D42" s="608"/>
      <c r="E42" s="609"/>
      <c r="F42" s="649" t="s">
        <v>345</v>
      </c>
      <c r="G42" s="651">
        <v>4380000</v>
      </c>
      <c r="H42" s="652"/>
      <c r="I42" s="651">
        <v>140270000</v>
      </c>
      <c r="J42" s="652"/>
      <c r="K42" s="633">
        <v>69</v>
      </c>
      <c r="L42" s="633">
        <v>34.5</v>
      </c>
      <c r="M42" s="646">
        <f>+IF($L$28&lt;=G42,(G42/$L$28)^(1/3)*K42,IF($L$28&lt;=I42,(G42/$L$28)^(1/5)*K42,L42))</f>
        <v>41.635816722161621</v>
      </c>
      <c r="O42" s="297"/>
      <c r="V42" s="374"/>
      <c r="X42" s="374"/>
    </row>
    <row r="43" spans="1:42" s="1" customFormat="1" ht="15" customHeight="1" thickBot="1">
      <c r="A43" s="648"/>
      <c r="B43" s="610"/>
      <c r="C43" s="611"/>
      <c r="D43" s="611"/>
      <c r="E43" s="612"/>
      <c r="F43" s="650"/>
      <c r="G43" s="653"/>
      <c r="H43" s="654"/>
      <c r="I43" s="653"/>
      <c r="J43" s="654"/>
      <c r="K43" s="655"/>
      <c r="L43" s="655"/>
      <c r="M43" s="656"/>
      <c r="O43" s="297"/>
      <c r="V43" s="374"/>
      <c r="X43" s="374"/>
    </row>
    <row r="44" spans="1:42" s="1" customFormat="1" ht="15" hidden="1" customHeight="1">
      <c r="A44" s="613">
        <v>4</v>
      </c>
      <c r="B44" s="614"/>
      <c r="C44" s="617" t="s">
        <v>1039</v>
      </c>
      <c r="D44" s="509"/>
      <c r="E44" s="509"/>
      <c r="F44" s="509"/>
      <c r="G44" s="509"/>
      <c r="H44" s="509"/>
      <c r="I44" s="509"/>
      <c r="J44" s="618"/>
      <c r="K44" s="622" t="s">
        <v>1040</v>
      </c>
      <c r="L44" s="618"/>
      <c r="M44" s="623">
        <v>12120000</v>
      </c>
      <c r="N44" s="624"/>
      <c r="O44" s="625"/>
      <c r="T44" s="436"/>
      <c r="U44" s="437"/>
      <c r="V44" s="634">
        <v>15.5</v>
      </c>
      <c r="W44" s="635"/>
      <c r="X44" s="636"/>
      <c r="Y44" s="640" t="e">
        <f>+IF($H$14&lt;=M44,(M44/$H$14)^(1/3)*S44,IF($H$14&lt;=P44,(M44/$H$14)^(1/5)*S44,V44))</f>
        <v>#DIV/0!</v>
      </c>
      <c r="Z44" s="641"/>
      <c r="AA44" s="642"/>
    </row>
    <row r="45" spans="1:42" s="1" customFormat="1" ht="15" hidden="1" customHeight="1">
      <c r="A45" s="615"/>
      <c r="B45" s="616"/>
      <c r="C45" s="619"/>
      <c r="D45" s="620"/>
      <c r="E45" s="620"/>
      <c r="F45" s="620"/>
      <c r="G45" s="620"/>
      <c r="H45" s="620"/>
      <c r="I45" s="620"/>
      <c r="J45" s="621"/>
      <c r="K45" s="619"/>
      <c r="L45" s="621"/>
      <c r="M45" s="626"/>
      <c r="N45" s="627"/>
      <c r="O45" s="628"/>
      <c r="T45" s="438"/>
      <c r="U45" s="439"/>
      <c r="V45" s="637"/>
      <c r="W45" s="638"/>
      <c r="X45" s="639"/>
      <c r="Y45" s="643"/>
      <c r="Z45" s="644"/>
      <c r="AA45" s="645"/>
    </row>
    <row r="46" spans="1:42" s="1" customFormat="1" ht="15" customHeight="1">
      <c r="B46" s="375"/>
      <c r="C46" s="376"/>
      <c r="D46" s="27"/>
      <c r="E46" s="27"/>
      <c r="G46" s="35"/>
      <c r="H46" s="27"/>
      <c r="J46" s="27"/>
      <c r="K46" s="35"/>
      <c r="L46" s="424"/>
      <c r="M46" s="425"/>
      <c r="O46" s="297"/>
      <c r="X46" s="374"/>
      <c r="Z46" s="374"/>
      <c r="AA46" s="418"/>
      <c r="AM46" s="168"/>
      <c r="AP46" s="27"/>
    </row>
    <row r="47" spans="1:42" s="1" customFormat="1" ht="15" customHeight="1">
      <c r="A47" s="35" t="s">
        <v>1041</v>
      </c>
      <c r="D47" s="27"/>
      <c r="E47" s="27"/>
      <c r="G47" s="35"/>
      <c r="H47" s="27"/>
      <c r="J47" s="27"/>
      <c r="K47" s="35"/>
      <c r="L47" s="424"/>
      <c r="M47" s="425"/>
      <c r="O47" s="297"/>
      <c r="X47" s="374"/>
      <c r="Z47" s="374"/>
      <c r="AA47" s="418"/>
      <c r="AM47" s="168"/>
      <c r="AP47" s="27"/>
    </row>
    <row r="48" spans="1:42" s="1" customFormat="1" ht="15" customHeight="1">
      <c r="A48" s="35" t="s">
        <v>1042</v>
      </c>
      <c r="D48" s="27"/>
      <c r="E48" s="27"/>
      <c r="G48" s="35"/>
      <c r="H48" s="27"/>
      <c r="J48" s="27"/>
      <c r="K48" s="35"/>
      <c r="L48" s="424"/>
      <c r="M48" s="425"/>
      <c r="O48" s="297"/>
      <c r="X48" s="374"/>
      <c r="Z48" s="374"/>
      <c r="AA48" s="418"/>
      <c r="AM48" s="168"/>
      <c r="AP48" s="27"/>
    </row>
    <row r="49" spans="1:42" s="1" customFormat="1" ht="15" customHeight="1">
      <c r="A49" s="375" t="s">
        <v>1043</v>
      </c>
      <c r="C49" s="35"/>
      <c r="D49" s="27"/>
      <c r="E49" s="27"/>
      <c r="G49" s="35"/>
      <c r="H49" s="27"/>
      <c r="J49" s="27"/>
      <c r="K49" s="35"/>
      <c r="L49" s="424"/>
      <c r="M49" s="425"/>
      <c r="O49" s="297"/>
      <c r="X49" s="374"/>
      <c r="Z49" s="374"/>
      <c r="AA49" s="418"/>
      <c r="AM49" s="168"/>
      <c r="AP49" s="27"/>
    </row>
    <row r="50" spans="1:42" s="1" customFormat="1" ht="15" customHeight="1">
      <c r="B50" s="375"/>
      <c r="C50" s="35"/>
      <c r="D50" s="27"/>
      <c r="E50" s="27"/>
      <c r="G50" s="35"/>
      <c r="H50" s="27"/>
      <c r="J50" s="27"/>
      <c r="K50" s="35"/>
      <c r="L50" s="424"/>
      <c r="M50" s="425"/>
      <c r="O50" s="297"/>
      <c r="X50" s="374"/>
      <c r="Z50" s="374"/>
      <c r="AA50" s="418"/>
      <c r="AM50" s="168"/>
      <c r="AP50" s="27"/>
    </row>
    <row r="51" spans="1:42" s="1" customFormat="1" ht="15" customHeight="1" thickBot="1">
      <c r="A51" s="56" t="s">
        <v>1044</v>
      </c>
      <c r="B51" s="374"/>
      <c r="L51" s="374"/>
      <c r="O51" s="297"/>
      <c r="X51" s="374"/>
      <c r="Z51" s="374"/>
      <c r="AM51" s="168"/>
      <c r="AP51" s="27"/>
    </row>
    <row r="52" spans="1:42" s="1" customFormat="1" ht="15" customHeight="1">
      <c r="A52" s="336" t="s">
        <v>188</v>
      </c>
      <c r="B52" s="275" t="s">
        <v>959</v>
      </c>
      <c r="C52" s="403"/>
      <c r="D52" s="449" t="s">
        <v>1045</v>
      </c>
      <c r="E52" s="450"/>
      <c r="F52" s="449" t="s">
        <v>1046</v>
      </c>
      <c r="G52" s="450"/>
      <c r="H52" s="70" t="s">
        <v>1047</v>
      </c>
      <c r="I52" s="489" t="s">
        <v>266</v>
      </c>
      <c r="J52" s="493"/>
      <c r="K52" s="493"/>
      <c r="L52" s="493"/>
      <c r="M52" s="493"/>
      <c r="N52" s="534"/>
      <c r="O52" s="297"/>
    </row>
    <row r="53" spans="1:42" s="1" customFormat="1" ht="15" customHeight="1">
      <c r="A53" s="338"/>
      <c r="B53" s="278" t="s">
        <v>212</v>
      </c>
      <c r="C53" s="405"/>
      <c r="D53" s="278" t="s">
        <v>960</v>
      </c>
      <c r="E53" s="451" t="s">
        <v>961</v>
      </c>
      <c r="F53" s="278" t="s">
        <v>960</v>
      </c>
      <c r="G53" s="406" t="s">
        <v>961</v>
      </c>
      <c r="H53" s="73" t="s">
        <v>1051</v>
      </c>
      <c r="I53" s="452" t="s">
        <v>1048</v>
      </c>
      <c r="J53" s="452"/>
      <c r="K53" s="286" t="s">
        <v>1049</v>
      </c>
      <c r="L53" s="452"/>
      <c r="M53" s="286" t="s">
        <v>1050</v>
      </c>
      <c r="N53" s="453"/>
      <c r="O53" s="297"/>
    </row>
    <row r="54" spans="1:42" ht="15" customHeight="1">
      <c r="A54" s="186" t="str">
        <f>INPUT!D3</f>
        <v>1001i</v>
      </c>
      <c r="B54" s="190" t="str">
        <f>IF(INPUT!AO3&lt;=0,"Positive","Negative")</f>
        <v>Negative</v>
      </c>
      <c r="C54" s="415"/>
      <c r="D54" s="190" t="e">
        <f>INPUT!#REF!</f>
        <v>#REF!</v>
      </c>
      <c r="E54" s="345" t="e">
        <f>INPUT!#REF!</f>
        <v>#REF!</v>
      </c>
      <c r="F54" s="190" t="e">
        <f>INPUT!#REF!</f>
        <v>#REF!</v>
      </c>
      <c r="G54" s="190" t="e">
        <f>INPUT!#REF!</f>
        <v>#REF!</v>
      </c>
      <c r="H54" s="455" t="e">
        <f>IF(INPUT!#REF!="Cross","O","X")</f>
        <v>#REF!</v>
      </c>
      <c r="I54" s="459" t="e">
        <f>IF(MAX(F54,G54)&lt;=$M$38,"OK","NG")</f>
        <v>#REF!</v>
      </c>
      <c r="J54" s="456"/>
      <c r="K54" s="459" t="e">
        <f>IF(H54="O",IF(AND(D54&lt;0,ABS(D54)&gt;=2*F54),"검토 필요없음",IF(F54&lt;=$M$40,"OK","NG")),"-")</f>
        <v>#REF!</v>
      </c>
      <c r="L54" s="457"/>
      <c r="M54" s="459" t="e">
        <f>IF(AND(D54&lt;0,ABS(D54)&gt;=2*F54),"검토 필요없음",IF(F54&lt;=$M$42,"OK","NG"))</f>
        <v>#REF!</v>
      </c>
      <c r="N54" s="83"/>
    </row>
    <row r="55" spans="1:42" s="1" customFormat="1" ht="15" customHeight="1">
      <c r="A55" s="374"/>
      <c r="B55" s="374"/>
      <c r="N55" s="374"/>
      <c r="O55" s="297"/>
      <c r="AB55" s="423"/>
    </row>
    <row r="56" spans="1:42" s="1" customFormat="1" ht="15" customHeight="1">
      <c r="A56" s="374"/>
      <c r="B56" s="374"/>
      <c r="N56" s="374"/>
      <c r="O56" s="297"/>
      <c r="AB56" s="423"/>
    </row>
    <row r="57" spans="1:42" s="1" customFormat="1" ht="15" customHeight="1">
      <c r="A57" s="374"/>
      <c r="B57" s="374"/>
      <c r="N57" s="374"/>
      <c r="O57" s="297"/>
      <c r="AB57" s="423"/>
    </row>
    <row r="58" spans="1:42" s="1" customFormat="1" ht="15" customHeight="1">
      <c r="A58" s="36" t="s">
        <v>1075</v>
      </c>
      <c r="L58" s="374"/>
      <c r="N58" s="65" t="s">
        <v>1076</v>
      </c>
      <c r="O58" s="297"/>
      <c r="X58" s="374"/>
      <c r="Z58" s="374"/>
      <c r="AP58" s="27"/>
    </row>
    <row r="59" spans="1:42" s="1" customFormat="1" ht="15" customHeight="1" thickBot="1">
      <c r="A59" s="374"/>
      <c r="B59" s="374"/>
      <c r="C59" s="16"/>
      <c r="N59" s="374"/>
      <c r="O59" s="297"/>
      <c r="AB59" s="423"/>
    </row>
    <row r="60" spans="1:42" s="368" customFormat="1" ht="20.100000000000001" customHeight="1" thickBot="1">
      <c r="A60" s="37"/>
      <c r="B60" s="16"/>
      <c r="C60" s="38"/>
      <c r="D60" s="39"/>
      <c r="E60" s="40" t="s">
        <v>1000</v>
      </c>
      <c r="F60" s="39"/>
      <c r="G60" s="41"/>
      <c r="H60" s="42"/>
      <c r="I60" s="1"/>
      <c r="J60" s="1"/>
      <c r="K60" s="1"/>
      <c r="L60" s="374"/>
      <c r="M60" s="1"/>
      <c r="N60" s="62"/>
      <c r="O60" s="387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42" s="368" customFormat="1" ht="20.100000000000001" customHeight="1">
      <c r="A61" s="37"/>
      <c r="B61" s="375" t="s">
        <v>280</v>
      </c>
      <c r="C61" s="78"/>
      <c r="D61" s="77"/>
      <c r="E61" s="454"/>
      <c r="F61" s="77"/>
      <c r="G61" s="411"/>
      <c r="H61" s="77"/>
      <c r="I61" s="1"/>
      <c r="J61" s="1"/>
      <c r="K61" s="1"/>
      <c r="L61" s="374"/>
      <c r="M61" s="1"/>
      <c r="N61" s="62"/>
      <c r="O61" s="38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42" s="1" customFormat="1" ht="15" customHeight="1">
      <c r="B62" s="377" t="s">
        <v>65</v>
      </c>
      <c r="C62" s="1" t="s">
        <v>342</v>
      </c>
      <c r="D62" s="27" t="s">
        <v>146</v>
      </c>
      <c r="E62" s="1" t="s">
        <v>1052</v>
      </c>
      <c r="N62" s="374"/>
      <c r="O62" s="297"/>
      <c r="AB62" s="423"/>
    </row>
    <row r="63" spans="1:42" s="1" customFormat="1" ht="15" customHeight="1">
      <c r="A63" s="374"/>
      <c r="C63" s="440" t="s">
        <v>915</v>
      </c>
      <c r="D63" s="27" t="s">
        <v>146</v>
      </c>
      <c r="E63" s="1" t="s">
        <v>1053</v>
      </c>
      <c r="N63" s="374"/>
      <c r="O63" s="297"/>
      <c r="AB63" s="423"/>
    </row>
    <row r="64" spans="1:42" s="1" customFormat="1" ht="15" customHeight="1">
      <c r="A64" s="374"/>
      <c r="C64" s="1" t="s">
        <v>340</v>
      </c>
      <c r="D64" s="27" t="s">
        <v>146</v>
      </c>
      <c r="E64" s="1" t="s">
        <v>1054</v>
      </c>
      <c r="N64" s="374"/>
      <c r="O64" s="297"/>
      <c r="AB64" s="423"/>
    </row>
    <row r="65" spans="1:28" s="1" customFormat="1" ht="15" customHeight="1">
      <c r="A65" s="374"/>
      <c r="C65" s="1" t="s">
        <v>1055</v>
      </c>
      <c r="D65" s="27" t="s">
        <v>146</v>
      </c>
      <c r="E65" s="1" t="s">
        <v>1056</v>
      </c>
      <c r="N65" s="374"/>
      <c r="O65" s="297"/>
      <c r="AB65" s="423"/>
    </row>
    <row r="66" spans="1:28" s="1" customFormat="1" ht="15" customHeight="1">
      <c r="A66" s="374"/>
      <c r="C66" s="1" t="s">
        <v>1078</v>
      </c>
      <c r="D66" s="27" t="s">
        <v>146</v>
      </c>
      <c r="E66" s="1" t="s">
        <v>1077</v>
      </c>
      <c r="N66" s="374"/>
      <c r="O66" s="297"/>
      <c r="AB66" s="423"/>
    </row>
    <row r="67" spans="1:28" s="1" customFormat="1" ht="15" customHeight="1">
      <c r="A67" s="374"/>
      <c r="B67" s="374"/>
      <c r="N67" s="374"/>
      <c r="O67" s="297"/>
      <c r="AB67" s="423"/>
    </row>
    <row r="68" spans="1:28" s="1" customFormat="1" ht="15" customHeight="1">
      <c r="A68" s="374"/>
      <c r="B68" s="377" t="s">
        <v>65</v>
      </c>
      <c r="C68" s="1" t="s">
        <v>331</v>
      </c>
      <c r="D68" s="102"/>
      <c r="E68" s="16"/>
      <c r="F68" s="102"/>
      <c r="G68" s="102"/>
      <c r="H68" s="102"/>
      <c r="N68" s="65" t="s">
        <v>924</v>
      </c>
      <c r="O68" s="297"/>
      <c r="X68" s="374"/>
      <c r="Z68" s="374"/>
    </row>
    <row r="69" spans="1:28" s="1" customFormat="1" ht="20.100000000000001" customHeight="1">
      <c r="A69" s="374"/>
      <c r="B69" s="374"/>
      <c r="C69" s="43" t="s">
        <v>30</v>
      </c>
      <c r="D69" s="44"/>
      <c r="E69" s="43"/>
      <c r="F69" s="43"/>
      <c r="G69" s="43"/>
      <c r="H69" s="44"/>
      <c r="I69" s="43" t="s">
        <v>332</v>
      </c>
      <c r="J69" s="44"/>
      <c r="K69" s="44"/>
      <c r="L69" s="44"/>
      <c r="O69" s="297"/>
      <c r="X69" s="374"/>
    </row>
    <row r="70" spans="1:28" s="1" customFormat="1" ht="20.100000000000001" customHeight="1">
      <c r="A70" s="374"/>
      <c r="B70" s="374"/>
      <c r="C70" s="1" t="s">
        <v>333</v>
      </c>
      <c r="I70" s="51">
        <v>1</v>
      </c>
      <c r="O70" s="297"/>
      <c r="X70" s="374"/>
    </row>
    <row r="71" spans="1:28" s="1" customFormat="1" ht="20.100000000000001" customHeight="1">
      <c r="A71" s="374"/>
      <c r="B71" s="374"/>
      <c r="C71" s="1" t="s">
        <v>334</v>
      </c>
      <c r="E71" s="16"/>
      <c r="I71" s="1" t="s">
        <v>335</v>
      </c>
      <c r="O71" s="297"/>
      <c r="X71" s="374"/>
    </row>
    <row r="72" spans="1:28" s="1" customFormat="1" ht="20.100000000000001" customHeight="1">
      <c r="A72" s="374"/>
      <c r="B72" s="374"/>
      <c r="C72" s="19" t="s">
        <v>336</v>
      </c>
      <c r="D72" s="19"/>
      <c r="E72" s="19"/>
      <c r="F72" s="19"/>
      <c r="G72" s="19"/>
      <c r="H72" s="19"/>
      <c r="I72" s="19" t="s">
        <v>1057</v>
      </c>
      <c r="J72" s="19"/>
      <c r="K72" s="19"/>
      <c r="L72" s="19"/>
      <c r="O72" s="297"/>
      <c r="X72" s="374"/>
    </row>
    <row r="73" spans="1:28" s="1" customFormat="1" ht="15" customHeight="1" thickBot="1">
      <c r="A73" s="374"/>
      <c r="B73" s="374"/>
      <c r="O73" s="297"/>
      <c r="X73" s="374"/>
    </row>
    <row r="74" spans="1:28" s="1" customFormat="1" ht="15" customHeight="1">
      <c r="B74" s="377" t="s">
        <v>65</v>
      </c>
      <c r="C74" s="1" t="s">
        <v>1058</v>
      </c>
      <c r="D74" s="102"/>
      <c r="E74" s="16"/>
      <c r="F74" s="102"/>
      <c r="G74" s="102"/>
      <c r="H74" s="102"/>
      <c r="O74" s="297"/>
      <c r="P74" s="441" t="s">
        <v>1059</v>
      </c>
      <c r="Q74" s="13"/>
      <c r="R74" s="13"/>
      <c r="S74" s="13"/>
      <c r="T74" s="13"/>
      <c r="U74" s="13"/>
      <c r="V74" s="13"/>
      <c r="W74" s="13"/>
      <c r="X74" s="13"/>
      <c r="Y74" s="14"/>
    </row>
    <row r="75" spans="1:28" s="1" customFormat="1" ht="20.100000000000001" customHeight="1">
      <c r="C75" s="43" t="s">
        <v>30</v>
      </c>
      <c r="D75" s="44"/>
      <c r="E75" s="43"/>
      <c r="F75" s="43"/>
      <c r="G75" s="43"/>
      <c r="H75" s="44"/>
      <c r="I75" s="43" t="s">
        <v>344</v>
      </c>
      <c r="J75" s="44"/>
      <c r="K75" s="44"/>
      <c r="L75" s="44"/>
      <c r="O75" s="297"/>
      <c r="P75" s="442" t="s">
        <v>1060</v>
      </c>
      <c r="Y75" s="83"/>
    </row>
    <row r="76" spans="1:28" s="1" customFormat="1" ht="20.100000000000001" customHeight="1">
      <c r="C76" s="1" t="s">
        <v>900</v>
      </c>
      <c r="I76" s="51">
        <v>5</v>
      </c>
      <c r="O76" s="297"/>
      <c r="P76" s="442" t="s">
        <v>1061</v>
      </c>
      <c r="Y76" s="83"/>
    </row>
    <row r="77" spans="1:28" s="1" customFormat="1" ht="20.100000000000001" customHeight="1">
      <c r="C77" s="19" t="s">
        <v>895</v>
      </c>
      <c r="D77" s="19"/>
      <c r="E77" s="20"/>
      <c r="F77" s="19"/>
      <c r="G77" s="19"/>
      <c r="H77" s="19"/>
      <c r="I77" s="19" t="s">
        <v>901</v>
      </c>
      <c r="J77" s="19"/>
      <c r="K77" s="19"/>
      <c r="L77" s="19"/>
      <c r="O77" s="297"/>
      <c r="P77" s="443" t="s">
        <v>1062</v>
      </c>
      <c r="Y77" s="83"/>
    </row>
    <row r="78" spans="1:28" s="1" customFormat="1" ht="15" customHeight="1" thickBot="1">
      <c r="A78" s="374"/>
      <c r="B78" s="374"/>
      <c r="C78" s="1" t="s">
        <v>339</v>
      </c>
      <c r="O78" s="297"/>
      <c r="P78" s="444" t="s">
        <v>1063</v>
      </c>
      <c r="Q78" s="32"/>
      <c r="R78" s="32"/>
      <c r="S78" s="32"/>
      <c r="T78" s="32"/>
      <c r="U78" s="32"/>
      <c r="V78" s="32"/>
      <c r="W78" s="32"/>
      <c r="X78" s="32"/>
      <c r="Y78" s="34"/>
    </row>
    <row r="79" spans="1:28" s="1" customFormat="1" ht="15" customHeight="1">
      <c r="A79" s="374"/>
      <c r="B79" s="374"/>
      <c r="O79" s="297"/>
      <c r="X79" s="374"/>
    </row>
    <row r="80" spans="1:28" s="1" customFormat="1" ht="15" customHeight="1" thickBot="1">
      <c r="A80" s="334" t="s">
        <v>1064</v>
      </c>
      <c r="B80" s="374"/>
      <c r="H80" s="35"/>
      <c r="M80" s="374"/>
      <c r="O80" s="297"/>
      <c r="X80" s="374"/>
    </row>
    <row r="81" spans="1:39" s="1" customFormat="1" ht="15" customHeight="1">
      <c r="A81" s="69" t="s">
        <v>188</v>
      </c>
      <c r="B81" s="380" t="s">
        <v>1055</v>
      </c>
      <c r="C81" s="489" t="s">
        <v>1065</v>
      </c>
      <c r="D81" s="493"/>
      <c r="E81" s="493"/>
      <c r="F81" s="493"/>
      <c r="G81" s="490"/>
      <c r="H81" s="489" t="s">
        <v>1066</v>
      </c>
      <c r="I81" s="490"/>
      <c r="J81" s="70" t="s">
        <v>340</v>
      </c>
      <c r="K81" s="70" t="s">
        <v>342</v>
      </c>
      <c r="L81" s="71" t="s">
        <v>266</v>
      </c>
      <c r="O81" s="297"/>
    </row>
    <row r="82" spans="1:39" s="1" customFormat="1" ht="15" customHeight="1">
      <c r="A82" s="72"/>
      <c r="B82" s="381"/>
      <c r="C82" s="381" t="s">
        <v>231</v>
      </c>
      <c r="D82" s="381" t="s">
        <v>916</v>
      </c>
      <c r="E82" s="381" t="s">
        <v>917</v>
      </c>
      <c r="F82" s="381" t="s">
        <v>918</v>
      </c>
      <c r="G82" s="381" t="s">
        <v>853</v>
      </c>
      <c r="H82" s="381" t="s">
        <v>854</v>
      </c>
      <c r="I82" s="381" t="s">
        <v>855</v>
      </c>
      <c r="J82" s="73"/>
      <c r="K82" s="73"/>
      <c r="L82" s="74"/>
      <c r="O82" s="297"/>
    </row>
    <row r="83" spans="1:39" ht="15" customHeight="1">
      <c r="A83" s="186" t="str">
        <f>A54</f>
        <v>1001i</v>
      </c>
      <c r="B83" s="190" t="e">
        <f>INPUT!#REF!</f>
        <v>#REF!</v>
      </c>
      <c r="C83" s="190" t="e">
        <f>INPUT!#REF!</f>
        <v>#REF!</v>
      </c>
      <c r="D83" s="190" t="e">
        <f>INPUT!#REF!</f>
        <v>#REF!</v>
      </c>
      <c r="E83" s="190" t="e">
        <f>INPUT!#REF!</f>
        <v>#REF!</v>
      </c>
      <c r="F83" s="190" t="e">
        <f>INPUT!#REF!</f>
        <v>#REF!</v>
      </c>
      <c r="G83" s="190" t="e">
        <f>INPUT!#REF!</f>
        <v>#REF!</v>
      </c>
      <c r="H83" s="190" t="e">
        <f>0.75*INPUT!#REF!</f>
        <v>#REF!</v>
      </c>
      <c r="I83" s="190" t="e">
        <f>0.75*INPUT!#REF!</f>
        <v>#REF!</v>
      </c>
      <c r="J83" s="458" t="e">
        <f>(IF(C83&gt;=0,H83,I83)*2+SUM(C83:G83))/2</f>
        <v>#REF!</v>
      </c>
      <c r="K83" s="182" t="e">
        <f>J83/COS(ATAN((INPUT!T3/2 - 0.5*(INPUT!M3-2*INPUT!O3))/INPUT!K3))</f>
        <v>#REF!</v>
      </c>
      <c r="L83" s="395" t="e">
        <f t="shared" ref="L83" si="0">IF(ABS(K83)&lt;=B83,"OK","NG")</f>
        <v>#REF!</v>
      </c>
      <c r="M83" s="1"/>
      <c r="N83" s="1"/>
    </row>
    <row r="84" spans="1:39" s="368" customFormat="1" ht="15" customHeight="1">
      <c r="A84" s="1"/>
      <c r="B84" s="1"/>
      <c r="C84" s="1"/>
      <c r="D84" s="1"/>
      <c r="E84" s="1"/>
      <c r="F84" s="1"/>
      <c r="G84" s="35"/>
      <c r="H84" s="1"/>
      <c r="I84" s="1"/>
      <c r="J84" s="1"/>
      <c r="K84" s="1"/>
      <c r="L84" s="374"/>
      <c r="M84" s="1"/>
      <c r="N84" s="66"/>
      <c r="O84" s="306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</sheetData>
  <mergeCells count="36">
    <mergeCell ref="L28:M28"/>
    <mergeCell ref="A36:A37"/>
    <mergeCell ref="B36:E37"/>
    <mergeCell ref="A38:A39"/>
    <mergeCell ref="F38:F39"/>
    <mergeCell ref="G38:H39"/>
    <mergeCell ref="I38:J39"/>
    <mergeCell ref="V44:X45"/>
    <mergeCell ref="Y44:AA45"/>
    <mergeCell ref="M40:M41"/>
    <mergeCell ref="A42:A43"/>
    <mergeCell ref="F42:F43"/>
    <mergeCell ref="G42:H43"/>
    <mergeCell ref="I42:J43"/>
    <mergeCell ref="K42:K43"/>
    <mergeCell ref="L42:L43"/>
    <mergeCell ref="M42:M43"/>
    <mergeCell ref="A40:A41"/>
    <mergeCell ref="B40:D41"/>
    <mergeCell ref="F40:F41"/>
    <mergeCell ref="G40:H41"/>
    <mergeCell ref="I40:J41"/>
    <mergeCell ref="K40:K41"/>
    <mergeCell ref="C81:G81"/>
    <mergeCell ref="H81:I81"/>
    <mergeCell ref="B38:E39"/>
    <mergeCell ref="B42:E43"/>
    <mergeCell ref="I52:N52"/>
    <mergeCell ref="A44:B45"/>
    <mergeCell ref="C44:J45"/>
    <mergeCell ref="K44:L45"/>
    <mergeCell ref="M44:O45"/>
    <mergeCell ref="K38:K39"/>
    <mergeCell ref="L38:L39"/>
    <mergeCell ref="M38:M39"/>
    <mergeCell ref="L40:L41"/>
  </mergeCells>
  <phoneticPr fontId="28" type="noConversion"/>
  <conditionalFormatting sqref="C13:D13 G13 A13 Q13:Q14 A52:B53 A17:O18 P17:P21 A22:L22 O22 B58:L58 O58 B61 D64:E64 A67:B67 A63:A66 C62:C66 G62:Y66 F62:F65 A69:B73 A68 AB17:XFD22 Q17:Z22 A28:G34 L28:XFD29 A55:B57">
    <cfRule type="cellIs" dxfId="38" priority="71" operator="equal">
      <formula>"NG"</formula>
    </cfRule>
  </conditionalFormatting>
  <conditionalFormatting sqref="I52 F52 A51:XFD51 D47:XFD50 AH52:XFD53 AT55:XFD57 AT78:XFD80 A78:B80 P74:P78 J19:O19 H20:O21 A19:F21 A23:F25 P23:XFD25 H23:K25 A26:XFD27 K31:XFD34 M30:XFD30 H28:I34 A35:XFD35 Z36:XFD43 F36:L37 M36:P38 T44:XFD46 E41 I38 I40 K38:L38 I42 K42:M42 K40:P40 N39:P39 AB55:AB57 H52:H53 A38:B38 A40:B40 A42:B42 A36:B36 A44:R46 N41:P43 F38:G38 F40:G40 F42:G42 A15:Z15 AB13:XFD15 I13:P13 A50:C50 C49 A49 H67:Y67 Q58:Z58 E62 E65 E59:Y59 A59:B59 AT59:XFD59 AB59 R13:Z14 B14:M14 O14 D53:G53 AB62:AB67 AT62:XFD73 E56:Y57 E55:H55 L55:Y55">
    <cfRule type="cellIs" dxfId="37" priority="52" operator="equal">
      <formula>"NG"</formula>
    </cfRule>
  </conditionalFormatting>
  <conditionalFormatting sqref="I53 K53">
    <cfRule type="cellIs" dxfId="36" priority="51" operator="equal">
      <formula>"NG"</formula>
    </cfRule>
  </conditionalFormatting>
  <conditionalFormatting sqref="D52">
    <cfRule type="cellIs" dxfId="35" priority="50" operator="equal">
      <formula>"NG"</formula>
    </cfRule>
  </conditionalFormatting>
  <conditionalFormatting sqref="A47:A48">
    <cfRule type="cellIs" dxfId="34" priority="49" operator="equal">
      <formula>"NG"</formula>
    </cfRule>
  </conditionalFormatting>
  <conditionalFormatting sqref="M53">
    <cfRule type="cellIs" dxfId="33" priority="45" operator="equal">
      <formula>"NG"</formula>
    </cfRule>
  </conditionalFormatting>
  <conditionalFormatting sqref="AB58:XFD58">
    <cfRule type="cellIs" dxfId="32" priority="43" operator="equal">
      <formula>"NG"</formula>
    </cfRule>
  </conditionalFormatting>
  <conditionalFormatting sqref="C59">
    <cfRule type="cellIs" dxfId="31" priority="41" operator="equal">
      <formula>"NG"</formula>
    </cfRule>
  </conditionalFormatting>
  <conditionalFormatting sqref="C84:G85">
    <cfRule type="cellIs" dxfId="30" priority="39" operator="equal">
      <formula>"NG"</formula>
    </cfRule>
  </conditionalFormatting>
  <conditionalFormatting sqref="H84:I85">
    <cfRule type="cellIs" dxfId="29" priority="38" operator="equal">
      <formula>"NG"</formula>
    </cfRule>
  </conditionalFormatting>
  <conditionalFormatting sqref="AH81:XFD82 A81:A82 A84:A85">
    <cfRule type="cellIs" dxfId="28" priority="40" operator="equal">
      <formula>"NG"</formula>
    </cfRule>
  </conditionalFormatting>
  <conditionalFormatting sqref="K84:K85">
    <cfRule type="cellIs" dxfId="27" priority="35" operator="equal">
      <formula>"NG"</formula>
    </cfRule>
  </conditionalFormatting>
  <conditionalFormatting sqref="L84:L85">
    <cfRule type="cellIs" dxfId="26" priority="34" operator="equal">
      <formula>"NG"</formula>
    </cfRule>
  </conditionalFormatting>
  <conditionalFormatting sqref="F7">
    <cfRule type="cellIs" dxfId="25" priority="29" operator="equal">
      <formula>"NG"</formula>
    </cfRule>
  </conditionalFormatting>
  <conditionalFormatting sqref="F10">
    <cfRule type="cellIs" dxfId="24" priority="28" operator="equal">
      <formula>"NG"</formula>
    </cfRule>
  </conditionalFormatting>
  <conditionalFormatting sqref="E16">
    <cfRule type="cellIs" dxfId="23" priority="27" operator="equal">
      <formula>"NG"</formula>
    </cfRule>
  </conditionalFormatting>
  <conditionalFormatting sqref="E61">
    <cfRule type="cellIs" dxfId="22" priority="26" operator="equal">
      <formula>"NG"</formula>
    </cfRule>
  </conditionalFormatting>
  <conditionalFormatting sqref="E60">
    <cfRule type="cellIs" dxfId="21" priority="25" operator="equal">
      <formula>"NG"</formula>
    </cfRule>
  </conditionalFormatting>
  <conditionalFormatting sqref="E66">
    <cfRule type="cellIs" dxfId="20" priority="24" operator="equal">
      <formula>"NG"</formula>
    </cfRule>
  </conditionalFormatting>
  <conditionalFormatting sqref="J54">
    <cfRule type="containsText" dxfId="19" priority="20" operator="containsText" text="NG">
      <formula>NOT(ISERROR(SEARCH("NG",J54)))</formula>
    </cfRule>
    <cfRule type="containsText" dxfId="18" priority="21" operator="containsText" text="NG">
      <formula>NOT(ISERROR(SEARCH("NG",J54)))</formula>
    </cfRule>
    <cfRule type="containsText" dxfId="17" priority="22" operator="containsText" text="NG">
      <formula>NOT(ISERROR(SEARCH("NG",J54)))</formula>
    </cfRule>
    <cfRule type="cellIs" dxfId="16" priority="23" operator="equal">
      <formula>"NG"</formula>
    </cfRule>
  </conditionalFormatting>
  <conditionalFormatting sqref="M54">
    <cfRule type="cellIs" dxfId="15" priority="17" operator="lessThan">
      <formula>1</formula>
    </cfRule>
    <cfRule type="cellIs" dxfId="14" priority="18" operator="lessThan">
      <formula>1</formula>
    </cfRule>
    <cfRule type="cellIs" dxfId="13" priority="19" operator="equal">
      <formula>"NG"</formula>
    </cfRule>
  </conditionalFormatting>
  <conditionalFormatting sqref="I54">
    <cfRule type="cellIs" dxfId="12" priority="14" operator="lessThan">
      <formula>1</formula>
    </cfRule>
    <cfRule type="cellIs" dxfId="11" priority="15" operator="lessThan">
      <formula>1</formula>
    </cfRule>
    <cfRule type="cellIs" dxfId="10" priority="16" operator="equal">
      <formula>"NG"</formula>
    </cfRule>
  </conditionalFormatting>
  <conditionalFormatting sqref="K54">
    <cfRule type="cellIs" dxfId="9" priority="11" operator="lessThan">
      <formula>1</formula>
    </cfRule>
    <cfRule type="cellIs" dxfId="8" priority="12" operator="lessThan">
      <formula>1</formula>
    </cfRule>
    <cfRule type="cellIs" dxfId="7" priority="13" operator="equal">
      <formula>"NG"</formula>
    </cfRule>
  </conditionalFormatting>
  <conditionalFormatting sqref="J83">
    <cfRule type="containsText" dxfId="6" priority="7" operator="containsText" text="NG">
      <formula>NOT(ISERROR(SEARCH("NG",J83)))</formula>
    </cfRule>
    <cfRule type="containsText" dxfId="5" priority="8" operator="containsText" text="NG">
      <formula>NOT(ISERROR(SEARCH("NG",J83)))</formula>
    </cfRule>
    <cfRule type="containsText" dxfId="4" priority="9" operator="containsText" text="NG">
      <formula>NOT(ISERROR(SEARCH("NG",J83)))</formula>
    </cfRule>
    <cfRule type="cellIs" dxfId="3" priority="10" operator="equal">
      <formula>"NG"</formula>
    </cfRule>
  </conditionalFormatting>
  <conditionalFormatting sqref="L83">
    <cfRule type="cellIs" dxfId="2" priority="1" operator="lessThan">
      <formula>1</formula>
    </cfRule>
    <cfRule type="cellIs" dxfId="1" priority="2" operator="lessThan">
      <formula>1</formula>
    </cfRule>
    <cfRule type="cellIs" dxfId="0" priority="3" operator="equal">
      <formula>"NG"</formula>
    </cfRule>
  </conditionalFormatting>
  <pageMargins left="0.47244094488188981" right="0.39370078740157483" top="0.74803149606299213" bottom="0.74803149606299213" header="0.31496062992125984" footer="0.31496062992125984"/>
  <pageSetup paperSize="9" orientation="portrait" r:id="rId1"/>
  <rowBreaks count="3" manualBreakCount="3">
    <brk id="50" max="16383" man="1"/>
    <brk id="57" max="16383" man="1"/>
    <brk id="79" max="16383" man="1"/>
  </rowBreaks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INPUT</vt:lpstr>
      <vt:lpstr>Cons</vt:lpstr>
      <vt:lpstr>ULS</vt:lpstr>
      <vt:lpstr>SLS</vt:lpstr>
      <vt:lpstr>FLS</vt:lpstr>
      <vt:lpstr>Cons!Print_Area</vt:lpstr>
      <vt:lpstr>FLS!Print_Area</vt:lpstr>
      <vt:lpstr>SLS!Print_Area</vt:lpstr>
      <vt:lpstr>ULS!Print_Area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LXH</dc:creator>
  <cp:lastModifiedBy>LXH</cp:lastModifiedBy>
  <cp:lastPrinted>2020-08-05T08:53:35Z</cp:lastPrinted>
  <dcterms:created xsi:type="dcterms:W3CDTF">2020-04-19T14:35:42Z</dcterms:created>
  <dcterms:modified xsi:type="dcterms:W3CDTF">2020-10-24T05:51:51Z</dcterms:modified>
</cp:coreProperties>
</file>